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22D1F3D-A076-4ECD-B650-3C1D43565C65}"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Signature Page" sheetId="184"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SEFA NOTES" sheetId="173" r:id="rId29"/>
    <sheet name=" SEFA" sheetId="179" r:id="rId30"/>
    <sheet name="SEFA-1" sheetId="183" r:id="rId31"/>
    <sheet name="SF&amp;QC Sec-1" sheetId="174" r:id="rId32"/>
    <sheet name="SF&amp;QC Sec-2" sheetId="175" r:id="rId33"/>
    <sheet name="SF&amp;QC Sec-3" sheetId="176" r:id="rId34"/>
    <sheet name="SSPAF" sheetId="177" r:id="rId35"/>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1">'SF&amp;QC Sec-1'!$A$1:$J$63</definedName>
    <definedName name="_xlnm.Print_Area" localSheetId="33">'SF&amp;QC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30">'SEFA-1'!$6:$6</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9">#REF!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9">#REF!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9">#REF!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9">#REF!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8" i="3" l="1"/>
  <c r="D35" i="171" l="1"/>
  <c r="C39" i="3" l="1"/>
  <c r="C5" i="3"/>
  <c r="D75" i="29" l="1"/>
  <c r="D59" i="29"/>
  <c r="D55" i="29"/>
  <c r="D49" i="29"/>
  <c r="D44" i="29"/>
  <c r="D36" i="29"/>
  <c r="D5" i="29"/>
  <c r="C4" i="3"/>
  <c r="I5" i="3" l="1"/>
  <c r="H39" i="3"/>
  <c r="D39" i="3" l="1"/>
  <c r="E39" i="3"/>
  <c r="F5" i="29"/>
  <c r="F75" i="29"/>
  <c r="E75" i="29"/>
  <c r="C75" i="29"/>
  <c r="D280" i="29"/>
  <c r="E322" i="29"/>
  <c r="J18" i="12"/>
  <c r="M86" i="183"/>
  <c r="N86" i="183" s="1"/>
  <c r="M85" i="183"/>
  <c r="N85" i="183" s="1"/>
  <c r="M84" i="183"/>
  <c r="N84" i="183" s="1"/>
  <c r="J87" i="183"/>
  <c r="H87" i="183"/>
  <c r="G87" i="183"/>
  <c r="F87" i="183"/>
  <c r="L79" i="183"/>
  <c r="L89" i="183" s="1"/>
  <c r="M76" i="183"/>
  <c r="N76" i="183" s="1"/>
  <c r="M75" i="183"/>
  <c r="N75" i="183" s="1"/>
  <c r="J77" i="183"/>
  <c r="H77" i="183"/>
  <c r="G77" i="183"/>
  <c r="F77" i="183"/>
  <c r="M70" i="183"/>
  <c r="N70" i="183" s="1"/>
  <c r="M69" i="183"/>
  <c r="N69" i="183" s="1"/>
  <c r="M68" i="183"/>
  <c r="N68" i="183" s="1"/>
  <c r="M67" i="183"/>
  <c r="N67" i="183" s="1"/>
  <c r="M66" i="183"/>
  <c r="N66" i="183" s="1"/>
  <c r="M65" i="183"/>
  <c r="N65" i="183" s="1"/>
  <c r="J71" i="183"/>
  <c r="H71" i="183"/>
  <c r="G71" i="183"/>
  <c r="G79" i="183" s="1"/>
  <c r="F71" i="183"/>
  <c r="M60" i="183"/>
  <c r="N60" i="183" s="1"/>
  <c r="M59" i="183"/>
  <c r="N59" i="183" s="1"/>
  <c r="M58" i="183"/>
  <c r="N58" i="183" s="1"/>
  <c r="J61" i="183"/>
  <c r="H61" i="183"/>
  <c r="G61" i="183"/>
  <c r="F61" i="183"/>
  <c r="M51" i="183"/>
  <c r="M50" i="183"/>
  <c r="J52" i="183"/>
  <c r="H52" i="183"/>
  <c r="G52" i="183"/>
  <c r="F52" i="183"/>
  <c r="M44" i="183"/>
  <c r="N44" i="183" s="1"/>
  <c r="M43" i="183"/>
  <c r="N43" i="183" s="1"/>
  <c r="M42" i="183"/>
  <c r="L45" i="183"/>
  <c r="J45" i="183"/>
  <c r="H45" i="183"/>
  <c r="G45" i="183"/>
  <c r="F45" i="183"/>
  <c r="M34" i="183"/>
  <c r="N34" i="183" s="1"/>
  <c r="M36" i="183"/>
  <c r="N36" i="183" s="1"/>
  <c r="M35" i="183"/>
  <c r="N35" i="183" s="1"/>
  <c r="J37" i="183"/>
  <c r="H37" i="183"/>
  <c r="G37" i="183"/>
  <c r="F37" i="183"/>
  <c r="M26" i="183"/>
  <c r="M25" i="183"/>
  <c r="M24" i="183"/>
  <c r="M23" i="183"/>
  <c r="M22" i="183"/>
  <c r="M17" i="183"/>
  <c r="M19" i="183"/>
  <c r="M18" i="183"/>
  <c r="M16" i="183"/>
  <c r="M15" i="183"/>
  <c r="M14" i="183"/>
  <c r="M13" i="183"/>
  <c r="M12" i="183"/>
  <c r="M11" i="183"/>
  <c r="M10" i="183"/>
  <c r="J27" i="183"/>
  <c r="H27" i="183"/>
  <c r="G27" i="183"/>
  <c r="F27" i="183"/>
  <c r="F29" i="183" s="1"/>
  <c r="J20" i="183"/>
  <c r="G38" i="174" s="1"/>
  <c r="H20" i="183"/>
  <c r="G20" i="183"/>
  <c r="F20" i="183"/>
  <c r="H79" i="183" l="1"/>
  <c r="J79" i="183"/>
  <c r="N87" i="183"/>
  <c r="F79" i="183"/>
  <c r="J89" i="183"/>
  <c r="D45" i="174" s="1"/>
  <c r="F89" i="183"/>
  <c r="H29" i="183"/>
  <c r="H89" i="183" s="1"/>
  <c r="G29" i="183"/>
  <c r="G89" i="183" s="1"/>
  <c r="M87" i="183"/>
  <c r="J29" i="183"/>
  <c r="N77" i="183"/>
  <c r="M77" i="183"/>
  <c r="N37" i="183"/>
  <c r="N71" i="183"/>
  <c r="M71" i="183"/>
  <c r="N61" i="183"/>
  <c r="M61" i="183"/>
  <c r="M52" i="183"/>
  <c r="M45" i="183"/>
  <c r="N42" i="183"/>
  <c r="N45" i="183" s="1"/>
  <c r="M37" i="183"/>
  <c r="M20" i="183"/>
  <c r="M29" i="183"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M79" i="183" l="1"/>
  <c r="M89" i="183" s="1"/>
  <c r="N79" i="183"/>
  <c r="N89" i="183" s="1"/>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6" i="108"/>
  <c r="E26" i="108"/>
  <c r="F26" i="108"/>
  <c r="G26" i="108"/>
  <c r="D27" i="108"/>
  <c r="E27" i="108"/>
  <c r="F27" i="108"/>
  <c r="G27" i="108"/>
  <c r="F31" i="108"/>
  <c r="F36" i="108"/>
  <c r="G28" i="108"/>
  <c r="E30" i="108"/>
  <c r="G30" i="108"/>
  <c r="D31" i="108"/>
  <c r="D36"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33" i="118"/>
  <c r="D22" i="37"/>
  <c r="J22" i="37"/>
  <c r="D24" i="37"/>
  <c r="B4270" i="106" s="1"/>
  <c r="D4270" i="106" s="1"/>
  <c r="D9" i="7"/>
  <c r="B1767" i="106" s="1"/>
  <c r="D1767" i="106" s="1"/>
  <c r="B5752" i="106"/>
  <c r="D5752" i="106" s="1"/>
  <c r="D17" i="7"/>
  <c r="B4104" i="106" s="1"/>
  <c r="D4104" i="106" s="1"/>
  <c r="B6995" i="106" l="1"/>
  <c r="D6995" i="106" s="1"/>
  <c r="D69" i="36"/>
  <c r="C342" i="29"/>
  <c r="B7216" i="106" s="1"/>
  <c r="D7216" i="106" s="1"/>
  <c r="H365" i="29"/>
  <c r="B7242" i="106" s="1"/>
  <c r="D7242" i="106" s="1"/>
  <c r="L5" i="11"/>
  <c r="B2056" i="106" s="1"/>
  <c r="D2056" i="106" s="1"/>
  <c r="L342" i="29"/>
  <c r="F77" i="4"/>
  <c r="B3255" i="106" s="1"/>
  <c r="D3255" i="106" s="1"/>
  <c r="B2836" i="106"/>
  <c r="D2836" i="106" s="1"/>
  <c r="L13" i="11"/>
  <c r="B2060" i="106" s="1"/>
  <c r="D2060" i="106" s="1"/>
  <c r="B1126" i="106"/>
  <c r="D1126" i="106" s="1"/>
  <c r="J367" i="29"/>
  <c r="B7245" i="106" s="1"/>
  <c r="D7245" i="106" s="1"/>
  <c r="B7235" i="106"/>
  <c r="D7235" i="106" s="1"/>
  <c r="D37" i="108"/>
  <c r="D41" i="108" s="1"/>
  <c r="E43" i="108" s="1"/>
  <c r="F37" i="108"/>
  <c r="D31" i="36"/>
  <c r="C129" i="29"/>
  <c r="B1225" i="106" s="1"/>
  <c r="D1225" i="106" s="1"/>
  <c r="D11" i="37"/>
  <c r="L367" i="29"/>
  <c r="F19" i="7"/>
  <c r="B1807" i="106" s="1"/>
  <c r="D1807" i="106" s="1"/>
  <c r="G39" i="108"/>
  <c r="C352" i="29"/>
  <c r="B3621" i="106" s="1"/>
  <c r="D3621" i="106" s="1"/>
  <c r="K76" i="4"/>
  <c r="B3586" i="106" s="1"/>
  <c r="D3586" i="106" s="1"/>
  <c r="N22" i="3"/>
  <c r="B283" i="106" s="1"/>
  <c r="D283" i="106" s="1"/>
  <c r="F28" i="108"/>
  <c r="F41" i="108" s="1"/>
  <c r="G43" i="108" s="1"/>
  <c r="J41" i="3"/>
  <c r="K184" i="29"/>
  <c r="F13" i="4" s="1"/>
  <c r="B2596" i="106" s="1"/>
  <c r="D2596" i="106" s="1"/>
  <c r="G210" i="29"/>
  <c r="G15" i="145"/>
  <c r="H28" i="118"/>
  <c r="E28" i="108"/>
  <c r="H342" i="29"/>
  <c r="J129" i="29"/>
  <c r="B7038" i="106" s="1"/>
  <c r="D7038" i="106" s="1"/>
  <c r="K41" i="3"/>
  <c r="H29" i="118"/>
  <c r="K28" i="118" s="1"/>
  <c r="O27" i="118" s="1"/>
  <c r="O29" i="118" s="1"/>
  <c r="F14" i="4"/>
  <c r="B2597" i="106" s="1"/>
  <c r="D2597" i="106" s="1"/>
  <c r="L22" i="37"/>
  <c r="G29" i="108"/>
  <c r="D6103" i="106"/>
  <c r="B1308" i="106"/>
  <c r="D1308" i="106" s="1"/>
  <c r="E174" i="29"/>
  <c r="B1309" i="106" s="1"/>
  <c r="D1309" i="106" s="1"/>
  <c r="E29" i="108"/>
  <c r="B3254" i="106"/>
  <c r="D3254" i="106" s="1"/>
  <c r="I24" i="12"/>
  <c r="B3649" i="106"/>
  <c r="D3649" i="106" s="1"/>
  <c r="G367" i="29"/>
  <c r="D5" i="4"/>
  <c r="B3406" i="106" s="1"/>
  <c r="D3406" i="106" s="1"/>
  <c r="L312" i="29"/>
  <c r="I342" i="29"/>
  <c r="B7222" i="106" s="1"/>
  <c r="D7222" i="106" s="1"/>
  <c r="K350" i="29"/>
  <c r="F21" i="8"/>
  <c r="K24" i="12"/>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44" i="36" l="1"/>
  <c r="C114" i="29"/>
  <c r="B757" i="106" s="1"/>
  <c r="D757" i="106" s="1"/>
  <c r="B1317" i="106"/>
  <c r="D1317" i="106" s="1"/>
  <c r="K342" i="29"/>
  <c r="F13" i="34" s="1"/>
  <c r="F174" i="34"/>
  <c r="G170" i="5"/>
  <c r="B5778" i="106" s="1"/>
  <c r="D5778" i="106" s="1"/>
  <c r="J16" i="4"/>
  <c r="B6226" i="106" s="1"/>
  <c r="D6226" i="106" s="1"/>
  <c r="L16" i="11"/>
  <c r="B2061" i="106" s="1"/>
  <c r="D2061" i="106" s="1"/>
  <c r="G6" i="4"/>
  <c r="B2604" i="106" s="1"/>
  <c r="D2604" i="106" s="1"/>
  <c r="B3568" i="106"/>
  <c r="D3568" i="106" s="1"/>
  <c r="D52" i="36"/>
  <c r="B7215" i="106"/>
  <c r="D7215" i="106" s="1"/>
  <c r="H151" i="29"/>
  <c r="B1273" i="106" s="1"/>
  <c r="D1273" i="106" s="1"/>
  <c r="B1381" i="106"/>
  <c r="D1381" i="106" s="1"/>
  <c r="J151" i="29"/>
  <c r="B7052" i="106" s="1"/>
  <c r="D7052" i="106" s="1"/>
  <c r="C151" i="29"/>
  <c r="B1226" i="106" s="1"/>
  <c r="D1226" i="106" s="1"/>
  <c r="K365" i="29"/>
  <c r="D7253" i="106"/>
  <c r="L114" i="29"/>
  <c r="B1996" i="106"/>
  <c r="D1996" i="106" s="1"/>
  <c r="I26" i="12"/>
  <c r="B7741" i="106" s="1"/>
  <c r="D7741" i="106" s="1"/>
  <c r="B1365" i="106"/>
  <c r="D1365" i="106" s="1"/>
  <c r="F65"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B6227" i="106" l="1"/>
  <c r="D6227" i="106" s="1"/>
  <c r="J20" i="4"/>
  <c r="J10" i="4"/>
  <c r="B6225" i="106" s="1"/>
  <c r="D6225" i="106" s="1"/>
  <c r="D8" i="146"/>
  <c r="K17" i="4"/>
  <c r="K19" i="4" s="1"/>
  <c r="B4144" i="106" s="1"/>
  <c r="D4144"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<sst xmlns="http://schemas.openxmlformats.org/spreadsheetml/2006/main" count="5350" uniqueCount="2231">
  <si>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</si>
  <si>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</si>
  <si>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</si>
  <si>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</si>
  <si>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</si>
  <si>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</si>
  <si>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</si>
  <si>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</si>
  <si>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</si>
  <si>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</si>
  <si>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</si>
  <si>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</si>
  <si>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</si>
  <si>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</si>
  <si>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</si>
  <si>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</si>
  <si>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</si>
  <si>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</si>
  <si>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</si>
  <si>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</si>
  <si>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</si>
  <si>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</si>
  <si>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</si>
  <si>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</si>
  <si>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</si>
  <si>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</si>
  <si>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</si>
  <si>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</si>
  <si>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</si>
  <si>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</si>
  <si>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</si>
  <si>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</si>
  <si>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</si>
  <si>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</si>
  <si>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</si>
  <si>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</si>
  <si>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</si>
  <si>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</si>
  <si>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</si>
  <si>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</si>
  <si>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</si>
  <si>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</si>
  <si>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</si>
  <si>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</si>
  <si>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</si>
  <si>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</si>
  <si>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</si>
  <si>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</si>
  <si>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</si>
  <si>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</si>
  <si>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</si>
  <si>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</si>
  <si>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</si>
  <si>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</si>
  <si>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</si>
  <si>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</si>
  <si>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</si>
  <si>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</si>
  <si>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</si>
  <si>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</si>
  <si>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</si>
  <si>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</si>
  <si>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</si>
  <si>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</si>
  <si>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</si>
  <si>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</si>
  <si>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</si>
  <si>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</si>
  <si>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</si>
  <si>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</si>
  <si>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</si>
  <si>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</si>
  <si>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</si>
  <si>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</si>
  <si>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</si>
  <si>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</si>
  <si>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</si>
  <si>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</si>
  <si>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</si>
  <si>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</si>
  <si>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</si>
  <si>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</si>
  <si>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</si>
  <si>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</si>
  <si>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</si>
  <si>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</si>
  <si>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</si>
  <si>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</si>
  <si>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</si>
  <si>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</si>
  <si>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</si>
  <si>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</si>
  <si>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</si>
  <si>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</si>
  <si>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</si>
  <si>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</si>
  <si>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</si>
  <si>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</si>
  <si>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</si>
  <si>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</si>
  <si>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</si>
  <si>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</si>
  <si>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</si>
  <si>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</si>
  <si>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</si>
  <si>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</si>
  <si>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</si>
  <si>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</si>
  <si>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</si>
  <si>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</si>
  <si>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</si>
  <si>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</si>
  <si>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</si>
  <si>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</si>
  <si>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</si>
  <si>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</si>
  <si>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</si>
  <si>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</si>
  <si>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</si>
  <si>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</si>
  <si>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</si>
  <si>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</si>
  <si>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</si>
  <si>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</si>
  <si>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</si>
  <si>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</si>
  <si>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</si>
  <si>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</si>
  <si>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</si>
  <si>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</si>
  <si>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</si>
  <si>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</si>
  <si>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</si>
  <si>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</si>
  <si>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</si>
  <si>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</si>
  <si>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</si>
  <si>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</si>
  <si>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</si>
  <si>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</si>
  <si>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</si>
  <si>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</si>
  <si>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</si>
  <si>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</si>
  <si>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</si>
  <si>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</si>
  <si>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</si>
  <si>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</si>
  <si>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</si>
  <si>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</si>
  <si>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</si>
  <si>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</si>
  <si>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</si>
  <si>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</si>
  <si>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</si>
  <si>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</si>
  <si>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</si>
  <si>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</si>
  <si>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</si>
  <si>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</si>
  <si>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</si>
  <si>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</si>
  <si>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</si>
  <si>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</si>
  <si>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</si>
  <si>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</si>
  <si>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</si>
  <si>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</si>
  <si>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</si>
  <si>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</si>
  <si>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</si>
  <si>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</si>
  <si>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</si>
  <si>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</si>
  <si>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</si>
  <si>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</si>
  <si>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</si>
  <si>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</si>
  <si>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</si>
  <si>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</si>
  <si>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</si>
  <si>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</si>
  <si>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</si>
  <si>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</si>
  <si>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</si>
  <si>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</si>
  <si>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</si>
  <si>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</si>
  <si>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</si>
  <si>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</si>
  <si>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</si>
  <si>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</si>
  <si>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</si>
  <si>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</si>
  <si>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</si>
  <si>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</si>
  <si>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</si>
  <si>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</si>
  <si>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</si>
  <si>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</si>
  <si>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</si>
  <si>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</si>
  <si>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</si>
  <si>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</si>
  <si>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</si>
  <si>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</si>
  <si>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</si>
  <si>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</si>
  <si>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</si>
  <si>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</si>
  <si>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</si>
  <si>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</si>
  <si>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</si>
  <si>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</si>
  <si>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</si>
  <si>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</si>
  <si>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</si>
  <si>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</si>
  <si>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</si>
  <si>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</si>
  <si>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</si>
  <si>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</si>
  <si>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</si>
  <si>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</si>
  <si>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</si>
  <si>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</si>
  <si>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</si>
  <si>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</si>
  <si>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</si>
  <si>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</si>
  <si>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</si>
  <si>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</si>
  <si>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</si>
  <si>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</si>
  <si>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</si>
  <si>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</si>
  <si>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</si>
  <si>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</si>
  <si>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</si>
  <si>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</si>
  <si>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</si>
  <si>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</si>
  <si>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</si>
  <si>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</si>
  <si>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</si>
  <si>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</si>
  <si>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</si>
  <si>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</si>
  <si>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</si>
  <si>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</si>
  <si>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</si>
  <si>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</si>
  <si>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</si>
  <si>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</si>
  <si>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</si>
  <si>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</si>
  <si>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</si>
  <si>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</si>
  <si>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</si>
  <si>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</si>
  <si>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</si>
  <si>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</si>
  <si>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</si>
  <si>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</si>
  <si>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</si>
  <si>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</si>
  <si>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</si>
  <si>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</si>
  <si>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</si>
  <si>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</si>
  <si>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</si>
  <si>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</si>
  <si>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</si>
  <si>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</si>
  <si>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</si>
  <si>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</si>
  <si>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</si>
  <si>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</si>
  <si>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</si>
  <si>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</si>
  <si>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</si>
  <si>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</si>
  <si>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</si>
  <si>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</si>
  <si>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</si>
  <si>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</si>
  <si>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</si>
  <si>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</si>
  <si>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</si>
  <si>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</si>
  <si>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</si>
  <si>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</si>
  <si>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</si>
  <si>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</si>
  <si>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</si>
  <si>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</si>
  <si>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</si>
  <si>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</si>
  <si>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</si>
  <si>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</si>
  <si>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</si>
  <si>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</si>
  <si>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</si>
  <si>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</si>
  <si>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</si>
  <si>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</si>
  <si>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</si>
  <si>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</si>
  <si>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</si>
  <si>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</si>
  <si>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</si>
  <si>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</si>
  <si>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</si>
  <si>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</si>
  <si>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</si>
  <si>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</si>
  <si>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</si>
  <si>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</si>
  <si>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</si>
  <si>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</si>
  <si>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</si>
  <si>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</si>
  <si>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</si>
  <si>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</si>
  <si>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</si>
  <si>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</si>
  <si>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</si>
  <si>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</si>
  <si>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</si>
  <si>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</si>
  <si>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</si>
  <si>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</si>
  <si>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</si>
  <si>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</si>
  <si>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</si>
  <si>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</si>
  <si>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</si>
  <si>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</si>
  <si>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</si>
  <si>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</si>
  <si>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</si>
  <si>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</si>
  <si>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</si>
  <si>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</si>
  <si>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</si>
  <si>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</si>
  <si>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</si>
  <si>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</si>
  <si>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</si>
  <si>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</si>
  <si>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</si>
  <si>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</si>
  <si>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</si>
  <si>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</si>
  <si>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</si>
  <si>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</si>
  <si>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</si>
  <si>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</si>
  <si>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</si>
  <si>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</si>
  <si>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</si>
  <si>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</si>
  <si>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</si>
  <si>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</si>
  <si>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</si>
  <si>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</si>
  <si>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</si>
  <si>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</si>
  <si>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</si>
  <si>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</si>
  <si>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</si>
  <si>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</si>
  <si>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</si>
  <si>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</si>
  <si>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</si>
  <si>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</si>
  <si>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</si>
  <si>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</si>
  <si>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</si>
  <si>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</si>
  <si>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</si>
  <si>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</si>
  <si>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</si>
  <si>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</si>
  <si>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</si>
  <si>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</si>
  <si>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</si>
  <si>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</si>
  <si>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</si>
  <si>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</si>
  <si>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</si>
  <si>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</si>
  <si>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</si>
  <si>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</si>
  <si>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</si>
  <si>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</si>
  <si>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</si>
  <si>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</si>
  <si>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</si>
  <si>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</si>
  <si>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</si>
  <si>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</si>
  <si>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</si>
  <si>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</si>
  <si>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</si>
  <si>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</si>
  <si>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</si>
  <si>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</si>
  <si>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</si>
  <si>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</si>
  <si>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</si>
  <si>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</si>
  <si>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</si>
  <si>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</si>
  <si>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</si>
  <si>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</si>
  <si>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</si>
  <si>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</si>
  <si>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</si>
  <si>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</si>
  <si>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</si>
  <si>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</si>
  <si>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</si>
  <si>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</si>
  <si>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</si>
  <si>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</si>
  <si>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</si>
  <si>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</si>
  <si>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</si>
  <si>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</si>
  <si>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</si>
  <si>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</si>
  <si>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</si>
  <si>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</si>
  <si>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</si>
  <si>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</si>
  <si>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</si>
  <si>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</si>
  <si>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</si>
  <si>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</si>
  <si>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</si>
  <si>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</si>
  <si>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</si>
  <si>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</si>
  <si>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</si>
  <si>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</si>
  <si>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</si>
  <si>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</si>
  <si>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</si>
  <si>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</si>
  <si>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</si>
  <si>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</si>
  <si>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</si>
  <si>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</si>
  <si>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</si>
  <si>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</si>
  <si>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</si>
  <si>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</si>
  <si>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</si>
  <si>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</si>
  <si>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</si>
  <si>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</si>
  <si>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</si>
  <si>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</si>
  <si>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</si>
  <si>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</si>
  <si>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</si>
  <si>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</si>
  <si>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</si>
  <si>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</si>
  <si>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</si>
  <si>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</si>
  <si>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</si>
  <si>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</si>
  <si>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</si>
  <si>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</si>
  <si>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</si>
  <si>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</si>
  <si>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</si>
  <si>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</si>
  <si>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</si>
  <si>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</si>
  <si>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</si>
  <si>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</si>
  <si>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</si>
  <si>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</si>
  <si>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</si>
  <si>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</si>
  <si>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</si>
  <si>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</si>
  <si>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</si>
  <si>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</si>
  <si>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</si>
  <si>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</si>
  <si>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</si>
  <si>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</si>
  <si>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</si>
  <si>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</si>
  <si>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</si>
  <si>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</si>
  <si>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</si>
  <si>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</si>
  <si>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</si>
  <si>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</si>
  <si>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</si>
  <si>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</si>
  <si>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</si>
  <si>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</si>
  <si>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</si>
  <si>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</si>
  <si>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</si>
  <si>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</si>
  <si>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</si>
  <si>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</si>
  <si>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</si>
  <si>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</si>
  <si>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</si>
  <si>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</si>
  <si>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</si>
  <si>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</si>
  <si>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</si>
  <si>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</si>
  <si>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</si>
  <si>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</si>
  <si>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</si>
  <si>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</si>
  <si>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</si>
  <si>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</si>
  <si>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</si>
  <si>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</si>
  <si>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</si>
  <si>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</si>
  <si>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</si>
  <si>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</si>
  <si>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</si>
  <si>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</si>
  <si>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</si>
  <si>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</si>
  <si>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</si>
  <si>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</si>
  <si>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</si>
  <si>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</si>
  <si>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</si>
  <si>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</si>
  <si>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</si>
  <si>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</si>
  <si>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</si>
  <si>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</si>
  <si>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</si>
  <si>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</si>
  <si>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</si>
  <si>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</si>
  <si>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</si>
  <si>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</si>
  <si>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</si>
  <si>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</si>
  <si>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</si>
  <si>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</si>
  <si>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</si>
  <si>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</si>
  <si>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</si>
  <si>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</si>
  <si>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</si>
  <si>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</si>
  <si>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</si>
  <si>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</si>
  <si>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</si>
  <si>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</si>
  <si>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</si>
  <si>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</si>
  <si>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</si>
  <si>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</si>
  <si>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</si>
  <si>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</si>
  <si>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</si>
  <si>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</si>
  <si>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</si>
  <si>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</si>
  <si>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</si>
  <si>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</si>
  <si>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</si>
  <si>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</si>
  <si>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</si>
  <si>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</si>
  <si>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</si>
  <si>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</si>
  <si>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</si>
  <si>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</si>
  <si>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</si>
  <si>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</si>
  <si>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</si>
  <si>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</si>
  <si>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</si>
  <si>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</si>
  <si>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</si>
  <si>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</si>
  <si>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</si>
  <si>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</si>
  <si>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</si>
  <si>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</si>
  <si>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</si>
  <si>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</si>
  <si>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</si>
  <si>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</si>
  <si>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</si>
  <si>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</si>
  <si>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</si>
  <si>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</si>
  <si>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</si>
  <si>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</si>
  <si>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</si>
  <si>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</si>
  <si>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</si>
  <si>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</si>
  <si>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</si>
  <si>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</si>
  <si>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</si>
  <si>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</si>
  <si>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</si>
  <si>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</si>
  <si>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</si>
  <si>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</si>
  <si>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</si>
  <si>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</si>
  <si>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</si>
  <si>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</si>
  <si>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</si>
  <si>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</si>
  <si>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</si>
  <si>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</si>
  <si>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</si>
  <si>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</si>
  <si>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</si>
  <si>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</si>
  <si>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</si>
  <si>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</si>
  <si>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</si>
  <si>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</si>
  <si>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</si>
  <si>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</si>
  <si>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</si>
  <si>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</si>
  <si>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</si>
  <si>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</si>
  <si>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</si>
  <si>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</si>
  <si>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</si>
  <si>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</si>
  <si>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</si>
  <si>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</si>
  <si>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</si>
  <si>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</si>
  <si>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</si>
  <si>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</si>
  <si>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</si>
  <si>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</si>
  <si>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</si>
  <si>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</si>
  <si>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</si>
  <si>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</si>
  <si>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</si>
  <si>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</si>
  <si>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</si>
  <si>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</si>
  <si>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</si>
  <si>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</si>
  <si>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</si>
  <si>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</si>
  <si>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</si>
  <si>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</si>
  <si>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</si>
  <si>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</si>
  <si>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</si>
  <si>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</si>
  <si>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</si>
  <si>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</si>
  <si>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</si>
  <si>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</si>
  <si>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</si>
  <si>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</si>
  <si>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</si>
  <si>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</si>
  <si>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</si>
  <si>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</si>
  <si>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</si>
  <si>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</si>
  <si>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</si>
  <si>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</si>
  <si>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</si>
  <si>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</si>
  <si>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</si>
  <si>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</si>
  <si>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</si>
  <si>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</si>
  <si>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</si>
  <si>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</si>
  <si>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</si>
  <si>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</si>
  <si>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</si>
  <si>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</si>
  <si>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</si>
  <si>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</si>
  <si>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</si>
  <si>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</si>
  <si>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</si>
  <si>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</si>
  <si>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</si>
  <si>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</si>
  <si>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</si>
  <si>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</si>
  <si>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</si>
  <si>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</si>
  <si>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</si>
  <si>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</si>
  <si>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</si>
  <si>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</si>
  <si>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</si>
  <si>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</si>
  <si>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</si>
  <si>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</si>
  <si>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</si>
  <si>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</si>
  <si>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</si>
  <si>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</si>
  <si>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</si>
  <si>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</si>
  <si>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</si>
  <si>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</si>
  <si>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</si>
  <si>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</si>
  <si>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</si>
  <si>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</si>
  <si>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</si>
  <si>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</si>
  <si>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</si>
  <si>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</si>
  <si>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</si>
  <si>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</si>
  <si>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</si>
  <si>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</si>
  <si>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</si>
  <si>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</si>
  <si>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</si>
  <si>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</si>
  <si>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</si>
  <si>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</si>
  <si>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</si>
  <si>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</si>
  <si>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</si>
  <si>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</si>
  <si>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</si>
  <si>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</si>
  <si>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</si>
  <si>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</si>
  <si>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</si>
  <si>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</si>
  <si>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</si>
  <si>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</si>
  <si>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</si>
  <si>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</si>
  <si>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</si>
  <si>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</si>
  <si>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</si>
  <si>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</si>
  <si>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</si>
  <si>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</si>
  <si>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</si>
  <si>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</si>
  <si>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</si>
  <si>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</si>
  <si>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</si>
  <si>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</si>
  <si>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</si>
  <si>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</si>
  <si>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</si>
  <si>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</si>
  <si>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</si>
  <si>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</si>
  <si>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</si>
  <si>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</si>
  <si>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</si>
  <si>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</si>
  <si>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</si>
  <si>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</si>
  <si>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</si>
  <si>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</si>
  <si>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</si>
  <si>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</si>
  <si>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</si>
  <si>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</si>
  <si>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</si>
  <si>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</si>
  <si>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</si>
  <si>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</si>
  <si>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</si>
  <si>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</si>
  <si>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</si>
  <si>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</si>
  <si>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</si>
  <si>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</si>
  <si>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</si>
  <si>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</si>
  <si>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</si>
  <si>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</si>
  <si>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</si>
  <si>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</si>
  <si>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</si>
  <si>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</si>
  <si>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</si>
  <si>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</si>
  <si>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</si>
  <si>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</si>
  <si>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</si>
  <si>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</si>
  <si>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</si>
  <si>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</si>
  <si>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</si>
  <si>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</si>
  <si>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</si>
  <si>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</si>
  <si>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</si>
  <si>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</si>
  <si>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</si>
  <si>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</si>
  <si>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</si>
  <si>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</si>
  <si>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</si>
  <si>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</si>
  <si>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</si>
  <si>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</si>
  <si>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</si>
  <si>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</si>
  <si>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</si>
  <si>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</si>
  <si>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</si>
  <si>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</si>
  <si>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</si>
  <si>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</si>
  <si>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</si>
  <si>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</si>
  <si>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</si>
  <si>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</si>
  <si>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</si>
  <si>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</si>
  <si>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</si>
  <si>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</si>
  <si>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</si>
  <si>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</si>
  <si>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</si>
  <si>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</si>
  <si>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</si>
  <si>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</si>
  <si>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</si>
  <si>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</si>
  <si>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</si>
  <si>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</si>
  <si>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</si>
  <si>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</si>
  <si>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</si>
  <si>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</si>
  <si>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</si>
  <si>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</si>
  <si>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</si>
  <si>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</si>
  <si>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</si>
  <si>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</si>
  <si>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</si>
  <si>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</si>
  <si>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</si>
  <si>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</si>
  <si>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</si>
  <si>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</si>
  <si>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</si>
  <si>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</si>
  <si>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</si>
  <si>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</si>
  <si>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</si>
  <si>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</si>
  <si>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</si>
  <si>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</si>
  <si>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</si>
  <si>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</si>
  <si>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</si>
  <si>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</si>
  <si>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</si>
  <si>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</si>
  <si>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</si>
  <si>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</si>
  <si>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</si>
  <si>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</si>
  <si>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</si>
  <si>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</si>
  <si>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</si>
  <si>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</si>
  <si>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</si>
  <si>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</si>
  <si>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</si>
  <si>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</si>
  <si>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</si>
  <si>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</si>
  <si>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</si>
  <si>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</si>
  <si>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</si>
  <si>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</si>
  <si>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</si>
  <si>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</si>
  <si>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</si>
  <si>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</si>
  <si>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</si>
  <si>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</si>
  <si>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</si>
  <si>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</si>
  <si>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</si>
  <si>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</si>
  <si>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</si>
  <si>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</si>
  <si>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</si>
  <si>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</si>
  <si>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</si>
  <si>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</si>
  <si>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</si>
  <si>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</si>
  <si>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</si>
  <si>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</si>
  <si>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</si>
  <si>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</si>
  <si>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</si>
  <si>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</si>
  <si>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</si>
  <si>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</si>
  <si>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</si>
  <si>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</si>
  <si>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</si>
  <si>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</si>
  <si>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</si>
  <si>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</si>
  <si>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</si>
  <si>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</si>
  <si>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</si>
  <si>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</si>
  <si>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</si>
  <si>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</si>
  <si>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</si>
  <si>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</si>
  <si>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</si>
  <si>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</si>
  <si>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</si>
  <si>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</si>
  <si>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</si>
  <si>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</si>
  <si>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</si>
  <si>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</si>
  <si>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</si>
  <si>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</si>
  <si>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</si>
  <si>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</si>
  <si>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</si>
  <si>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</si>
  <si>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</si>
  <si>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</si>
  <si>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</si>
  <si>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</si>
  <si>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</si>
  <si>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</si>
  <si>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</si>
  <si>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</si>
  <si>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</si>
  <si>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</si>
  <si>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</si>
  <si>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</si>
  <si>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</si>
  <si>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</si>
  <si>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</si>
  <si>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</si>
  <si>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</si>
  <si>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</si>
  <si>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</si>
  <si>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</si>
  <si>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</si>
  <si>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</si>
  <si>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</si>
  <si>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</si>
  <si>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</si>
  <si>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</si>
  <si>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</si>
  <si>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</si>
  <si>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</si>
  <si>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</si>
  <si>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</si>
  <si>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</si>
  <si>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</si>
  <si>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</si>
  <si>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</si>
  <si>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</si>
  <si>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</si>
  <si>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</si>
  <si>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</si>
  <si>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</si>
  <si>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</si>
  <si>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</si>
  <si>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</si>
  <si>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</si>
  <si>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</si>
  <si>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</si>
  <si>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</si>
  <si>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</si>
  <si>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</si>
  <si>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</si>
  <si>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</si>
  <si>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</si>
  <si>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</si>
  <si>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</si>
  <si>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</si>
  <si>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</si>
  <si>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</si>
  <si>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</si>
  <si>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</si>
  <si>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</si>
  <si>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</si>
  <si>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</si>
  <si>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</si>
  <si>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</si>
  <si>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</si>
  <si>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</si>
  <si>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</si>
  <si>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</si>
  <si>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</si>
  <si>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</si>
  <si>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</si>
  <si>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</si>
  <si>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</si>
  <si>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</si>
  <si>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</si>
  <si>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</si>
  <si>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</si>
  <si>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</si>
  <si>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</si>
  <si>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</si>
  <si>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</si>
  <si>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</si>
  <si>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</si>
  <si>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</si>
  <si>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</si>
  <si>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</si>
  <si>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</si>
  <si>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</si>
  <si>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</si>
  <si>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</si>
  <si>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</si>
  <si>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</si>
  <si>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</si>
  <si>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</si>
  <si>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</si>
  <si>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</si>
  <si>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</si>
  <si>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</si>
  <si>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</si>
  <si>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</si>
  <si>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</si>
  <si>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</si>
  <si>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</si>
  <si>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</si>
  <si>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</si>
  <si>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</si>
  <si>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</si>
  <si>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</si>
  <si>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</si>
  <si>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</si>
  <si>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</si>
  <si>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</si>
  <si>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</si>
  <si>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</si>
  <si>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</si>
  <si>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</si>
  <si>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</si>
  <si>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</si>
  <si>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</si>
  <si>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</si>
  <si>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</si>
  <si>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</si>
  <si>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</si>
  <si>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</si>
  <si>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</si>
  <si>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</si>
  <si>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</si>
  <si>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</si>
  <si>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</si>
  <si>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</si>
  <si>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</si>
  <si>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</si>
  <si>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</si>
  <si>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</si>
  <si>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</si>
  <si>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</si>
  <si>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</si>
  <si>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</si>
  <si>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</si>
  <si>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</si>
  <si>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</si>
  <si>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</si>
  <si>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</si>
  <si>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</si>
  <si>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</si>
  <si>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</si>
  <si>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</si>
  <si>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</si>
  <si>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</si>
  <si>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</si>
  <si>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</si>
  <si>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</si>
  <si>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</si>
  <si>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</si>
  <si>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</si>
  <si>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</si>
  <si>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</si>
  <si>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</si>
  <si>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</si>
  <si>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</si>
  <si>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</si>
  <si>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</si>
  <si>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</si>
  <si>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</si>
  <si>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</si>
  <si>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</si>
  <si>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</si>
  <si>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</si>
  <si>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</si>
  <si>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</si>
  <si>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</si>
  <si>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</si>
  <si>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</si>
  <si>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</si>
  <si>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</si>
  <si>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</si>
  <si>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</si>
  <si>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</si>
  <si>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</si>
  <si>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</si>
  <si>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</si>
  <si>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</si>
  <si>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</si>
  <si>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</si>
  <si>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</si>
  <si>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</si>
  <si>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</si>
  <si>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</si>
  <si>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</si>
  <si>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</si>
  <si>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</si>
  <si>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</si>
  <si>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</si>
  <si>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</si>
  <si>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</si>
  <si>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</si>
  <si>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</si>
  <si>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</si>
  <si>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</si>
  <si>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</si>
  <si>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</si>
  <si>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</si>
  <si>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</si>
  <si>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</si>
  <si>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</si>
  <si>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</si>
  <si>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</si>
  <si>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</si>
  <si>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</si>
  <si>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</si>
  <si>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</si>
  <si>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</si>
  <si>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</si>
  <si>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</si>
  <si>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</si>
  <si>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</si>
  <si>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</si>
  <si>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</si>
  <si>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</si>
  <si>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</si>
  <si>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</si>
  <si>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</si>
  <si>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</si>
  <si>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</si>
  <si>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</si>
  <si>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</si>
  <si>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</si>
  <si>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</si>
  <si>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</si>
  <si>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</si>
  <si>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</si>
  <si>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</si>
  <si>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</si>
  <si>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</si>
  <si>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</si>
  <si>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</si>
  <si>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</si>
  <si>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</si>
  <si>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</si>
  <si>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</si>
  <si>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</si>
  <si>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</si>
  <si>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</si>
  <si>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</si>
  <si>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</si>
  <si>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</si>
  <si>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</si>
  <si>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</si>
  <si>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</si>
  <si>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</si>
  <si>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</si>
  <si>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</si>
  <si>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</si>
  <si>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</si>
  <si>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</si>
  <si>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</si>
  <si>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</si>
  <si>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</si>
  <si>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</si>
  <si>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</si>
  <si>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</si>
  <si>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</si>
  <si>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</si>
  <si>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</si>
  <si>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</si>
  <si>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</si>
  <si>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</si>
  <si>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</si>
  <si>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</si>
  <si>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</si>
  <si>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</si>
  <si>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</si>
  <si>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</si>
  <si>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</si>
  <si>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</si>
  <si>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</si>
  <si>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</si>
  <si>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</si>
  <si>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</si>
  <si>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</si>
  <si>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</si>
  <si>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</si>
  <si>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</si>
  <si>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</si>
  <si>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</si>
  <si>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</si>
  <si>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</si>
  <si>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</si>
  <si>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</si>
  <si>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</si>
  <si>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</si>
  <si>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</si>
  <si>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</si>
  <si>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</si>
  <si>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</si>
  <si>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</si>
  <si>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</si>
  <si>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</si>
  <si>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</si>
  <si>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</si>
  <si>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</si>
  <si>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</si>
  <si>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</si>
  <si>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</si>
  <si>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</si>
  <si>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</si>
  <si>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</si>
  <si>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</si>
  <si>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</si>
  <si>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</si>
  <si>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</si>
  <si>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</si>
  <si>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</si>
  <si>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</si>
  <si>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</si>
  <si>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</si>
  <si>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</si>
  <si>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</si>
  <si>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</si>
  <si>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</si>
  <si>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</si>
  <si>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</si>
  <si>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</si>
  <si>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</si>
  <si>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</si>
  <si>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</si>
  <si>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</si>
  <si>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</si>
  <si>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</si>
  <si>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</si>
  <si>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</si>
  <si>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</si>
  <si>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</si>
  <si>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</si>
  <si>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</si>
  <si>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</si>
  <si>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</si>
  <si>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</si>
  <si>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</si>
  <si>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</si>
  <si>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</si>
  <si>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</si>
  <si>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</si>
  <si>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</si>
  <si>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</si>
  <si>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</si>
  <si>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</si>
  <si>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</si>
  <si>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</si>
  <si>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</si>
  <si>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</si>
  <si>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</si>
  <si>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</si>
  <si>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</si>
  <si>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</si>
  <si>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</si>
  <si>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</si>
  <si>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</si>
  <si>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</si>
  <si>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</si>
  <si>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</si>
  <si>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</si>
  <si>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</si>
  <si>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</si>
  <si>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</si>
  <si>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</si>
  <si>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</si>
  <si>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</si>
  <si>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</si>
  <si>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</si>
  <si>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</si>
  <si>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</si>
  <si>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</si>
  <si>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</si>
  <si>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</si>
  <si>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</si>
  <si>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</si>
  <si>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</si>
  <si>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</si>
  <si>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</si>
  <si>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</si>
  <si>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</si>
  <si>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</si>
  <si>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</si>
  <si>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</si>
  <si>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</si>
  <si>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</si>
  <si>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</si>
  <si>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</si>
  <si>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</si>
  <si>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</si>
  <si>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</si>
  <si>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</si>
  <si>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</si>
  <si>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</si>
  <si>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</si>
  <si>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</si>
  <si>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</si>
  <si>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</si>
  <si>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</si>
  <si>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</si>
  <si>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</si>
  <si>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</si>
  <si>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</si>
  <si>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</si>
  <si>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</si>
  <si>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</si>
  <si>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</si>
  <si>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</si>
  <si>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</si>
  <si>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</si>
  <si>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</si>
  <si>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</si>
  <si>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</si>
  <si>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</si>
  <si>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</si>
  <si>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</si>
  <si>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</si>
  <si>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</si>
  <si>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</si>
  <si>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</si>
  <si>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</si>
  <si>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</si>
  <si>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</si>
  <si>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</si>
  <si>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</si>
  <si>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</si>
  <si>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</si>
  <si>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</si>
  <si>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</si>
  <si>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</si>
  <si>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</si>
  <si>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</si>
  <si>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</si>
  <si>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</si>
  <si>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</si>
  <si>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</si>
  <si>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</si>
  <si>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</si>
  <si>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</si>
  <si>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</si>
  <si>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</si>
  <si>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</si>
  <si>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</si>
  <si>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</si>
  <si>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</si>
  <si>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</si>
  <si>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</si>
  <si>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</si>
  <si>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</si>
  <si>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</si>
  <si>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</si>
  <si>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</si>
  <si>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</si>
  <si>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</si>
  <si>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</si>
  <si>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</si>
  <si>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</si>
  <si>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</si>
  <si>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</si>
  <si>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</si>
  <si>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</si>
  <si>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</si>
  <si>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</si>
  <si>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</si>
  <si>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</si>
  <si>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</si>
  <si>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</si>
  <si>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</si>
  <si>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</si>
  <si>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</si>
  <si>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</si>
  <si>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</si>
  <si>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</si>
  <si>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</si>
  <si>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</si>
  <si>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</si>
  <si>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</si>
  <si>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</si>
  <si>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</si>
  <si>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</si>
  <si>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</si>
  <si>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</si>
  <si>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</si>
  <si>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</si>
  <si>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</si>
  <si>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</si>
  <si>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</si>
  <si>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</si>
  <si>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</si>
  <si>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</si>
  <si>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</si>
  <si>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</si>
  <si>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</si>
  <si>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</si>
  <si>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</si>
  <si>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</si>
  <si>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</si>
  <si>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</si>
  <si>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</si>
  <si>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</si>
  <si>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</si>
  <si>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</si>
  <si>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</si>
  <si>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</si>
  <si>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</si>
  <si>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</si>
  <si>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</si>
  <si>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</si>
  <si>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</si>
  <si>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</si>
  <si>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</si>
  <si>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</si>
  <si>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</si>
  <si>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</si>
  <si>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</si>
  <si>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</si>
  <si>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</si>
  <si>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</si>
  <si>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</si>
  <si>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</si>
  <si>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</si>
  <si>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</si>
  <si>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</si>
  <si>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</si>
  <si>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</si>
  <si>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</si>
  <si>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</si>
  <si>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</si>
  <si>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</si>
  <si>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</si>
  <si>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</si>
  <si>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</si>
  <si>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</si>
  <si>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</si>
  <si>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</si>
  <si>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</si>
  <si>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</si>
  <si>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</si>
  <si>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</si>
  <si>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</si>
  <si>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</si>
  <si>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</si>
  <si>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</si>
  <si>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</si>
  <si>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</si>
  <si>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</si>
  <si>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</si>
  <si>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</si>
  <si>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</si>
  <si>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</si>
  <si>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</si>
  <si>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</si>
  <si>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</si>
  <si>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</si>
  <si>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</si>
  <si>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</si>
  <si>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</si>
  <si>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</si>
  <si>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</si>
  <si>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</si>
  <si>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</si>
  <si>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</si>
  <si>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</si>
  <si>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</si>
  <si>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</si>
  <si>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</si>
  <si>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</si>
  <si>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</si>
  <si>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</si>
  <si>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</si>
  <si>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</si>
  <si>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</si>
  <si>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</si>
  <si>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</si>
  <si>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</si>
  <si>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</si>
  <si>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</si>
  <si>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</si>
  <si>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</si>
  <si>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</si>
  <si>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</si>
  <si>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</si>
  <si>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</si>
  <si>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</si>
  <si>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</si>
  <si>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</si>
  <si>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</si>
  <si>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</si>
  <si>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</si>
  <si>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</si>
  <si>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</si>
  <si>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</si>
  <si>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</si>
  <si>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</si>
  <si>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</si>
  <si>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</si>
  <si>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</si>
  <si>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</si>
  <si>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</si>
  <si>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</si>
  <si>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</si>
  <si>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</si>
  <si>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</si>
  <si>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</si>
  <si>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</si>
  <si>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</si>
  <si>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</si>
  <si>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</si>
  <si>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</si>
  <si>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</si>
  <si>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</si>
  <si>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</si>
  <si>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</si>
  <si>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</si>
  <si>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</si>
  <si>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</si>
  <si>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</si>
  <si>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</si>
  <si>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</si>
  <si>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</si>
  <si>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</si>
  <si>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</si>
  <si>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</si>
  <si>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</si>
  <si>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</si>
  <si>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</si>
  <si>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</si>
  <si>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</si>
  <si>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</si>
  <si>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</si>
  <si>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</si>
  <si>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</si>
  <si>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</si>
  <si>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</si>
  <si>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</si>
  <si>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</si>
  <si>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</si>
  <si>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</si>
  <si>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</si>
  <si>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</si>
  <si>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</si>
  <si>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</si>
  <si>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</si>
  <si>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</si>
  <si>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</si>
  <si>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</si>
  <si>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</si>
  <si>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</si>
  <si>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</si>
  <si>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</si>
  <si>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</si>
  <si>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</si>
  <si>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</si>
  <si>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</si>
  <si>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</si>
  <si>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</si>
  <si>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</si>
  <si>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</si>
  <si>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</si>
  <si>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</si>
  <si>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</si>
  <si>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</si>
  <si>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</si>
  <si>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</si>
  <si>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</si>
  <si>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</si>
  <si>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</si>
  <si>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</si>
  <si>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</si>
  <si>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</si>
  <si>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</si>
  <si>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</si>
  <si>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</si>
  <si>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</si>
  <si>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</si>
  <si>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</si>
  <si>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</si>
  <si>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</si>
  <si>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</si>
  <si>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</si>
  <si>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</si>
  <si>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</si>
  <si>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</si>
  <si>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</si>
  <si>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</si>
  <si>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</si>
  <si>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</si>
  <si>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</si>
  <si>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</si>
  <si>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</si>
  <si>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</si>
  <si>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</si>
  <si>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</si>
  <si>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</si>
  <si>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</si>
  <si>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</si>
  <si>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</si>
  <si>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</si>
  <si>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</si>
  <si>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</si>
  <si>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</si>
  <si>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</si>
  <si>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</si>
  <si>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</si>
  <si>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</si>
  <si>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</si>
  <si>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</si>
  <si>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</si>
  <si>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</si>
  <si>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</si>
  <si>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</si>
  <si>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</si>
  <si>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</si>
  <si>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</si>
  <si>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</si>
  <si>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</si>
  <si>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</si>
  <si>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</si>
  <si>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</si>
  <si>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</si>
  <si>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</si>
  <si>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</si>
  <si>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</si>
  <si>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</si>
  <si>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</si>
  <si>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</si>
  <si>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</si>
  <si>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</si>
  <si>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</si>
  <si>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</si>
  <si>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</si>
  <si>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</si>
  <si>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</si>
  <si>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</si>
  <si>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</si>
  <si>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</si>
  <si>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</si>
  <si>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</si>
  <si>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</si>
  <si>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</si>
  <si>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</si>
  <si>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</si>
  <si>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</si>
  <si>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</si>
  <si>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</si>
  <si>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</si>
  <si>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</si>
  <si>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</si>
  <si>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</si>
  <si>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</si>
  <si>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</si>
  <si>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</si>
  <si>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</si>
  <si>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</si>
  <si>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</si>
  <si>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</si>
  <si>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</si>
  <si>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</si>
  <si>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</si>
  <si>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</si>
  <si>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</si>
  <si>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</si>
  <si>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</si>
  <si>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</si>
  <si>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</si>
  <si>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</si>
  <si>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</si>
  <si>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</si>
  <si>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</si>
  <si>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</si>
  <si>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</si>
  <si>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</si>
  <si>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</si>
  <si>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</si>
  <si>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</si>
  <si>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</si>
  <si>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</si>
  <si>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</si>
  <si>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</si>
  <si>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</si>
  <si>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</si>
  <si>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</si>
  <si>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</si>
  <si>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</si>
  <si>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</si>
  <si>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</si>
  <si>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</si>
  <si>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</si>
  <si>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</si>
  <si>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</si>
  <si>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</si>
  <si>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</si>
  <si>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</si>
  <si>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</si>
  <si>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</si>
  <si>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</si>
  <si>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</si>
  <si>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</si>
  <si>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</si>
  <si>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</si>
  <si>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</si>
  <si>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</si>
  <si>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</si>
  <si>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</si>
  <si>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</si>
  <si>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</si>
  <si>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</si>
  <si>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</si>
  <si>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</si>
  <si>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</si>
  <si>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</si>
  <si>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</si>
  <si>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</si>
  <si>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</si>
  <si>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</si>
  <si>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</si>
  <si>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</si>
  <si>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</si>
  <si>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</si>
  <si>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</si>
  <si>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</si>
  <si>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</si>
  <si>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</si>
  <si>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</si>
  <si>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</si>
  <si>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</si>
  <si>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</si>
  <si>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</si>
  <si>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</si>
  <si>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</si>
  <si>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</si>
  <si>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</si>
  <si>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</si>
  <si>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</si>
  <si>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</si>
  <si>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</si>
  <si>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</si>
  <si>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</si>
  <si>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</si>
  <si>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</si>
  <si>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</si>
  <si>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</si>
  <si>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</si>
  <si>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</si>
  <si>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</si>
  <si>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</si>
  <si>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</si>
  <si>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</si>
  <si>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</si>
  <si>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</si>
  <si>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</si>
  <si>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</si>
  <si>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</si>
  <si>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</si>
  <si>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</si>
  <si>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</si>
  <si>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</si>
  <si>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</si>
  <si>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</si>
  <si>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</si>
  <si>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</si>
  <si>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</si>
  <si>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</si>
  <si>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</si>
  <si>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</si>
  <si>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</si>
  <si>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</si>
  <si>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</si>
  <si>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</si>
  <si>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</si>
  <si>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</si>
  <si>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</si>
  <si>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</si>
  <si>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</si>
  <si>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</si>
  <si>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</si>
  <si>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</si>
  <si>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</si>
  <si>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</si>
  <si>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</si>
  <si>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</si>
  <si>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</si>
  <si>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</si>
  <si>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</si>
  <si>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</si>
  <si>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</si>
  <si>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</si>
  <si>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</si>
  <si>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</si>
  <si>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</si>
  <si>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</si>
  <si>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</si>
  <si>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</si>
  <si>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</si>
  <si>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</si>
  <si>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</si>
  <si>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</si>
  <si>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</si>
  <si>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</si>
  <si>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</si>
  <si>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</si>
  <si>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</si>
  <si>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</si>
  <si>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</si>
  <si>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</si>
  <si>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</si>
  <si>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</si>
  <si>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</si>
  <si>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</si>
  <si>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</si>
  <si>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</si>
  <si>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</si>
  <si>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</si>
  <si>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</si>
  <si>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</si>
  <si>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</si>
  <si>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</si>
  <si>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</si>
  <si>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</si>
  <si>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</si>
  <si>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</si>
  <si>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</si>
  <si>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</si>
  <si>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</si>
  <si>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</si>
  <si>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</si>
  <si>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</si>
  <si>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</si>
  <si>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</si>
  <si>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</si>
  <si>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</si>
  <si>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</si>
  <si>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</si>
  <si>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</si>
  <si>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</si>
  <si>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</si>
  <si>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</si>
  <si>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</si>
  <si>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</si>
  <si>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</si>
  <si>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</si>
  <si>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</si>
  <si>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</si>
  <si>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</si>
  <si>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</si>
  <si>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</si>
  <si>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</si>
  <si>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</si>
  <si>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</si>
  <si>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</si>
  <si>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</si>
  <si>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</si>
  <si>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</si>
  <si>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</si>
  <si>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</si>
  <si>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</si>
  <si>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</si>
  <si>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</si>
  <si>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</si>
  <si>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</si>
  <si>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</si>
  <si>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</si>
  <si>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</si>
  <si>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</si>
  <si>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</si>
  <si>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</si>
  <si>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</si>
  <si>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</si>
  <si>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</si>
  <si>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</si>
  <si>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</si>
  <si>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</si>
  <si>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</si>
  <si>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</si>
  <si>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</si>
  <si>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</si>
  <si>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</si>
  <si>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</si>
  <si>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</si>
  <si>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</si>
  <si>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</si>
  <si>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</si>
  <si>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</si>
  <si>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</si>
  <si>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</si>
  <si>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</si>
  <si>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</si>
  <si>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</si>
  <si>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</si>
  <si>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</si>
  <si>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</si>
  <si>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</si>
  <si>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</si>
  <si>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</si>
  <si>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</si>
  <si>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</si>
  <si>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</si>
  <si>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</si>
  <si>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</si>
  <si>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</si>
  <si>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</si>
  <si>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</si>
  <si>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</si>
  <si>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</si>
  <si>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</si>
  <si>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</si>
  <si>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</si>
  <si>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</si>
  <si>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</si>
  <si>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</si>
  <si>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</si>
  <si>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</si>
  <si>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</si>
  <si>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</si>
  <si>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</si>
  <si>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</si>
  <si>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</si>
  <si>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</si>
  <si>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</si>
  <si>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</si>
  <si>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</si>
  <si>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</si>
  <si>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</si>
  <si>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</si>
  <si>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</si>
  <si>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</si>
  <si>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</si>
  <si>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</si>
  <si>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</si>
  <si>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</si>
  <si>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</si>
  <si>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</si>
  <si>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</si>
  <si>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</si>
  <si>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</si>
  <si>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</si>
  <si>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</si>
  <si>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</si>
  <si>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</si>
  <si>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</si>
  <si>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</si>
  <si>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</si>
  <si>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</si>
  <si>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</si>
  <si>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</si>
  <si>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</si>
  <si>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</si>
  <si>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</si>
  <si>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</si>
  <si>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</si>
  <si>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</si>
  <si>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</si>
  <si>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</si>
  <si>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</si>
  <si>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</si>
  <si>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</si>
  <si>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</si>
  <si>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</si>
  <si>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</si>
  <si>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</si>
  <si>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</si>
  <si>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</si>
  <si>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</si>
  <si>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</si>
  <si>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</si>
  <si>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</si>
  <si>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</si>
  <si>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</si>
  <si>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</si>
  <si>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</si>
  <si>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</si>
  <si>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</si>
  <si>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</si>
  <si>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</si>
  <si>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</si>
  <si>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</si>
  <si>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</si>
  <si>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</si>
  <si>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</si>
  <si>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</si>
  <si>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</si>
  <si>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</si>
  <si>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</si>
  <si>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</si>
  <si>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</si>
  <si>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</si>
  <si>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</si>
  <si>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</si>
  <si>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</si>
  <si>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</si>
  <si>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</si>
  <si>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</si>
  <si>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</si>
  <si>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</si>
  <si>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</si>
  <si>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</si>
  <si>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</si>
  <si>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</si>
  <si>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</si>
  <si>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</si>
  <si>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</si>
  <si>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</si>
  <si>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Wipfli LLP</t>
  </si>
  <si>
    <t>403 East 3rd Street</t>
  </si>
  <si>
    <t>Sterling</t>
  </si>
  <si>
    <t>IL</t>
  </si>
  <si>
    <t>815-626-1277</t>
  </si>
  <si>
    <t>815-626-9118</t>
  </si>
  <si>
    <t>066-004023</t>
  </si>
  <si>
    <t>mschueler@wipfli.com</t>
  </si>
  <si>
    <t>X</t>
  </si>
  <si>
    <t>49-081-0370-02</t>
  </si>
  <si>
    <t>Rock Island</t>
  </si>
  <si>
    <t>3451 Morton Drive</t>
  </si>
  <si>
    <t>East Moline</t>
  </si>
  <si>
    <t>khumphries@emsd37.org</t>
  </si>
  <si>
    <t>Kristin Humphries</t>
  </si>
  <si>
    <t>309-792-2887</t>
  </si>
  <si>
    <t>309-792-6008</t>
  </si>
  <si>
    <t>Matthew Schueler</t>
  </si>
  <si>
    <t>x</t>
  </si>
  <si>
    <t>D.  The District 2017A and 2017B Bonds are Alternate Revenue Source Bonds</t>
  </si>
  <si>
    <t>General Obligation Series 2014</t>
  </si>
  <si>
    <t>General Obligation Series 2015</t>
  </si>
  <si>
    <t>General Obligation Series 2016</t>
  </si>
  <si>
    <t>General Obligation (Alternate Revenue Source) Series 2017A</t>
  </si>
  <si>
    <t>General Obligation (Alternate Revenue Source) Series 2017B</t>
  </si>
  <si>
    <t>East Moline School District #37</t>
  </si>
  <si>
    <t>PROGRAMS - NON LOAN PROGRAMS</t>
  </si>
  <si>
    <t>CFDA#</t>
  </si>
  <si>
    <t>Identifying Number</t>
  </si>
  <si>
    <t>Grant Term</t>
  </si>
  <si>
    <t>Revenue (7/1/17-6/30/18)</t>
  </si>
  <si>
    <t>Expenditures (7/1/17-6/30/18)</t>
  </si>
  <si>
    <t>Passed Through to Subrecipients (7/1/17-6/30/18)</t>
  </si>
  <si>
    <t>Obligations</t>
  </si>
  <si>
    <t>Total Expenses</t>
  </si>
  <si>
    <t>Final Status</t>
  </si>
  <si>
    <t>US Dept of Agriculture</t>
  </si>
  <si>
    <t>Pass-thru: IL State Board of Education</t>
  </si>
  <si>
    <t>Child Nutrition Cluster (M)</t>
  </si>
  <si>
    <t>n/a</t>
  </si>
  <si>
    <t>(M)</t>
  </si>
  <si>
    <t>17-4220-00</t>
  </si>
  <si>
    <t>09/01/16-09/30/17</t>
  </si>
  <si>
    <t>18-4220-00</t>
  </si>
  <si>
    <t>09/01/17-09/30/18</t>
  </si>
  <si>
    <t>17-4210-00</t>
  </si>
  <si>
    <t>18-4210-00</t>
  </si>
  <si>
    <t>Food Commodities</t>
  </si>
  <si>
    <t>Dept of Defense Fresf Fruit &amp; Vegetables</t>
  </si>
  <si>
    <t>18-49081037002</t>
  </si>
  <si>
    <t>Fresh Fruits and Vegetables</t>
  </si>
  <si>
    <t>07/01/16-09/30/17</t>
  </si>
  <si>
    <t>17-4240-17</t>
  </si>
  <si>
    <t>18-4240-17</t>
  </si>
  <si>
    <t>07/01/17-09/30/18</t>
  </si>
  <si>
    <t>18-4240-18</t>
  </si>
  <si>
    <t>TOTAL US Dept of Agriculture</t>
  </si>
  <si>
    <t>US Dept of Education</t>
  </si>
  <si>
    <t>Title I, Part A Cluster</t>
  </si>
  <si>
    <t>84.010</t>
  </si>
  <si>
    <t>17-4300-00</t>
  </si>
  <si>
    <t>07/01/16-08/31/17</t>
  </si>
  <si>
    <t>18-4300-00</t>
  </si>
  <si>
    <t>07/01/17-08/31/18</t>
  </si>
  <si>
    <t>Special Education Grant</t>
  </si>
  <si>
    <t>Pass-thru: Blackhawk Area Special Ed Coop</t>
  </si>
  <si>
    <t xml:space="preserve">Special Ed IDEA - Flow-through </t>
  </si>
  <si>
    <t>17-4620-00</t>
  </si>
  <si>
    <t>07/01/16-08/30/17</t>
  </si>
  <si>
    <t>18-4620-00</t>
  </si>
  <si>
    <t>07/01/17-08/30/18</t>
  </si>
  <si>
    <t>Special Education (IDEA) Cluster</t>
  </si>
  <si>
    <t>Pass-thru grantor: IL State Board of Education</t>
  </si>
  <si>
    <t>Special Ed IDEA - Flow-through</t>
  </si>
  <si>
    <t>17-4625-XC</t>
  </si>
  <si>
    <t>09/1/16-08/31/17</t>
  </si>
  <si>
    <t>Pass-thru: Rock Island County Regional Office of Education</t>
  </si>
  <si>
    <t>21st Century Community Learning Centers</t>
  </si>
  <si>
    <t>Lights on for Learning at Glenview Middle School</t>
  </si>
  <si>
    <t>17-4421-25</t>
  </si>
  <si>
    <t>18-4421-25</t>
  </si>
  <si>
    <t>English Language Acquisition State Grants</t>
  </si>
  <si>
    <t>Title III - Immigrant Education Program</t>
  </si>
  <si>
    <t>17-4905-00</t>
  </si>
  <si>
    <t>09/01/16-08/31/17</t>
  </si>
  <si>
    <t>18-4905-00</t>
  </si>
  <si>
    <t>09/01/17-08/31/18</t>
  </si>
  <si>
    <t>Title III - Language Instruction Program - Limited English</t>
  </si>
  <si>
    <t>84.365</t>
  </si>
  <si>
    <t>17-4909-00</t>
  </si>
  <si>
    <t>18-4909-00</t>
  </si>
  <si>
    <t>09/01/17-09/31/18</t>
  </si>
  <si>
    <t>Title II - Improving Teacher Quality</t>
  </si>
  <si>
    <t>17-4932-00</t>
  </si>
  <si>
    <t>18-4932-00</t>
  </si>
  <si>
    <t>TOTAL US Dept of Education</t>
  </si>
  <si>
    <t>US Dept of Health and Human Services</t>
  </si>
  <si>
    <t>Pass-thru: IL Dept of Healthcare and Family Services</t>
  </si>
  <si>
    <t>Medical Assistance Program</t>
  </si>
  <si>
    <t>Medicaid Outreach</t>
  </si>
  <si>
    <t>FY2017</t>
  </si>
  <si>
    <t>FY2018</t>
  </si>
  <si>
    <t>07/01/17-06/30/18</t>
  </si>
  <si>
    <t>TOTAL US Dept of Health and Human Services</t>
  </si>
  <si>
    <t>TOTALS</t>
  </si>
  <si>
    <t>(M)  Major Program</t>
  </si>
  <si>
    <t>2018-001</t>
  </si>
  <si>
    <t>Financial statement drafted by auditors.</t>
  </si>
  <si>
    <t>No plan, not cost feasible to add staff.</t>
  </si>
  <si>
    <t>2017-001</t>
  </si>
  <si>
    <t>Management is responsible for establishing and maintaining internal controls and for the fair presentation of the financial statements including the related disclosures, in conformity with the regulatory basis of accounting, which is a basis of accounting other than U.S. generally accepted accounting principles (GAAP).</t>
  </si>
  <si>
    <t>he District does not have an internal control policy in place over annual financial reporting that would enable management to prepare its annual financial statements and ensure related footnote disclosures are complete and presented in accordance with the regulatory basis of accounting.</t>
  </si>
  <si>
    <t>Management has informed us that they do not have an internal control policy in place over the annual financial including footnote disclosures.</t>
  </si>
  <si>
    <t>The completeness of the financial statement disclosures and the accuracy of the overall financial presentation is negatively impacted as external auditors do not have the same comprehensive understanding of the District as its internal staff.</t>
  </si>
  <si>
    <t>The District relies on the audit firm to prepare the annual financial statements and related footnote disclosures.  However, they have reviewed and approved the annual financial statements and the related footnote disclosures.</t>
  </si>
  <si>
    <t>Management should continue to review and approve the annual financial statements and the related footnote disclosures.</t>
  </si>
  <si>
    <t>The District will continue to review the financial statements and required footnotes prepared by the external auditors.  The District believes this process to be the most economical and appropriate to help ensure complete and proper financial reporting.</t>
  </si>
  <si>
    <t>Qualified and Adverse</t>
  </si>
  <si>
    <t>Unmodified</t>
  </si>
  <si>
    <t>Child Nutrition Cluster</t>
  </si>
  <si>
    <t>Year Ended June 30, 2019</t>
  </si>
  <si>
    <t>Revenue (7/1/18-6/30/19)</t>
  </si>
  <si>
    <t>Expenditures (7/1/18-6/30/19)</t>
  </si>
  <si>
    <t>Passed Through to Subrecipients (7/1/18-6/30/19)</t>
  </si>
  <si>
    <t>19-4220-00</t>
  </si>
  <si>
    <t>09/01/18-09/30/19</t>
  </si>
  <si>
    <t>19-4210-00</t>
  </si>
  <si>
    <t>19-49081037002</t>
  </si>
  <si>
    <t>10.553, 10.555,</t>
  </si>
  <si>
    <t>19-4240-18</t>
  </si>
  <si>
    <t>19-4240-19</t>
  </si>
  <si>
    <t>07/01/18-09/30/19</t>
  </si>
  <si>
    <t>19-4300-00</t>
  </si>
  <si>
    <t>07/01/18-08/31/19</t>
  </si>
  <si>
    <t>19-4620-00</t>
  </si>
  <si>
    <t>07/01/18-08/30/19</t>
  </si>
  <si>
    <t>18-4625-XC</t>
  </si>
  <si>
    <t>09/1/17-08/31/18</t>
  </si>
  <si>
    <t>19-4421-25</t>
  </si>
  <si>
    <t>19-4905-00</t>
  </si>
  <si>
    <t>19-4909-00</t>
  </si>
  <si>
    <t>09/01/18-08/31/19</t>
  </si>
  <si>
    <t>09/01/18-09/31/19</t>
  </si>
  <si>
    <t>FY2019</t>
  </si>
  <si>
    <t>07/01/15-06/30/17</t>
  </si>
  <si>
    <t>07/01/18-06/30/19</t>
  </si>
  <si>
    <r>
      <t xml:space="preserve">The accompanying Schedule of Expenditures of Federal Awards includes the federal grant activity of </t>
    </r>
    <r>
      <rPr>
        <b/>
        <sz val="9"/>
        <rFont val="Calibri"/>
        <family val="2"/>
        <scheme val="minor"/>
      </rPr>
      <t>the District</t>
    </r>
    <r>
      <rPr>
        <sz val="9"/>
        <rFont val="Calibri"/>
        <family val="2"/>
        <scheme val="minor"/>
      </rPr>
      <t xml:space="preserve"> and is presented on the </t>
    </r>
    <r>
      <rPr>
        <b/>
        <sz val="9"/>
        <rFont val="Calibri"/>
        <family val="2"/>
        <scheme val="minor"/>
      </rPr>
      <t>regulatory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regulatory financial statements.</t>
    </r>
  </si>
  <si>
    <r>
      <t xml:space="preserve">Of the federal expenditures presented in the schedule, </t>
    </r>
    <r>
      <rPr>
        <b/>
        <sz val="9"/>
        <rFont val="Calibri"/>
        <family val="2"/>
        <scheme val="minor"/>
      </rPr>
      <t>the District</t>
    </r>
    <r>
      <rPr>
        <sz val="9"/>
        <rFont val="Calibri"/>
        <family val="2"/>
        <scheme val="minor"/>
      </rPr>
      <t xml:space="preserve"> provided federal awards to subrecipients as follows:</t>
    </r>
  </si>
  <si>
    <t>NA</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</si>
  <si>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</si>
  <si>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Black Hawk Area Education District</t>
  </si>
  <si>
    <t>Hampton School District #29, United Township School District #30, Silvis School District #34, Carbon Cliff School District #36, East Moline School District #37,</t>
  </si>
  <si>
    <t xml:space="preserve">Rock Island School District #41, Riverdale School District #100, Colona School District #190, Sherrard School District #200, Mercer County School District #404, </t>
  </si>
  <si>
    <t>Orion School District #223, Alwood School District #225, Rockridge School District #300, Moline-Coal Valley School District #40</t>
  </si>
  <si>
    <t>Educational Fund - Other Changes in Fund Balances - Line 80 - $1.459,789 opening self-insurance cash balance</t>
  </si>
  <si>
    <t>Educational Fund - Acct #1290: $39,413 Other Payments in Lieu of Tax</t>
  </si>
  <si>
    <t>Educational Fund - Acct #1690: $369 Other Food Service</t>
  </si>
  <si>
    <t>Educational Fund - Acct #1999: $2,258 Miscellaneous Local Revenues</t>
  </si>
  <si>
    <t>Educational Fund - Acct #3999: $37,500 Health Community Grant</t>
  </si>
  <si>
    <t>Operations &amp; Maintenance Fund - Acct #1999: $102,220 Other Local Revenues (Payments from Silvis SD)</t>
  </si>
  <si>
    <t>IMRF Fund - Acct #1999: $131 Prior year adjustments</t>
  </si>
  <si>
    <t>Capital Projects Fund - Acct #1999: $94,861  Prior year adjustments</t>
  </si>
  <si>
    <t>Educational Fund - Acct #2190: $193,326 Crossing Guard and Playground Aide Salaries and Employee Benefits</t>
  </si>
  <si>
    <t>Debt Services Fund - Acct #5400: $1,900 Bank Fees for Bonds</t>
  </si>
  <si>
    <t>IMRF Fund - Acct #2190: $27,032 Crossing Guard and Playground Aides Employee Benefits</t>
  </si>
  <si>
    <t>Fire Prevention &amp; Safety Fund - Acct #5290: $326 Other Purchased Services</t>
  </si>
  <si>
    <t>Medicaid Outreach Admin Assessment FY 18</t>
  </si>
  <si>
    <t>Medicaid Outreach Admin Assessment FY 19</t>
  </si>
  <si>
    <t>1 - The District had two required administrators either late file or not file economic interest statements.   23.  The District has a qualified opinion for not maintaining historical cost on capital assets.  Adverse opinion for not implementing GASB Statement No.34.</t>
  </si>
  <si>
    <t>East Moline SD 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</si>
</sst>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21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theme="1"/>
      <name val="Arial"/>
      <family val="2"/>
    </font>
    <font>
      <sz val="12"/>
      <name val="Arial"/>
      <family val="2"/>
    </font>
    <font>
      <b/>
      <sz val="10"/>
      <color theme="1"/>
      <name val="Arial"/>
      <family val="2"/>
    </font>
    <font>
      <sz val="10"/>
      <color theme="0"/>
      <name val="Arial"/>
      <family val="2"/>
    </font>
    <font>
      <sz val="11"/>
      <color rgb="FF9C6500"/>
      <name val="Calibri"/>
      <family val="2"/>
      <scheme val="minor"/>
    </font>
    <font>
      <b/>
      <sz val="18"/>
      <color theme="3"/>
      <name val="Cambria"/>
      <family val="2"/>
      <scheme val="major"/>
    </font>
    <font>
      <sz val="10"/>
      <color indexed="8"/>
      <name val="Arial"/>
      <family val="2"/>
    </font>
    <font>
      <sz val="12"/>
      <name val="Times New Roman"/>
      <family val="1"/>
    </font>
    <font>
      <sz val="12"/>
      <name val="MartinGotURWTLig"/>
    </font>
    <font>
      <sz val="10"/>
      <color rgb="FF9C0006"/>
      <name val="Arial"/>
      <family val="2"/>
    </font>
    <font>
      <b/>
      <sz val="10"/>
      <color rgb="FFFA7D00"/>
      <name val="Arial"/>
      <family val="2"/>
    </font>
    <font>
      <b/>
      <sz val="10"/>
      <color theme="0"/>
      <name val="Arial"/>
      <family val="2"/>
    </font>
    <font>
      <sz val="11"/>
      <color theme="1"/>
      <name val="Times New Roman"/>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1"/>
      <color theme="1"/>
      <name val="Calibri"/>
      <family val="2"/>
    </font>
    <font>
      <b/>
      <sz val="10"/>
      <color rgb="FF3F3F3F"/>
      <name val="Arial"/>
      <family val="2"/>
    </font>
    <font>
      <sz val="10"/>
      <color rgb="FFFF0000"/>
      <name val="Arial"/>
      <family val="2"/>
    </font>
    <font>
      <sz val="11"/>
      <color indexed="8"/>
      <name val="Calibri"/>
      <family val="2"/>
    </font>
    <font>
      <sz val="10"/>
      <name val="MS Sans Serif"/>
    </font>
    <font>
      <b/>
      <sz val="10"/>
      <color indexed="10"/>
      <name val="Arial"/>
      <family val="2"/>
    </font>
    <font>
      <b/>
      <sz val="15"/>
      <color indexed="62"/>
      <name val="Arial"/>
      <family val="2"/>
    </font>
    <font>
      <b/>
      <sz val="13"/>
      <color indexed="62"/>
      <name val="Arial"/>
      <family val="2"/>
    </font>
    <font>
      <b/>
      <sz val="11"/>
      <color indexed="62"/>
      <name val="Arial"/>
      <family val="2"/>
    </font>
    <font>
      <sz val="10"/>
      <color indexed="10"/>
      <name val="Arial"/>
      <family val="2"/>
    </font>
    <font>
      <sz val="10"/>
      <color indexed="19"/>
      <name val="Arial"/>
      <family val="2"/>
    </font>
    <font>
      <b/>
      <sz val="18"/>
      <color indexed="62"/>
      <name val="Cambria"/>
      <family val="2"/>
      <scheme val="major"/>
    </font>
    <font>
      <u/>
      <sz val="7.5"/>
      <color indexed="12"/>
      <name val="Arial"/>
      <family val="2"/>
    </font>
    <font>
      <sz val="10"/>
      <color indexed="8"/>
      <name val="Arial"/>
    </font>
    <font>
      <sz val="12"/>
      <name val="Arial"/>
    </font>
    <font>
      <sz val="12"/>
      <name val="Times New Roman"/>
    </font>
    <font>
      <sz val="10"/>
      <color indexed="8"/>
      <name val="ARIAL"/>
      <charset val="1"/>
    </font>
    <font>
      <u/>
      <sz val="10"/>
      <color indexed="12"/>
      <name val="Arial"/>
      <family val="2"/>
    </font>
    <font>
      <b/>
      <i/>
      <sz val="8"/>
      <color rgb="FFFF0000"/>
      <name val="Arial"/>
      <family val="2"/>
    </font>
    <font>
      <sz val="8"/>
      <color rgb="FF000000"/>
      <name val="Arial"/>
      <family val="2"/>
    </font>
    <font>
      <b/>
      <sz val="11"/>
      <color rgb="FF000000"/>
      <name val="Arial"/>
      <family val="2"/>
    </font>
    <font>
      <b/>
      <sz val="8"/>
      <color rgb="FF0000FF"/>
      <name val="Courier New"/>
      <family val="3"/>
    </font>
    <font>
      <b/>
      <sz val="8"/>
      <color rgb="FFEA4855"/>
      <name val="Arial"/>
      <family val="2"/>
    </font>
    <font>
      <b/>
      <sz val="8"/>
      <color rgb="FF00BEA3"/>
      <name val="Times New Roman"/>
      <family val="2"/>
    </font>
    <font>
      <b/>
      <i/>
      <sz val="11"/>
      <color rgb="FF000000"/>
      <name val="Times New Roman"/>
      <family val="2"/>
    </font>
    <font>
      <b/>
      <sz val="11"/>
      <color rgb="FF800080"/>
      <name val="Arial"/>
      <family val="2"/>
    </font>
    <font>
      <b/>
      <sz val="8"/>
      <color rgb="FF000000"/>
      <name val="Arial"/>
      <family val="2"/>
    </font>
    <font>
      <b/>
      <sz val="8"/>
      <color rgb="FF000000"/>
      <name val="Times New Roman"/>
      <family val="2"/>
    </font>
    <font>
      <b/>
      <sz val="9"/>
      <color rgb="FF000000"/>
      <name val="Arial"/>
      <family val="2"/>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1"/>
      <color theme="1"/>
      <name val="GIF89a_x0010_"/>
    </font>
    <font>
      <sz val="77"/>
      <color rgb="FF996600"/>
      <name val="3"/>
    </font>
    <font>
      <sz val="38"/>
      <color rgb="FF0066CC"/>
      <name val="ÿf"/>
    </font>
    <font>
      <sz val="11"/>
      <color theme="1"/>
      <name val="Times New Roman"/>
      <family val="1"/>
    </font>
    <font>
      <sz val="10"/>
      <color rgb="FF000000"/>
      <name val="Courier New"/>
      <family val="3"/>
    </font>
    <font>
      <b/>
      <sz val="8"/>
      <color rgb="FF0058CD"/>
      <name val="Courier New"/>
      <family val="3"/>
    </font>
    <font>
      <sz val="11"/>
      <color indexed="8"/>
      <name val="Times New Roman"/>
      <family val="2"/>
    </font>
  </fonts>
  <fills count="73">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46"/>
      </patternFill>
    </fill>
    <fill>
      <patternFill patternType="solid">
        <fgColor indexed="9"/>
      </patternFill>
    </fill>
    <fill>
      <patternFill patternType="solid">
        <fgColor indexed="14"/>
      </patternFill>
    </fill>
  </fills>
  <borders count="18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9645">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6" fillId="0" borderId="0" applyNumberFormat="0" applyFill="0" applyBorder="0" applyAlignment="0" applyProtection="0"/>
    <xf numFmtId="0" fontId="2" fillId="0" borderId="0"/>
    <xf numFmtId="0" fontId="151" fillId="35" borderId="0" applyNumberFormat="0" applyBorder="0" applyAlignment="0" applyProtection="0"/>
    <xf numFmtId="0" fontId="151" fillId="35" borderId="0" applyNumberFormat="0" applyBorder="0" applyAlignment="0" applyProtection="0"/>
    <xf numFmtId="0" fontId="2" fillId="35" borderId="0" applyNumberFormat="0" applyBorder="0" applyAlignment="0" applyProtection="0"/>
    <xf numFmtId="0" fontId="151" fillId="35" borderId="0" applyNumberFormat="0" applyBorder="0" applyAlignment="0" applyProtection="0"/>
    <xf numFmtId="0" fontId="151" fillId="35" borderId="0" applyNumberFormat="0" applyBorder="0" applyAlignment="0" applyProtection="0"/>
    <xf numFmtId="0" fontId="151" fillId="39" borderId="0" applyNumberFormat="0" applyBorder="0" applyAlignment="0" applyProtection="0"/>
    <xf numFmtId="0" fontId="151" fillId="39" borderId="0" applyNumberFormat="0" applyBorder="0" applyAlignment="0" applyProtection="0"/>
    <xf numFmtId="0" fontId="2" fillId="39" borderId="0" applyNumberFormat="0" applyBorder="0" applyAlignment="0" applyProtection="0"/>
    <xf numFmtId="0" fontId="151" fillId="39" borderId="0" applyNumberFormat="0" applyBorder="0" applyAlignment="0" applyProtection="0"/>
    <xf numFmtId="0" fontId="151" fillId="39"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2"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2"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51" borderId="0" applyNumberFormat="0" applyBorder="0" applyAlignment="0" applyProtection="0"/>
    <xf numFmtId="0" fontId="151" fillId="51" borderId="0" applyNumberFormat="0" applyBorder="0" applyAlignment="0" applyProtection="0"/>
    <xf numFmtId="0" fontId="2" fillId="51" borderId="0" applyNumberFormat="0" applyBorder="0" applyAlignment="0" applyProtection="0"/>
    <xf numFmtId="0" fontId="151" fillId="51" borderId="0" applyNumberFormat="0" applyBorder="0" applyAlignment="0" applyProtection="0"/>
    <xf numFmtId="0" fontId="151" fillId="51" borderId="0" applyNumberFormat="0" applyBorder="0" applyAlignment="0" applyProtection="0"/>
    <xf numFmtId="0" fontId="151" fillId="55" borderId="0" applyNumberFormat="0" applyBorder="0" applyAlignment="0" applyProtection="0"/>
    <xf numFmtId="0" fontId="151" fillId="55" borderId="0" applyNumberFormat="0" applyBorder="0" applyAlignment="0" applyProtection="0"/>
    <xf numFmtId="0" fontId="2" fillId="55" borderId="0" applyNumberFormat="0" applyBorder="0" applyAlignment="0" applyProtection="0"/>
    <xf numFmtId="0" fontId="151" fillId="55" borderId="0" applyNumberFormat="0" applyBorder="0" applyAlignment="0" applyProtection="0"/>
    <xf numFmtId="0" fontId="151" fillId="55"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2"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2" fillId="40"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2"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2"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52" borderId="0" applyNumberFormat="0" applyBorder="0" applyAlignment="0" applyProtection="0"/>
    <xf numFmtId="0" fontId="151" fillId="52" borderId="0" applyNumberFormat="0" applyBorder="0" applyAlignment="0" applyProtection="0"/>
    <xf numFmtId="0" fontId="2" fillId="52" borderId="0" applyNumberFormat="0" applyBorder="0" applyAlignment="0" applyProtection="0"/>
    <xf numFmtId="0" fontId="151" fillId="52" borderId="0" applyNumberFormat="0" applyBorder="0" applyAlignment="0" applyProtection="0"/>
    <xf numFmtId="0" fontId="151" fillId="52" borderId="0" applyNumberFormat="0" applyBorder="0" applyAlignment="0" applyProtection="0"/>
    <xf numFmtId="0" fontId="151" fillId="56" borderId="0" applyNumberFormat="0" applyBorder="0" applyAlignment="0" applyProtection="0"/>
    <xf numFmtId="0" fontId="151" fillId="56" borderId="0" applyNumberFormat="0" applyBorder="0" applyAlignment="0" applyProtection="0"/>
    <xf numFmtId="0" fontId="2" fillId="56" borderId="0" applyNumberFormat="0" applyBorder="0" applyAlignment="0" applyProtection="0"/>
    <xf numFmtId="0" fontId="151" fillId="56" borderId="0" applyNumberFormat="0" applyBorder="0" applyAlignment="0" applyProtection="0"/>
    <xf numFmtId="0" fontId="151" fillId="56"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34" fillId="37"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3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5" borderId="0" applyNumberFormat="0" applyBorder="0" applyAlignment="0" applyProtection="0"/>
    <xf numFmtId="0" fontId="154" fillId="45" borderId="0" applyNumberFormat="0" applyBorder="0" applyAlignment="0" applyProtection="0"/>
    <xf numFmtId="0" fontId="134" fillId="45" borderId="0" applyNumberFormat="0" applyBorder="0" applyAlignment="0" applyProtection="0"/>
    <xf numFmtId="0" fontId="154" fillId="45" borderId="0" applyNumberFormat="0" applyBorder="0" applyAlignment="0" applyProtection="0"/>
    <xf numFmtId="0" fontId="154" fillId="45"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3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3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3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34" fillId="34"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3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3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3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50" borderId="0" applyNumberFormat="0" applyBorder="0" applyAlignment="0" applyProtection="0"/>
    <xf numFmtId="0" fontId="154" fillId="50" borderId="0" applyNumberFormat="0" applyBorder="0" applyAlignment="0" applyProtection="0"/>
    <xf numFmtId="0" fontId="134" fillId="50" borderId="0" applyNumberFormat="0" applyBorder="0" applyAlignment="0" applyProtection="0"/>
    <xf numFmtId="0" fontId="154" fillId="50" borderId="0" applyNumberFormat="0" applyBorder="0" applyAlignment="0" applyProtection="0"/>
    <xf numFmtId="0" fontId="154" fillId="50"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3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60" fillId="28" borderId="0" applyNumberFormat="0" applyBorder="0" applyAlignment="0" applyProtection="0"/>
    <xf numFmtId="0" fontId="160" fillId="28" borderId="0" applyNumberFormat="0" applyBorder="0" applyAlignment="0" applyProtection="0"/>
    <xf numFmtId="0" fontId="143" fillId="28" borderId="0" applyNumberFormat="0" applyBorder="0" applyAlignment="0" applyProtection="0"/>
    <xf numFmtId="0" fontId="160" fillId="28" borderId="0" applyNumberFormat="0" applyBorder="0" applyAlignment="0" applyProtection="0"/>
    <xf numFmtId="0" fontId="160" fillId="28" borderId="0" applyNumberFormat="0" applyBorder="0" applyAlignment="0" applyProtection="0"/>
    <xf numFmtId="0" fontId="161" fillId="31" borderId="168" applyNumberFormat="0" applyAlignment="0" applyProtection="0"/>
    <xf numFmtId="0" fontId="161" fillId="31" borderId="168" applyNumberFormat="0" applyAlignment="0" applyProtection="0"/>
    <xf numFmtId="0" fontId="146" fillId="31" borderId="168" applyNumberFormat="0" applyAlignment="0" applyProtection="0"/>
    <xf numFmtId="0" fontId="161" fillId="31" borderId="168" applyNumberFormat="0" applyAlignment="0" applyProtection="0"/>
    <xf numFmtId="0" fontId="161" fillId="31" borderId="168" applyNumberFormat="0" applyAlignment="0" applyProtection="0"/>
    <xf numFmtId="0" fontId="162" fillId="32" borderId="171" applyNumberFormat="0" applyAlignment="0" applyProtection="0"/>
    <xf numFmtId="0" fontId="162" fillId="32" borderId="171" applyNumberFormat="0" applyAlignment="0" applyProtection="0"/>
    <xf numFmtId="0" fontId="148" fillId="32" borderId="171" applyNumberFormat="0" applyAlignment="0" applyProtection="0"/>
    <xf numFmtId="0" fontId="162" fillId="32" borderId="171" applyNumberFormat="0" applyAlignment="0" applyProtection="0"/>
    <xf numFmtId="0" fontId="162" fillId="32" borderId="171" applyNumberFormat="0" applyAlignment="0" applyProtection="0"/>
    <xf numFmtId="43" fontId="45" fillId="0" borderId="0" applyFont="0" applyFill="0" applyBorder="0" applyAlignment="0" applyProtection="0"/>
    <xf numFmtId="43" fontId="15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5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0"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157" fillId="0" borderId="0" applyFont="0" applyFill="0" applyBorder="0" applyAlignment="0" applyProtection="0"/>
    <xf numFmtId="43" fontId="10"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8" fillId="0" borderId="0" applyFont="0" applyFill="0" applyBorder="0" applyAlignment="0" applyProtection="0"/>
    <xf numFmtId="43" fontId="163" fillId="0" borderId="0" applyFont="0" applyFill="0" applyBorder="0" applyAlignment="0" applyProtection="0"/>
    <xf numFmtId="43" fontId="18" fillId="0" borderId="0" applyFont="0" applyFill="0" applyBorder="0" applyAlignment="0" applyProtection="0"/>
    <xf numFmtId="43" fontId="163"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63"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2" fillId="0" borderId="0" applyFont="0" applyFill="0" applyBorder="0" applyAlignment="0" applyProtection="0"/>
    <xf numFmtId="43" fontId="158" fillId="0" borderId="0" applyFont="0" applyFill="0" applyBorder="0" applyAlignment="0" applyProtection="0"/>
    <xf numFmtId="43" fontId="2" fillId="0" borderId="0" applyFont="0" applyFill="0" applyBorder="0" applyAlignment="0" applyProtection="0"/>
    <xf numFmtId="43" fontId="15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2"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50"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5" fillId="27" borderId="0" applyNumberFormat="0" applyBorder="0" applyAlignment="0" applyProtection="0"/>
    <xf numFmtId="0" fontId="165" fillId="27" borderId="0" applyNumberFormat="0" applyBorder="0" applyAlignment="0" applyProtection="0"/>
    <xf numFmtId="0" fontId="142" fillId="27" borderId="0" applyNumberFormat="0" applyBorder="0" applyAlignment="0" applyProtection="0"/>
    <xf numFmtId="0" fontId="165" fillId="27" borderId="0" applyNumberFormat="0" applyBorder="0" applyAlignment="0" applyProtection="0"/>
    <xf numFmtId="0" fontId="165" fillId="27" borderId="0" applyNumberFormat="0" applyBorder="0" applyAlignment="0" applyProtection="0"/>
    <xf numFmtId="0" fontId="166" fillId="0" borderId="165" applyNumberFormat="0" applyFill="0" applyAlignment="0" applyProtection="0"/>
    <xf numFmtId="0" fontId="166" fillId="0" borderId="165" applyNumberFormat="0" applyFill="0" applyAlignment="0" applyProtection="0"/>
    <xf numFmtId="0" fontId="139" fillId="0" borderId="165" applyNumberFormat="0" applyFill="0" applyAlignment="0" applyProtection="0"/>
    <xf numFmtId="0" fontId="166" fillId="0" borderId="165" applyNumberFormat="0" applyFill="0" applyAlignment="0" applyProtection="0"/>
    <xf numFmtId="0" fontId="166" fillId="0" borderId="165" applyNumberFormat="0" applyFill="0" applyAlignment="0" applyProtection="0"/>
    <xf numFmtId="0" fontId="167" fillId="0" borderId="166" applyNumberFormat="0" applyFill="0" applyAlignment="0" applyProtection="0"/>
    <xf numFmtId="0" fontId="167" fillId="0" borderId="166" applyNumberFormat="0" applyFill="0" applyAlignment="0" applyProtection="0"/>
    <xf numFmtId="0" fontId="140" fillId="0" borderId="166" applyNumberFormat="0" applyFill="0" applyAlignment="0" applyProtection="0"/>
    <xf numFmtId="0" fontId="167" fillId="0" borderId="166" applyNumberFormat="0" applyFill="0" applyAlignment="0" applyProtection="0"/>
    <xf numFmtId="0" fontId="167" fillId="0" borderId="166" applyNumberFormat="0" applyFill="0" applyAlignment="0" applyProtection="0"/>
    <xf numFmtId="0" fontId="168" fillId="0" borderId="167" applyNumberFormat="0" applyFill="0" applyAlignment="0" applyProtection="0"/>
    <xf numFmtId="0" fontId="168" fillId="0" borderId="167" applyNumberFormat="0" applyFill="0" applyAlignment="0" applyProtection="0"/>
    <xf numFmtId="0" fontId="141" fillId="0" borderId="167" applyNumberFormat="0" applyFill="0" applyAlignment="0" applyProtection="0"/>
    <xf numFmtId="0" fontId="168" fillId="0" borderId="167" applyNumberFormat="0" applyFill="0" applyAlignment="0" applyProtection="0"/>
    <xf numFmtId="0" fontId="168" fillId="0" borderId="167" applyNumberFormat="0" applyFill="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41"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0" fillId="0" borderId="0"/>
    <xf numFmtId="0" fontId="169" fillId="30" borderId="168" applyNumberFormat="0" applyAlignment="0" applyProtection="0"/>
    <xf numFmtId="0" fontId="169" fillId="30" borderId="168" applyNumberFormat="0" applyAlignment="0" applyProtection="0"/>
    <xf numFmtId="0" fontId="144" fillId="30" borderId="168" applyNumberFormat="0" applyAlignment="0" applyProtection="0"/>
    <xf numFmtId="0" fontId="169" fillId="30" borderId="168" applyNumberFormat="0" applyAlignment="0" applyProtection="0"/>
    <xf numFmtId="0" fontId="169" fillId="30" borderId="168" applyNumberFormat="0" applyAlignment="0" applyProtection="0"/>
    <xf numFmtId="0" fontId="170" fillId="0" borderId="170" applyNumberFormat="0" applyFill="0" applyAlignment="0" applyProtection="0"/>
    <xf numFmtId="0" fontId="170" fillId="0" borderId="170" applyNumberFormat="0" applyFill="0" applyAlignment="0" applyProtection="0"/>
    <xf numFmtId="0" fontId="147" fillId="0" borderId="170" applyNumberFormat="0" applyFill="0" applyAlignment="0" applyProtection="0"/>
    <xf numFmtId="0" fontId="170" fillId="0" borderId="170" applyNumberFormat="0" applyFill="0" applyAlignment="0" applyProtection="0"/>
    <xf numFmtId="0" fontId="170" fillId="0" borderId="170" applyNumberFormat="0" applyFill="0" applyAlignment="0" applyProtection="0"/>
    <xf numFmtId="0" fontId="171" fillId="29" borderId="0" applyNumberFormat="0" applyBorder="0" applyAlignment="0" applyProtection="0"/>
    <xf numFmtId="0" fontId="171" fillId="29" borderId="0" applyNumberFormat="0" applyBorder="0" applyAlignment="0" applyProtection="0"/>
    <xf numFmtId="0" fontId="155" fillId="29" borderId="0" applyNumberFormat="0" applyBorder="0" applyAlignment="0" applyProtection="0"/>
    <xf numFmtId="0" fontId="171" fillId="29" borderId="0" applyNumberFormat="0" applyBorder="0" applyAlignment="0" applyProtection="0"/>
    <xf numFmtId="0" fontId="171" fillId="29" borderId="0" applyNumberFormat="0" applyBorder="0" applyAlignment="0" applyProtection="0"/>
    <xf numFmtId="0" fontId="158" fillId="0" borderId="0"/>
    <xf numFmtId="0" fontId="158" fillId="0" borderId="0"/>
    <xf numFmtId="0" fontId="158" fillId="0" borderId="0"/>
    <xf numFmtId="0" fontId="10" fillId="0" borderId="0"/>
    <xf numFmtId="0" fontId="2" fillId="0" borderId="0"/>
    <xf numFmtId="0" fontId="158" fillId="0" borderId="0"/>
    <xf numFmtId="0" fontId="158" fillId="0" borderId="0"/>
    <xf numFmtId="0" fontId="10"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0" fillId="0" borderId="0"/>
    <xf numFmtId="0" fontId="152" fillId="0" borderId="0"/>
    <xf numFmtId="0" fontId="152" fillId="0" borderId="0"/>
    <xf numFmtId="0" fontId="10" fillId="0" borderId="0"/>
    <xf numFmtId="0" fontId="2" fillId="0" borderId="0"/>
    <xf numFmtId="0" fontId="2" fillId="0" borderId="0"/>
    <xf numFmtId="0" fontId="45" fillId="0" borderId="0"/>
    <xf numFmtId="0" fontId="10" fillId="0" borderId="0"/>
    <xf numFmtId="0" fontId="10" fillId="0" borderId="0"/>
    <xf numFmtId="0" fontId="10" fillId="0" borderId="0"/>
    <xf numFmtId="0" fontId="151" fillId="0" borderId="0"/>
    <xf numFmtId="0" fontId="10" fillId="0" borderId="0"/>
    <xf numFmtId="0" fontId="45" fillId="0" borderId="0"/>
    <xf numFmtId="0" fontId="10" fillId="0" borderId="0"/>
    <xf numFmtId="0" fontId="10" fillId="0" borderId="0"/>
    <xf numFmtId="0" fontId="10" fillId="0" borderId="0"/>
    <xf numFmtId="0" fontId="10" fillId="0" borderId="0"/>
    <xf numFmtId="0" fontId="2" fillId="0" borderId="0"/>
    <xf numFmtId="0" fontId="10" fillId="0" borderId="0"/>
    <xf numFmtId="0" fontId="2" fillId="0" borderId="0"/>
    <xf numFmtId="0" fontId="10" fillId="0" borderId="0"/>
    <xf numFmtId="0" fontId="10" fillId="0" borderId="0"/>
    <xf numFmtId="0" fontId="152" fillId="0" borderId="0"/>
    <xf numFmtId="0" fontId="10" fillId="0" borderId="0"/>
    <xf numFmtId="0" fontId="10" fillId="0" borderId="0"/>
    <xf numFmtId="0" fontId="10" fillId="0" borderId="0"/>
    <xf numFmtId="0" fontId="152" fillId="0" borderId="0"/>
    <xf numFmtId="0" fontId="10" fillId="0" borderId="0"/>
    <xf numFmtId="0" fontId="152" fillId="0" borderId="0"/>
    <xf numFmtId="0" fontId="10" fillId="0" borderId="0"/>
    <xf numFmtId="0" fontId="10" fillId="0" borderId="0"/>
    <xf numFmtId="0" fontId="10"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0" fillId="0" borderId="0"/>
    <xf numFmtId="0" fontId="10" fillId="0" borderId="0"/>
    <xf numFmtId="0" fontId="10" fillId="0" borderId="0"/>
    <xf numFmtId="0" fontId="152" fillId="0" borderId="0"/>
    <xf numFmtId="0" fontId="152" fillId="0" borderId="0"/>
    <xf numFmtId="0" fontId="10" fillId="0" borderId="0"/>
    <xf numFmtId="0" fontId="10" fillId="0" borderId="0"/>
    <xf numFmtId="0" fontId="10" fillId="0" borderId="0"/>
    <xf numFmtId="0" fontId="158" fillId="0" borderId="0"/>
    <xf numFmtId="0" fontId="10" fillId="0" borderId="0"/>
    <xf numFmtId="0" fontId="10" fillId="0" borderId="0"/>
    <xf numFmtId="0" fontId="18" fillId="0" borderId="0"/>
    <xf numFmtId="0" fontId="45" fillId="0" borderId="0"/>
    <xf numFmtId="0" fontId="152" fillId="0" borderId="0"/>
    <xf numFmtId="0" fontId="152" fillId="0" borderId="0"/>
    <xf numFmtId="0" fontId="152" fillId="0" borderId="0"/>
    <xf numFmtId="0" fontId="45" fillId="0" borderId="0"/>
    <xf numFmtId="0" fontId="152" fillId="0" borderId="0"/>
    <xf numFmtId="0" fontId="152" fillId="0" borderId="0"/>
    <xf numFmtId="0" fontId="45" fillId="0" borderId="0"/>
    <xf numFmtId="0" fontId="10" fillId="0" borderId="0"/>
    <xf numFmtId="0" fontId="10" fillId="0" borderId="0"/>
    <xf numFmtId="0" fontId="45" fillId="0" borderId="0"/>
    <xf numFmtId="0" fontId="152" fillId="0" borderId="0"/>
    <xf numFmtId="0" fontId="152" fillId="0" borderId="0"/>
    <xf numFmtId="0" fontId="45" fillId="0" borderId="0"/>
    <xf numFmtId="0" fontId="152" fillId="0" borderId="0"/>
    <xf numFmtId="0" fontId="10" fillId="0" borderId="0"/>
    <xf numFmtId="0" fontId="158" fillId="0" borderId="0"/>
    <xf numFmtId="0" fontId="158" fillId="0" borderId="0"/>
    <xf numFmtId="0" fontId="45" fillId="0" borderId="0"/>
    <xf numFmtId="0" fontId="152" fillId="0" borderId="0"/>
    <xf numFmtId="0" fontId="45" fillId="0" borderId="0"/>
    <xf numFmtId="0" fontId="45" fillId="0" borderId="0"/>
    <xf numFmtId="0" fontId="45" fillId="0" borderId="0"/>
    <xf numFmtId="0" fontId="10" fillId="0" borderId="0"/>
    <xf numFmtId="0" fontId="10" fillId="0" borderId="0"/>
    <xf numFmtId="0" fontId="10" fillId="0" borderId="0"/>
    <xf numFmtId="0" fontId="10" fillId="0" borderId="0"/>
    <xf numFmtId="0" fontId="45" fillId="0" borderId="0"/>
    <xf numFmtId="0" fontId="2" fillId="0" borderId="0"/>
    <xf numFmtId="0" fontId="2" fillId="0" borderId="0"/>
    <xf numFmtId="0" fontId="152" fillId="0" borderId="0"/>
    <xf numFmtId="0" fontId="152" fillId="0" borderId="0"/>
    <xf numFmtId="0" fontId="152" fillId="0" borderId="0"/>
    <xf numFmtId="0" fontId="10" fillId="0" borderId="0"/>
    <xf numFmtId="0" fontId="10" fillId="0" borderId="0"/>
    <xf numFmtId="0" fontId="152" fillId="0" borderId="0"/>
    <xf numFmtId="0" fontId="45" fillId="0" borderId="0"/>
    <xf numFmtId="0" fontId="18" fillId="0" borderId="0"/>
    <xf numFmtId="0" fontId="18" fillId="0" borderId="0"/>
    <xf numFmtId="0" fontId="45" fillId="0" borderId="0"/>
    <xf numFmtId="0" fontId="18" fillId="0" borderId="0"/>
    <xf numFmtId="0" fontId="18" fillId="0" borderId="0"/>
    <xf numFmtId="0" fontId="45" fillId="0" borderId="0"/>
    <xf numFmtId="0" fontId="152" fillId="0" borderId="0"/>
    <xf numFmtId="0" fontId="15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10" fillId="0" borderId="0"/>
    <xf numFmtId="0" fontId="151" fillId="0" borderId="0"/>
    <xf numFmtId="0" fontId="158" fillId="0" borderId="0"/>
    <xf numFmtId="0" fontId="10" fillId="0" borderId="0"/>
    <xf numFmtId="0" fontId="158" fillId="0" borderId="0"/>
    <xf numFmtId="0" fontId="158"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1" fillId="0" borderId="0"/>
    <xf numFmtId="0" fontId="10" fillId="0" borderId="0"/>
    <xf numFmtId="0" fontId="15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8" fillId="0" borderId="0"/>
    <xf numFmtId="0" fontId="152"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152" fillId="0" borderId="0"/>
    <xf numFmtId="0" fontId="152" fillId="0" borderId="0"/>
    <xf numFmtId="0" fontId="157" fillId="0" borderId="0"/>
    <xf numFmtId="0" fontId="157" fillId="0" borderId="0"/>
    <xf numFmtId="0" fontId="157" fillId="0" borderId="0"/>
    <xf numFmtId="0" fontId="157" fillId="0" borderId="0"/>
    <xf numFmtId="0" fontId="2" fillId="0" borderId="0"/>
    <xf numFmtId="0" fontId="157" fillId="0" borderId="0"/>
    <xf numFmtId="0" fontId="157" fillId="0" borderId="0"/>
    <xf numFmtId="0" fontId="157" fillId="0" borderId="0"/>
    <xf numFmtId="0" fontId="157" fillId="0" borderId="0"/>
    <xf numFmtId="0" fontId="159" fillId="0" borderId="0"/>
    <xf numFmtId="0" fontId="10" fillId="0" borderId="0"/>
    <xf numFmtId="0" fontId="10" fillId="0" borderId="0"/>
    <xf numFmtId="0" fontId="10" fillId="0" borderId="0"/>
    <xf numFmtId="0" fontId="10" fillId="0" borderId="0"/>
    <xf numFmtId="0" fontId="158" fillId="0" borderId="0"/>
    <xf numFmtId="0" fontId="2" fillId="0" borderId="0"/>
    <xf numFmtId="0" fontId="2" fillId="0" borderId="0"/>
    <xf numFmtId="0" fontId="10" fillId="0" borderId="0"/>
    <xf numFmtId="0" fontId="10" fillId="0" borderId="0"/>
    <xf numFmtId="0" fontId="45" fillId="0" borderId="0"/>
    <xf numFmtId="0" fontId="45" fillId="0" borderId="0"/>
    <xf numFmtId="0" fontId="157" fillId="0" borderId="0"/>
    <xf numFmtId="0" fontId="157" fillId="0" borderId="0"/>
    <xf numFmtId="0" fontId="157" fillId="0" borderId="0"/>
    <xf numFmtId="0" fontId="18" fillId="0" borderId="0"/>
    <xf numFmtId="0" fontId="18" fillId="0" borderId="0"/>
    <xf numFmtId="0" fontId="18" fillId="0" borderId="0"/>
    <xf numFmtId="0" fontId="1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8" fillId="0" borderId="0"/>
    <xf numFmtId="0" fontId="152" fillId="0" borderId="0"/>
    <xf numFmtId="0" fontId="18" fillId="0" borderId="0"/>
    <xf numFmtId="0" fontId="10" fillId="0" borderId="0"/>
    <xf numFmtId="0" fontId="158" fillId="0" borderId="0"/>
    <xf numFmtId="0" fontId="152" fillId="0" borderId="0"/>
    <xf numFmtId="0" fontId="158" fillId="0" borderId="0"/>
    <xf numFmtId="0" fontId="10" fillId="0" borderId="0"/>
    <xf numFmtId="0" fontId="158" fillId="0" borderId="0"/>
    <xf numFmtId="0" fontId="158" fillId="0" borderId="0"/>
    <xf numFmtId="0" fontId="10" fillId="0" borderId="0"/>
    <xf numFmtId="0" fontId="172" fillId="0" borderId="0"/>
    <xf numFmtId="0" fontId="172" fillId="0" borderId="0"/>
    <xf numFmtId="0" fontId="10" fillId="0" borderId="0"/>
    <xf numFmtId="0" fontId="152" fillId="0" borderId="0"/>
    <xf numFmtId="0" fontId="45" fillId="0" borderId="0"/>
    <xf numFmtId="0" fontId="152" fillId="0" borderId="0"/>
    <xf numFmtId="0" fontId="158" fillId="0" borderId="0"/>
    <xf numFmtId="0" fontId="18" fillId="0" borderId="0"/>
    <xf numFmtId="0" fontId="45" fillId="0" borderId="0"/>
    <xf numFmtId="0" fontId="18" fillId="0" borderId="0"/>
    <xf numFmtId="0" fontId="158" fillId="0" borderId="0"/>
    <xf numFmtId="0" fontId="158" fillId="0" borderId="0"/>
    <xf numFmtId="0" fontId="163" fillId="0" borderId="0"/>
    <xf numFmtId="0" fontId="158" fillId="0" borderId="0"/>
    <xf numFmtId="0" fontId="158" fillId="0" borderId="0"/>
    <xf numFmtId="0" fontId="158" fillId="0" borderId="0"/>
    <xf numFmtId="0" fontId="158" fillId="0" borderId="0"/>
    <xf numFmtId="0" fontId="158" fillId="0" borderId="0"/>
    <xf numFmtId="0" fontId="152" fillId="0" borderId="0"/>
    <xf numFmtId="0" fontId="158" fillId="0" borderId="0"/>
    <xf numFmtId="0" fontId="158" fillId="0" borderId="0"/>
    <xf numFmtId="0" fontId="152" fillId="0" borderId="0"/>
    <xf numFmtId="0" fontId="151" fillId="0" borderId="0"/>
    <xf numFmtId="0" fontId="151" fillId="0" borderId="0"/>
    <xf numFmtId="0" fontId="45" fillId="0" borderId="0"/>
    <xf numFmtId="0" fontId="10" fillId="0" borderId="0"/>
    <xf numFmtId="0" fontId="10" fillId="0" borderId="0"/>
    <xf numFmtId="0" fontId="10" fillId="0" borderId="0"/>
    <xf numFmtId="0" fontId="151" fillId="33" borderId="172" applyNumberFormat="0" applyFont="0" applyAlignment="0" applyProtection="0"/>
    <xf numFmtId="0" fontId="151" fillId="33" borderId="172" applyNumberFormat="0" applyFont="0" applyAlignment="0" applyProtection="0"/>
    <xf numFmtId="0" fontId="2" fillId="33" borderId="172" applyNumberFormat="0" applyFont="0" applyAlignment="0" applyProtection="0"/>
    <xf numFmtId="0" fontId="151" fillId="33" borderId="172" applyNumberFormat="0" applyFont="0" applyAlignment="0" applyProtection="0"/>
    <xf numFmtId="0" fontId="151" fillId="33" borderId="172" applyNumberFormat="0" applyFont="0" applyAlignment="0" applyProtection="0"/>
    <xf numFmtId="0" fontId="151" fillId="33" borderId="172" applyNumberFormat="0" applyFont="0" applyAlignment="0" applyProtection="0"/>
    <xf numFmtId="0" fontId="151" fillId="33" borderId="172" applyNumberFormat="0" applyFont="0" applyAlignment="0" applyProtection="0"/>
    <xf numFmtId="0" fontId="173" fillId="31" borderId="169" applyNumberFormat="0" applyAlignment="0" applyProtection="0"/>
    <xf numFmtId="0" fontId="173" fillId="31" borderId="169" applyNumberFormat="0" applyAlignment="0" applyProtection="0"/>
    <xf numFmtId="0" fontId="145" fillId="31" borderId="169" applyNumberFormat="0" applyAlignment="0" applyProtection="0"/>
    <xf numFmtId="0" fontId="173" fillId="31" borderId="169" applyNumberFormat="0" applyAlignment="0" applyProtection="0"/>
    <xf numFmtId="0" fontId="173" fillId="31" borderId="169"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0"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53" fillId="0" borderId="173" applyNumberFormat="0" applyFill="0" applyAlignment="0" applyProtection="0"/>
    <xf numFmtId="0" fontId="153" fillId="0" borderId="173" applyNumberFormat="0" applyFill="0" applyAlignment="0" applyProtection="0"/>
    <xf numFmtId="0" fontId="125" fillId="0" borderId="173" applyNumberFormat="0" applyFill="0" applyAlignment="0" applyProtection="0"/>
    <xf numFmtId="0" fontId="153" fillId="0" borderId="173" applyNumberFormat="0" applyFill="0" applyAlignment="0" applyProtection="0"/>
    <xf numFmtId="0" fontId="153" fillId="0" borderId="173" applyNumberFormat="0" applyFill="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49"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152" fillId="0" borderId="0"/>
    <xf numFmtId="0" fontId="10" fillId="0" borderId="0"/>
    <xf numFmtId="0" fontId="152" fillId="0" borderId="0"/>
    <xf numFmtId="0" fontId="152" fillId="0" borderId="0"/>
    <xf numFmtId="0" fontId="10" fillId="0" borderId="0"/>
    <xf numFmtId="0" fontId="10" fillId="0" borderId="0"/>
    <xf numFmtId="0" fontId="152" fillId="0" borderId="0"/>
    <xf numFmtId="0" fontId="10" fillId="0" borderId="0"/>
    <xf numFmtId="0" fontId="10" fillId="0" borderId="0"/>
    <xf numFmtId="0" fontId="152" fillId="0" borderId="0"/>
    <xf numFmtId="0" fontId="152" fillId="0" borderId="0"/>
    <xf numFmtId="0" fontId="10" fillId="0" borderId="0"/>
    <xf numFmtId="0" fontId="152" fillId="0" borderId="0"/>
    <xf numFmtId="0" fontId="152" fillId="0" borderId="0"/>
    <xf numFmtId="0" fontId="152" fillId="0" borderId="0"/>
    <xf numFmtId="0" fontId="10" fillId="0" borderId="0"/>
    <xf numFmtId="0" fontId="152" fillId="0" borderId="0"/>
    <xf numFmtId="0" fontId="10" fillId="0" borderId="0"/>
    <xf numFmtId="0" fontId="152" fillId="0" borderId="0"/>
    <xf numFmtId="0" fontId="10" fillId="0" borderId="0"/>
    <xf numFmtId="0" fontId="10" fillId="0" borderId="0"/>
    <xf numFmtId="0" fontId="10" fillId="0" borderId="0"/>
    <xf numFmtId="0" fontId="2" fillId="0" borderId="0"/>
    <xf numFmtId="0" fontId="10" fillId="0" borderId="0"/>
    <xf numFmtId="0" fontId="45" fillId="0" borderId="0"/>
    <xf numFmtId="0" fontId="10" fillId="0" borderId="0"/>
    <xf numFmtId="0" fontId="152" fillId="0" borderId="0"/>
    <xf numFmtId="0" fontId="158" fillId="0" borderId="0"/>
    <xf numFmtId="0" fontId="182" fillId="29" borderId="0" applyNumberFormat="0" applyBorder="0" applyAlignment="0" applyProtection="0"/>
    <xf numFmtId="0" fontId="171" fillId="29" borderId="0" applyNumberFormat="0" applyBorder="0" applyAlignment="0" applyProtection="0"/>
    <xf numFmtId="0" fontId="181" fillId="0" borderId="177" applyNumberFormat="0" applyFill="0" applyAlignment="0" applyProtection="0"/>
    <xf numFmtId="0" fontId="170" fillId="0" borderId="170" applyNumberFormat="0" applyFill="0" applyAlignment="0" applyProtection="0"/>
    <xf numFmtId="0" fontId="169" fillId="63" borderId="168" applyNumberFormat="0" applyAlignment="0" applyProtection="0"/>
    <xf numFmtId="0" fontId="169" fillId="30" borderId="168" applyNumberFormat="0" applyAlignment="0" applyProtection="0"/>
    <xf numFmtId="0" fontId="180" fillId="0" borderId="0" applyNumberFormat="0" applyFill="0" applyBorder="0" applyAlignment="0" applyProtection="0"/>
    <xf numFmtId="0" fontId="168" fillId="0" borderId="0" applyNumberFormat="0" applyFill="0" applyBorder="0" applyAlignment="0" applyProtection="0"/>
    <xf numFmtId="0" fontId="180" fillId="0" borderId="176" applyNumberFormat="0" applyFill="0" applyAlignment="0" applyProtection="0"/>
    <xf numFmtId="0" fontId="168" fillId="0" borderId="167" applyNumberFormat="0" applyFill="0" applyAlignment="0" applyProtection="0"/>
    <xf numFmtId="0" fontId="179" fillId="0" borderId="175" applyNumberFormat="0" applyFill="0" applyAlignment="0" applyProtection="0"/>
    <xf numFmtId="0" fontId="167" fillId="0" borderId="166" applyNumberFormat="0" applyFill="0" applyAlignment="0" applyProtection="0"/>
    <xf numFmtId="0" fontId="178" fillId="0" borderId="174" applyNumberFormat="0" applyFill="0" applyAlignment="0" applyProtection="0"/>
    <xf numFmtId="0" fontId="166" fillId="0" borderId="165" applyNumberFormat="0" applyFill="0" applyAlignment="0" applyProtection="0"/>
    <xf numFmtId="0" fontId="165" fillId="62" borderId="0" applyNumberFormat="0" applyBorder="0" applyAlignment="0" applyProtection="0"/>
    <xf numFmtId="0" fontId="165" fillId="27"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75" fillId="0" borderId="0" applyFont="0" applyFill="0" applyBorder="0" applyAlignment="0" applyProtection="0"/>
    <xf numFmtId="43" fontId="2" fillId="0" borderId="0" applyFont="0" applyFill="0" applyBorder="0" applyAlignment="0" applyProtection="0"/>
    <xf numFmtId="43" fontId="158" fillId="0" borderId="0" applyFont="0" applyFill="0" applyBorder="0" applyAlignment="0" applyProtection="0"/>
    <xf numFmtId="43" fontId="1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76" fillId="0" borderId="0" applyFont="0" applyFill="0" applyBorder="0" applyAlignment="0" applyProtection="0"/>
    <xf numFmtId="43" fontId="18"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175"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7" fillId="0" borderId="0" applyFont="0" applyFill="0" applyBorder="0" applyAlignment="0" applyProtection="0"/>
    <xf numFmtId="43" fontId="151" fillId="0" borderId="0" applyFont="0" applyFill="0" applyBorder="0" applyAlignment="0" applyProtection="0"/>
    <xf numFmtId="43" fontId="175"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7" fillId="0" borderId="0" applyFont="0" applyFill="0" applyBorder="0" applyAlignment="0" applyProtection="0">
      <alignment vertical="top"/>
    </xf>
    <xf numFmtId="0" fontId="177" fillId="71" borderId="168" applyNumberFormat="0" applyAlignment="0" applyProtection="0"/>
    <xf numFmtId="0" fontId="161" fillId="31" borderId="168" applyNumberFormat="0" applyAlignment="0" applyProtection="0"/>
    <xf numFmtId="0" fontId="160" fillId="70" borderId="0" applyNumberFormat="0" applyBorder="0" applyAlignment="0" applyProtection="0"/>
    <xf numFmtId="0" fontId="160" fillId="28" borderId="0" applyNumberFormat="0" applyBorder="0" applyAlignment="0" applyProtection="0"/>
    <xf numFmtId="0" fontId="154" fillId="69" borderId="0" applyNumberFormat="0" applyBorder="0" applyAlignment="0" applyProtection="0"/>
    <xf numFmtId="0" fontId="154" fillId="54" borderId="0" applyNumberFormat="0" applyBorder="0" applyAlignment="0" applyProtection="0"/>
    <xf numFmtId="0" fontId="154" fillId="68" borderId="0" applyNumberFormat="0" applyBorder="0" applyAlignment="0" applyProtection="0"/>
    <xf numFmtId="0" fontId="154" fillId="46" borderId="0" applyNumberFormat="0" applyBorder="0" applyAlignment="0" applyProtection="0"/>
    <xf numFmtId="0" fontId="154" fillId="66" borderId="0" applyNumberFormat="0" applyBorder="0" applyAlignment="0" applyProtection="0"/>
    <xf numFmtId="0" fontId="154" fillId="42" borderId="0" applyNumberFormat="0" applyBorder="0" applyAlignment="0" applyProtection="0"/>
    <xf numFmtId="0" fontId="154" fillId="65" borderId="0" applyNumberFormat="0" applyBorder="0" applyAlignment="0" applyProtection="0"/>
    <xf numFmtId="0" fontId="154" fillId="38" borderId="0" applyNumberFormat="0" applyBorder="0" applyAlignment="0" applyProtection="0"/>
    <xf numFmtId="0" fontId="154" fillId="67" borderId="0" applyNumberFormat="0" applyBorder="0" applyAlignment="0" applyProtection="0"/>
    <xf numFmtId="0" fontId="154" fillId="34" borderId="0" applyNumberFormat="0" applyBorder="0" applyAlignment="0" applyProtection="0"/>
    <xf numFmtId="0" fontId="154" fillId="59" borderId="0" applyNumberFormat="0" applyBorder="0" applyAlignment="0" applyProtection="0"/>
    <xf numFmtId="0" fontId="154" fillId="57" borderId="0" applyNumberFormat="0" applyBorder="0" applyAlignment="0" applyProtection="0"/>
    <xf numFmtId="0" fontId="154" fillId="62" borderId="0" applyNumberFormat="0" applyBorder="0" applyAlignment="0" applyProtection="0"/>
    <xf numFmtId="0" fontId="154" fillId="53" borderId="0" applyNumberFormat="0" applyBorder="0" applyAlignment="0" applyProtection="0"/>
    <xf numFmtId="0" fontId="154" fillId="64" borderId="0" applyNumberFormat="0" applyBorder="0" applyAlignment="0" applyProtection="0"/>
    <xf numFmtId="0" fontId="154" fillId="49" borderId="0" applyNumberFormat="0" applyBorder="0" applyAlignment="0" applyProtection="0"/>
    <xf numFmtId="0" fontId="154" fillId="66" borderId="0" applyNumberFormat="0" applyBorder="0" applyAlignment="0" applyProtection="0"/>
    <xf numFmtId="0" fontId="154" fillId="45" borderId="0" applyNumberFormat="0" applyBorder="0" applyAlignment="0" applyProtection="0"/>
    <xf numFmtId="0" fontId="154" fillId="65" borderId="0" applyNumberFormat="0" applyBorder="0" applyAlignment="0" applyProtection="0"/>
    <xf numFmtId="0" fontId="154" fillId="41" borderId="0" applyNumberFormat="0" applyBorder="0" applyAlignment="0" applyProtection="0"/>
    <xf numFmtId="0" fontId="154" fillId="62" borderId="0" applyNumberFormat="0" applyBorder="0" applyAlignment="0" applyProtection="0"/>
    <xf numFmtId="0" fontId="154" fillId="37" borderId="0" applyNumberFormat="0" applyBorder="0" applyAlignment="0" applyProtection="0"/>
    <xf numFmtId="0" fontId="151" fillId="60" borderId="0" applyNumberFormat="0" applyBorder="0" applyAlignment="0" applyProtection="0"/>
    <xf numFmtId="0" fontId="151" fillId="56" borderId="0" applyNumberFormat="0" applyBorder="0" applyAlignment="0" applyProtection="0"/>
    <xf numFmtId="0" fontId="151" fillId="62" borderId="0" applyNumberFormat="0" applyBorder="0" applyAlignment="0" applyProtection="0"/>
    <xf numFmtId="0" fontId="151" fillId="52" borderId="0" applyNumberFormat="0" applyBorder="0" applyAlignment="0" applyProtection="0"/>
    <xf numFmtId="0" fontId="151" fillId="64" borderId="0" applyNumberFormat="0" applyBorder="0" applyAlignment="0" applyProtection="0"/>
    <xf numFmtId="0" fontId="151" fillId="48" borderId="0" applyNumberFormat="0" applyBorder="0" applyAlignment="0" applyProtection="0"/>
    <xf numFmtId="0" fontId="151" fillId="63" borderId="0" applyNumberFormat="0" applyBorder="0" applyAlignment="0" applyProtection="0"/>
    <xf numFmtId="0" fontId="151" fillId="44" borderId="0" applyNumberFormat="0" applyBorder="0" applyAlignment="0" applyProtection="0"/>
    <xf numFmtId="0" fontId="151" fillId="62" borderId="0" applyNumberFormat="0" applyBorder="0" applyAlignment="0" applyProtection="0"/>
    <xf numFmtId="0" fontId="151" fillId="36" borderId="0" applyNumberFormat="0" applyBorder="0" applyAlignment="0" applyProtection="0"/>
    <xf numFmtId="0" fontId="151" fillId="60" borderId="0" applyNumberFormat="0" applyBorder="0" applyAlignment="0" applyProtection="0"/>
    <xf numFmtId="0" fontId="151" fillId="55" borderId="0" applyNumberFormat="0" applyBorder="0" applyAlignment="0" applyProtection="0"/>
    <xf numFmtId="0" fontId="151" fillId="61" borderId="0" applyNumberFormat="0" applyBorder="0" applyAlignment="0" applyProtection="0"/>
    <xf numFmtId="0" fontId="151" fillId="47" borderId="0" applyNumberFormat="0" applyBorder="0" applyAlignment="0" applyProtection="0"/>
    <xf numFmtId="0" fontId="151" fillId="60" borderId="0" applyNumberFormat="0" applyBorder="0" applyAlignment="0" applyProtection="0"/>
    <xf numFmtId="0" fontId="151" fillId="43" borderId="0" applyNumberFormat="0" applyBorder="0" applyAlignment="0" applyProtection="0"/>
    <xf numFmtId="0" fontId="151" fillId="59" borderId="0" applyNumberFormat="0" applyBorder="0" applyAlignment="0" applyProtection="0"/>
    <xf numFmtId="0" fontId="151" fillId="39" borderId="0" applyNumberFormat="0" applyBorder="0" applyAlignment="0" applyProtection="0"/>
    <xf numFmtId="0" fontId="151" fillId="58" borderId="0" applyNumberFormat="0" applyBorder="0" applyAlignment="0" applyProtection="0"/>
    <xf numFmtId="0" fontId="151" fillId="35" borderId="0" applyNumberFormat="0" applyBorder="0" applyAlignment="0" applyProtection="0"/>
    <xf numFmtId="0" fontId="157" fillId="0" borderId="0"/>
    <xf numFmtId="0" fontId="10" fillId="0" borderId="0"/>
    <xf numFmtId="0" fontId="10" fillId="0" borderId="0"/>
    <xf numFmtId="0" fontId="15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2"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2" fillId="0" borderId="0"/>
    <xf numFmtId="0" fontId="152" fillId="0" borderId="0"/>
    <xf numFmtId="0" fontId="10" fillId="0" borderId="0"/>
    <xf numFmtId="0" fontId="10" fillId="0" borderId="0"/>
    <xf numFmtId="0" fontId="2" fillId="0" borderId="0"/>
    <xf numFmtId="0" fontId="152" fillId="0" borderId="0"/>
    <xf numFmtId="0" fontId="157" fillId="0" borderId="0">
      <alignment vertical="top"/>
    </xf>
    <xf numFmtId="0" fontId="176" fillId="0" borderId="0"/>
    <xf numFmtId="0" fontId="176" fillId="0" borderId="0"/>
    <xf numFmtId="0" fontId="18" fillId="0" borderId="0"/>
    <xf numFmtId="0" fontId="176" fillId="0" borderId="0"/>
    <xf numFmtId="0" fontId="152" fillId="0" borderId="0"/>
    <xf numFmtId="0" fontId="158" fillId="0" borderId="0"/>
    <xf numFmtId="0" fontId="10" fillId="0" borderId="0"/>
    <xf numFmtId="0" fontId="158" fillId="0" borderId="0"/>
    <xf numFmtId="0" fontId="158" fillId="0" borderId="0"/>
    <xf numFmtId="0" fontId="18" fillId="0" borderId="0"/>
    <xf numFmtId="0" fontId="45" fillId="0" borderId="0"/>
    <xf numFmtId="0" fontId="152" fillId="0" borderId="0"/>
    <xf numFmtId="0" fontId="151" fillId="33" borderId="172" applyNumberFormat="0" applyFont="0" applyAlignment="0" applyProtection="0"/>
    <xf numFmtId="0" fontId="157" fillId="33" borderId="172" applyNumberFormat="0" applyFont="0" applyAlignment="0" applyProtection="0"/>
    <xf numFmtId="0" fontId="173" fillId="31" borderId="169" applyNumberFormat="0" applyAlignment="0" applyProtection="0"/>
    <xf numFmtId="0" fontId="173" fillId="71" borderId="169"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5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76" fillId="0" borderId="0" applyFont="0" applyFill="0" applyBorder="0" applyAlignment="0" applyProtection="0"/>
    <xf numFmtId="9" fontId="18" fillId="0" borderId="0" applyFont="0" applyFill="0" applyBorder="0" applyAlignment="0" applyProtection="0"/>
    <xf numFmtId="9" fontId="176" fillId="0" borderId="0" applyFont="0" applyFill="0" applyBorder="0" applyAlignment="0" applyProtection="0"/>
    <xf numFmtId="9" fontId="157" fillId="0" borderId="0" applyFont="0" applyFill="0" applyBorder="0" applyAlignment="0" applyProtection="0">
      <alignment vertical="top"/>
    </xf>
    <xf numFmtId="0" fontId="156" fillId="0" borderId="0" applyNumberFormat="0" applyFill="0" applyBorder="0" applyAlignment="0" applyProtection="0"/>
    <xf numFmtId="0" fontId="183" fillId="0" borderId="0" applyNumberFormat="0" applyFill="0" applyBorder="0" applyAlignment="0" applyProtection="0"/>
    <xf numFmtId="0" fontId="153" fillId="0" borderId="173" applyNumberFormat="0" applyFill="0" applyAlignment="0" applyProtection="0"/>
    <xf numFmtId="0" fontId="153" fillId="0" borderId="178" applyNumberFormat="0" applyFill="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158" fillId="0" borderId="0"/>
    <xf numFmtId="0" fontId="18" fillId="0" borderId="0"/>
    <xf numFmtId="0" fontId="157" fillId="0" borderId="0">
      <alignment vertical="top"/>
    </xf>
    <xf numFmtId="43" fontId="10" fillId="0" borderId="0" applyFont="0" applyFill="0" applyBorder="0" applyAlignment="0" applyProtection="0"/>
    <xf numFmtId="0" fontId="15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52" fillId="0" borderId="0"/>
    <xf numFmtId="44" fontId="10" fillId="0" borderId="0" applyFont="0" applyFill="0" applyBorder="0" applyAlignment="0" applyProtection="0"/>
    <xf numFmtId="0" fontId="2" fillId="0" borderId="0"/>
    <xf numFmtId="0" fontId="2" fillId="0" borderId="0"/>
    <xf numFmtId="0" fontId="2" fillId="0" borderId="0"/>
    <xf numFmtId="0" fontId="158" fillId="0" borderId="0"/>
    <xf numFmtId="0" fontId="2" fillId="0" borderId="0"/>
    <xf numFmtId="0" fontId="2" fillId="0" borderId="0"/>
    <xf numFmtId="0" fontId="10" fillId="0" borderId="0"/>
    <xf numFmtId="0" fontId="152" fillId="0" borderId="0"/>
    <xf numFmtId="9" fontId="18" fillId="0" borderId="0" applyFont="0" applyFill="0" applyBorder="0" applyAlignment="0" applyProtection="0"/>
    <xf numFmtId="0" fontId="2" fillId="0" borderId="0"/>
    <xf numFmtId="0" fontId="2" fillId="0" borderId="0"/>
    <xf numFmtId="43" fontId="18" fillId="0" borderId="0" applyFont="0" applyFill="0" applyBorder="0" applyAlignment="0" applyProtection="0"/>
    <xf numFmtId="0" fontId="2" fillId="0" borderId="0"/>
    <xf numFmtId="0" fontId="2" fillId="0" borderId="0"/>
    <xf numFmtId="9" fontId="157" fillId="0" borderId="0" applyFont="0" applyFill="0" applyBorder="0" applyAlignment="0" applyProtection="0">
      <alignment vertical="top"/>
    </xf>
    <xf numFmtId="0" fontId="157" fillId="0" borderId="0">
      <alignment vertical="top"/>
    </xf>
    <xf numFmtId="0" fontId="2" fillId="0" borderId="0"/>
    <xf numFmtId="0" fontId="2" fillId="0" borderId="0"/>
    <xf numFmtId="0" fontId="2" fillId="0" borderId="0"/>
    <xf numFmtId="43" fontId="158" fillId="0" borderId="0" applyFont="0" applyFill="0" applyBorder="0" applyAlignment="0" applyProtection="0"/>
    <xf numFmtId="0" fontId="18" fillId="0" borderId="0"/>
    <xf numFmtId="0" fontId="2" fillId="33" borderId="172" applyNumberFormat="0" applyFont="0" applyAlignment="0" applyProtection="0"/>
    <xf numFmtId="0" fontId="152" fillId="0" borderId="0"/>
    <xf numFmtId="0" fontId="158" fillId="0" borderId="0"/>
    <xf numFmtId="43" fontId="18" fillId="0" borderId="0" applyFont="0" applyFill="0" applyBorder="0" applyAlignment="0" applyProtection="0"/>
    <xf numFmtId="9" fontId="157" fillId="0" borderId="0" applyFont="0" applyFill="0" applyBorder="0" applyAlignment="0" applyProtection="0">
      <alignment vertical="top"/>
    </xf>
    <xf numFmtId="0" fontId="2" fillId="0" borderId="0"/>
    <xf numFmtId="0" fontId="152" fillId="0" borderId="0"/>
    <xf numFmtId="44"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52" fillId="0" borderId="0"/>
    <xf numFmtId="43" fontId="157" fillId="0" borderId="0" applyFont="0" applyFill="0" applyBorder="0" applyAlignment="0" applyProtection="0">
      <alignment vertical="top"/>
    </xf>
    <xf numFmtId="0" fontId="18" fillId="0" borderId="0"/>
    <xf numFmtId="0" fontId="2" fillId="0" borderId="0"/>
    <xf numFmtId="0" fontId="157" fillId="0" borderId="0"/>
    <xf numFmtId="43" fontId="158" fillId="0" borderId="0" applyFont="0" applyFill="0" applyBorder="0" applyAlignment="0" applyProtection="0"/>
    <xf numFmtId="0" fontId="10"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43" fontId="10" fillId="0" borderId="0" applyFont="0" applyFill="0" applyBorder="0" applyAlignment="0" applyProtection="0"/>
    <xf numFmtId="0" fontId="152" fillId="0" borderId="0"/>
    <xf numFmtId="9" fontId="18" fillId="0" borderId="0" applyFont="0" applyFill="0" applyBorder="0" applyAlignment="0" applyProtection="0"/>
    <xf numFmtId="43" fontId="158" fillId="0" borderId="0" applyFont="0" applyFill="0" applyBorder="0" applyAlignment="0" applyProtection="0"/>
    <xf numFmtId="9" fontId="10" fillId="0" borderId="0" applyFont="0" applyFill="0" applyBorder="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184" fillId="0" borderId="0" applyNumberFormat="0" applyFill="0" applyBorder="0" applyAlignment="0" applyProtection="0">
      <alignment vertical="top"/>
      <protection locked="0"/>
    </xf>
    <xf numFmtId="0" fontId="185" fillId="0" borderId="0"/>
    <xf numFmtId="0" fontId="2" fillId="35" borderId="0" applyNumberFormat="0" applyBorder="0" applyAlignment="0" applyProtection="0"/>
    <xf numFmtId="0" fontId="151" fillId="58" borderId="0" applyNumberFormat="0" applyBorder="0" applyAlignment="0" applyProtection="0"/>
    <xf numFmtId="0" fontId="2" fillId="39" borderId="0" applyNumberFormat="0" applyBorder="0" applyAlignment="0" applyProtection="0"/>
    <xf numFmtId="0" fontId="151" fillId="59" borderId="0" applyNumberFormat="0" applyBorder="0" applyAlignment="0" applyProtection="0"/>
    <xf numFmtId="0" fontId="2" fillId="43" borderId="0" applyNumberFormat="0" applyBorder="0" applyAlignment="0" applyProtection="0"/>
    <xf numFmtId="0" fontId="151" fillId="60" borderId="0" applyNumberFormat="0" applyBorder="0" applyAlignment="0" applyProtection="0"/>
    <xf numFmtId="0" fontId="2" fillId="47" borderId="0" applyNumberFormat="0" applyBorder="0" applyAlignment="0" applyProtection="0"/>
    <xf numFmtId="0" fontId="151" fillId="6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151" fillId="60" borderId="0" applyNumberFormat="0" applyBorder="0" applyAlignment="0" applyProtection="0"/>
    <xf numFmtId="0" fontId="2" fillId="36" borderId="0" applyNumberFormat="0" applyBorder="0" applyAlignment="0" applyProtection="0"/>
    <xf numFmtId="0" fontId="151" fillId="62"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151" fillId="63" borderId="0" applyNumberFormat="0" applyBorder="0" applyAlignment="0" applyProtection="0"/>
    <xf numFmtId="0" fontId="2" fillId="48" borderId="0" applyNumberFormat="0" applyBorder="0" applyAlignment="0" applyProtection="0"/>
    <xf numFmtId="0" fontId="151" fillId="64" borderId="0" applyNumberFormat="0" applyBorder="0" applyAlignment="0" applyProtection="0"/>
    <xf numFmtId="0" fontId="2" fillId="52" borderId="0" applyNumberFormat="0" applyBorder="0" applyAlignment="0" applyProtection="0"/>
    <xf numFmtId="0" fontId="151" fillId="62" borderId="0" applyNumberFormat="0" applyBorder="0" applyAlignment="0" applyProtection="0"/>
    <xf numFmtId="0" fontId="2" fillId="56" borderId="0" applyNumberFormat="0" applyBorder="0" applyAlignment="0" applyProtection="0"/>
    <xf numFmtId="0" fontId="151" fillId="60" borderId="0" applyNumberFormat="0" applyBorder="0" applyAlignment="0" applyProtection="0"/>
    <xf numFmtId="0" fontId="154" fillId="62" borderId="0" applyNumberFormat="0" applyBorder="0" applyAlignment="0" applyProtection="0"/>
    <xf numFmtId="0" fontId="154" fillId="65" borderId="0" applyNumberFormat="0" applyBorder="0" applyAlignment="0" applyProtection="0"/>
    <xf numFmtId="0" fontId="154" fillId="66" borderId="0" applyNumberFormat="0" applyBorder="0" applyAlignment="0" applyProtection="0"/>
    <xf numFmtId="0" fontId="154" fillId="64" borderId="0" applyNumberFormat="0" applyBorder="0" applyAlignment="0" applyProtection="0"/>
    <xf numFmtId="0" fontId="154" fillId="62" borderId="0" applyNumberFormat="0" applyBorder="0" applyAlignment="0" applyProtection="0"/>
    <xf numFmtId="0" fontId="154" fillId="59" borderId="0" applyNumberFormat="0" applyBorder="0" applyAlignment="0" applyProtection="0"/>
    <xf numFmtId="0" fontId="154" fillId="67" borderId="0" applyNumberFormat="0" applyBorder="0" applyAlignment="0" applyProtection="0"/>
    <xf numFmtId="0" fontId="154" fillId="65" borderId="0" applyNumberFormat="0" applyBorder="0" applyAlignment="0" applyProtection="0"/>
    <xf numFmtId="0" fontId="154" fillId="66" borderId="0" applyNumberFormat="0" applyBorder="0" applyAlignment="0" applyProtection="0"/>
    <xf numFmtId="0" fontId="157" fillId="0" borderId="0">
      <alignment vertical="top"/>
    </xf>
    <xf numFmtId="0" fontId="154" fillId="68" borderId="0" applyNumberFormat="0" applyBorder="0" applyAlignment="0" applyProtection="0"/>
    <xf numFmtId="0" fontId="154" fillId="69" borderId="0" applyNumberFormat="0" applyBorder="0" applyAlignment="0" applyProtection="0"/>
    <xf numFmtId="0" fontId="160" fillId="70" borderId="0" applyNumberFormat="0" applyBorder="0" applyAlignment="0" applyProtection="0"/>
    <xf numFmtId="0" fontId="177" fillId="71" borderId="168" applyNumberFormat="0" applyAlignment="0" applyProtection="0"/>
    <xf numFmtId="43" fontId="188" fillId="0" borderId="0" applyFont="0" applyFill="0" applyBorder="0" applyAlignment="0" applyProtection="0">
      <alignment vertical="top"/>
    </xf>
    <xf numFmtId="43" fontId="138" fillId="0" borderId="0" applyFont="0" applyFill="0" applyBorder="0" applyAlignment="0" applyProtection="0"/>
    <xf numFmtId="43" fontId="1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5" fillId="0" borderId="0" applyFont="0" applyFill="0" applyBorder="0" applyAlignment="0" applyProtection="0"/>
    <xf numFmtId="43" fontId="1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58" fillId="0" borderId="0" applyFont="0" applyFill="0" applyBorder="0" applyAlignment="0" applyProtection="0"/>
    <xf numFmtId="43" fontId="18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7" fillId="0" borderId="0" applyFont="0" applyFill="0" applyBorder="0" applyAlignment="0" applyProtection="0"/>
    <xf numFmtId="43" fontId="158" fillId="0" borderId="0" applyFont="0" applyFill="0" applyBorder="0" applyAlignment="0" applyProtection="0"/>
    <xf numFmtId="43" fontId="18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5" fillId="0" borderId="0" applyFont="0" applyFill="0" applyBorder="0" applyAlignment="0" applyProtection="0"/>
    <xf numFmtId="43" fontId="187" fillId="0" borderId="0" applyFont="0" applyFill="0" applyBorder="0" applyAlignment="0" applyProtection="0"/>
    <xf numFmtId="44" fontId="2" fillId="0" borderId="0" applyFont="0" applyFill="0" applyBorder="0" applyAlignment="0" applyProtection="0"/>
    <xf numFmtId="44" fontId="138" fillId="0" borderId="0" applyFont="0" applyFill="0" applyBorder="0" applyAlignment="0" applyProtection="0"/>
    <xf numFmtId="0" fontId="165" fillId="62" borderId="0" applyNumberFormat="0" applyBorder="0" applyAlignment="0" applyProtection="0"/>
    <xf numFmtId="0" fontId="178" fillId="0" borderId="174" applyNumberFormat="0" applyFill="0" applyAlignment="0" applyProtection="0"/>
    <xf numFmtId="0" fontId="179" fillId="0" borderId="175" applyNumberFormat="0" applyFill="0" applyAlignment="0" applyProtection="0"/>
    <xf numFmtId="0" fontId="180" fillId="0" borderId="176" applyNumberFormat="0" applyFill="0" applyAlignment="0" applyProtection="0"/>
    <xf numFmtId="0" fontId="180" fillId="0" borderId="0" applyNumberFormat="0" applyFill="0" applyBorder="0" applyAlignment="0" applyProtection="0"/>
    <xf numFmtId="0" fontId="169" fillId="63" borderId="168" applyNumberFormat="0" applyAlignment="0" applyProtection="0"/>
    <xf numFmtId="0" fontId="181" fillId="0" borderId="177" applyNumberFormat="0" applyFill="0" applyAlignment="0" applyProtection="0"/>
    <xf numFmtId="0" fontId="182" fillId="29" borderId="0" applyNumberFormat="0" applyBorder="0" applyAlignment="0" applyProtection="0"/>
    <xf numFmtId="0" fontId="187" fillId="0" borderId="0"/>
    <xf numFmtId="0" fontId="2" fillId="0" borderId="0"/>
    <xf numFmtId="0" fontId="187" fillId="0" borderId="0"/>
    <xf numFmtId="0" fontId="186" fillId="0" borderId="0"/>
    <xf numFmtId="0" fontId="186" fillId="0" borderId="0"/>
    <xf numFmtId="0" fontId="152" fillId="0" borderId="0"/>
    <xf numFmtId="0" fontId="2" fillId="0" borderId="0"/>
    <xf numFmtId="0" fontId="2" fillId="0" borderId="0"/>
    <xf numFmtId="0" fontId="2" fillId="0" borderId="0"/>
    <xf numFmtId="0" fontId="2" fillId="0" borderId="0"/>
    <xf numFmtId="0" fontId="2" fillId="0" borderId="0"/>
    <xf numFmtId="0" fontId="186" fillId="0" borderId="0"/>
    <xf numFmtId="0" fontId="186" fillId="0" borderId="0"/>
    <xf numFmtId="0" fontId="186" fillId="0" borderId="0"/>
    <xf numFmtId="0" fontId="186" fillId="0" borderId="0"/>
    <xf numFmtId="0" fontId="138" fillId="0" borderId="0"/>
    <xf numFmtId="0" fontId="138" fillId="0" borderId="0"/>
    <xf numFmtId="0" fontId="138" fillId="0" borderId="0"/>
    <xf numFmtId="0" fontId="138" fillId="0" borderId="0"/>
    <xf numFmtId="0" fontId="2" fillId="0" borderId="0"/>
    <xf numFmtId="0" fontId="2" fillId="0" borderId="0"/>
    <xf numFmtId="0" fontId="2" fillId="0" borderId="0"/>
    <xf numFmtId="0" fontId="188" fillId="0" borderId="0">
      <alignment vertical="top"/>
    </xf>
    <xf numFmtId="0" fontId="138" fillId="0" borderId="0"/>
    <xf numFmtId="0" fontId="138" fillId="0" borderId="0"/>
    <xf numFmtId="0" fontId="186" fillId="0" borderId="0"/>
    <xf numFmtId="0" fontId="186" fillId="0" borderId="0"/>
    <xf numFmtId="0" fontId="2" fillId="0" borderId="0"/>
    <xf numFmtId="0" fontId="2" fillId="0" borderId="0"/>
    <xf numFmtId="0" fontId="2" fillId="0" borderId="0"/>
    <xf numFmtId="0" fontId="2" fillId="0" borderId="0"/>
    <xf numFmtId="0" fontId="188" fillId="0" borderId="0">
      <alignment vertical="top"/>
    </xf>
    <xf numFmtId="0" fontId="18" fillId="0" borderId="0"/>
    <xf numFmtId="0" fontId="186" fillId="0" borderId="0"/>
    <xf numFmtId="0" fontId="186" fillId="0" borderId="0"/>
    <xf numFmtId="0" fontId="152" fillId="0" borderId="0"/>
    <xf numFmtId="0" fontId="187" fillId="0" borderId="0"/>
    <xf numFmtId="0" fontId="187" fillId="0" borderId="0"/>
    <xf numFmtId="0" fontId="158" fillId="0" borderId="0"/>
    <xf numFmtId="0" fontId="187" fillId="0" borderId="0"/>
    <xf numFmtId="0" fontId="187" fillId="0" borderId="0"/>
    <xf numFmtId="0" fontId="158" fillId="0" borderId="0"/>
    <xf numFmtId="0" fontId="2" fillId="33" borderId="172" applyNumberFormat="0" applyFont="0" applyAlignment="0" applyProtection="0"/>
    <xf numFmtId="0" fontId="157" fillId="33" borderId="172" applyNumberFormat="0" applyFont="0" applyAlignment="0" applyProtection="0"/>
    <xf numFmtId="0" fontId="173" fillId="71" borderId="169" applyNumberFormat="0" applyAlignment="0" applyProtection="0"/>
    <xf numFmtId="9" fontId="138" fillId="0" borderId="0" applyFont="0" applyFill="0" applyBorder="0" applyAlignment="0" applyProtection="0"/>
    <xf numFmtId="9" fontId="18" fillId="0" borderId="0" applyFont="0" applyFill="0" applyBorder="0" applyAlignment="0" applyProtection="0"/>
    <xf numFmtId="9" fontId="188" fillId="0" borderId="0" applyFont="0" applyFill="0" applyBorder="0" applyAlignment="0" applyProtection="0">
      <alignment vertical="top"/>
    </xf>
    <xf numFmtId="0" fontId="183" fillId="0" borderId="0" applyNumberFormat="0" applyFill="0" applyBorder="0" applyAlignment="0" applyProtection="0"/>
    <xf numFmtId="0" fontId="153" fillId="0" borderId="178" applyNumberFormat="0" applyFill="0" applyAlignment="0" applyProtection="0"/>
    <xf numFmtId="0" fontId="2" fillId="0" borderId="0"/>
    <xf numFmtId="0" fontId="2" fillId="0" borderId="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186" fillId="0" borderId="0"/>
    <xf numFmtId="0" fontId="2" fillId="0" borderId="0"/>
    <xf numFmtId="44" fontId="138"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5" fillId="0" borderId="0"/>
    <xf numFmtId="0" fontId="2" fillId="0" borderId="0"/>
    <xf numFmtId="9" fontId="138" fillId="0" borderId="0" applyFont="0" applyFill="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6" fillId="0" borderId="0"/>
    <xf numFmtId="43" fontId="188" fillId="0" borderId="0" applyFont="0" applyFill="0" applyBorder="0" applyAlignment="0" applyProtection="0">
      <alignment vertical="top"/>
    </xf>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0" borderId="0"/>
    <xf numFmtId="0" fontId="2" fillId="0" borderId="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6" borderId="0" applyNumberFormat="0" applyBorder="0" applyAlignment="0" applyProtection="0"/>
    <xf numFmtId="0" fontId="2" fillId="39"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55" borderId="0" applyNumberFormat="0" applyBorder="0" applyAlignment="0" applyProtection="0"/>
    <xf numFmtId="0" fontId="2" fillId="51"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3" borderId="0" applyNumberFormat="0" applyBorder="0" applyAlignment="0" applyProtection="0"/>
    <xf numFmtId="0" fontId="2" fillId="39" borderId="0" applyNumberFormat="0" applyBorder="0" applyAlignment="0" applyProtection="0"/>
    <xf numFmtId="0" fontId="2" fillId="35"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3" fillId="0" borderId="178"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0" borderId="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0" borderId="0"/>
    <xf numFmtId="0" fontId="2" fillId="0" borderId="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6" borderId="0" applyNumberFormat="0" applyBorder="0" applyAlignment="0" applyProtection="0"/>
    <xf numFmtId="0" fontId="2" fillId="39"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55" borderId="0" applyNumberFormat="0" applyBorder="0" applyAlignment="0" applyProtection="0"/>
    <xf numFmtId="0" fontId="2" fillId="51"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3" borderId="0" applyNumberFormat="0" applyBorder="0" applyAlignment="0" applyProtection="0"/>
    <xf numFmtId="0" fontId="2" fillId="39" borderId="0" applyNumberFormat="0" applyBorder="0" applyAlignment="0" applyProtection="0"/>
    <xf numFmtId="0" fontId="2" fillId="35"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1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89"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0" borderId="0"/>
    <xf numFmtId="0" fontId="2" fillId="0" borderId="0"/>
    <xf numFmtId="43" fontId="10" fillId="0" borderId="0" applyFont="0" applyFill="0" applyBorder="0" applyAlignment="0" applyProtection="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52" fillId="0" borderId="0"/>
    <xf numFmtId="0" fontId="2" fillId="0" borderId="0"/>
    <xf numFmtId="0" fontId="10" fillId="0" borderId="0"/>
    <xf numFmtId="0" fontId="152" fillId="0" borderId="0"/>
    <xf numFmtId="0" fontId="152" fillId="0" borderId="0"/>
    <xf numFmtId="0" fontId="151" fillId="60" borderId="0" applyNumberFormat="0" applyBorder="0" applyAlignment="0" applyProtection="0"/>
    <xf numFmtId="0" fontId="151" fillId="72" borderId="0" applyNumberFormat="0" applyBorder="0" applyAlignment="0" applyProtection="0"/>
    <xf numFmtId="0" fontId="151" fillId="72" borderId="0" applyNumberFormat="0" applyBorder="0" applyAlignment="0" applyProtection="0"/>
    <xf numFmtId="0" fontId="154" fillId="60" borderId="0" applyNumberFormat="0" applyBorder="0" applyAlignment="0" applyProtection="0"/>
    <xf numFmtId="0" fontId="2" fillId="0" borderId="0"/>
    <xf numFmtId="43" fontId="158" fillId="0" borderId="0" applyFont="0" applyFill="0" applyBorder="0" applyAlignment="0" applyProtection="0"/>
    <xf numFmtId="43" fontId="175" fillId="0" borderId="0" applyFont="0" applyFill="0" applyBorder="0" applyAlignment="0" applyProtection="0"/>
    <xf numFmtId="43" fontId="157" fillId="0" borderId="0" applyFont="0" applyFill="0" applyBorder="0" applyAlignment="0" applyProtection="0"/>
    <xf numFmtId="43" fontId="175" fillId="0" borderId="0" applyFont="0" applyFill="0" applyBorder="0" applyAlignment="0" applyProtection="0"/>
    <xf numFmtId="0" fontId="2" fillId="39" borderId="0" applyNumberFormat="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75" fillId="0" borderId="0" applyFont="0" applyFill="0" applyBorder="0" applyAlignment="0" applyProtection="0"/>
    <xf numFmtId="43" fontId="157" fillId="0" borderId="0" applyFont="0" applyFill="0" applyBorder="0" applyAlignment="0" applyProtection="0"/>
    <xf numFmtId="43" fontId="10" fillId="0" borderId="0" applyFont="0" applyFill="0" applyBorder="0" applyAlignment="0" applyProtection="0"/>
    <xf numFmtId="0" fontId="2" fillId="43" borderId="0" applyNumberFormat="0" applyBorder="0" applyAlignment="0" applyProtection="0"/>
    <xf numFmtId="0" fontId="171" fillId="61" borderId="0" applyNumberFormat="0" applyBorder="0" applyAlignment="0" applyProtection="0"/>
    <xf numFmtId="0" fontId="2" fillId="0" borderId="0"/>
    <xf numFmtId="0" fontId="2" fillId="0" borderId="0"/>
    <xf numFmtId="0" fontId="152" fillId="0" borderId="0"/>
    <xf numFmtId="0" fontId="10" fillId="0" borderId="0"/>
    <xf numFmtId="0" fontId="158" fillId="0" borderId="0"/>
    <xf numFmtId="0" fontId="10" fillId="0" borderId="0"/>
    <xf numFmtId="0" fontId="2" fillId="0" borderId="0"/>
    <xf numFmtId="0" fontId="152" fillId="0" borderId="0"/>
    <xf numFmtId="0" fontId="152" fillId="0" borderId="0"/>
    <xf numFmtId="0" fontId="2" fillId="51" borderId="0" applyNumberFormat="0" applyBorder="0" applyAlignment="0" applyProtection="0"/>
    <xf numFmtId="0" fontId="10" fillId="0" borderId="0"/>
    <xf numFmtId="0" fontId="152" fillId="0" borderId="0"/>
    <xf numFmtId="0" fontId="2" fillId="55" borderId="0" applyNumberFormat="0" applyBorder="0" applyAlignment="0" applyProtection="0"/>
    <xf numFmtId="0" fontId="2" fillId="36" borderId="0" applyNumberFormat="0" applyBorder="0" applyAlignment="0" applyProtection="0"/>
    <xf numFmtId="0" fontId="157" fillId="33" borderId="172" applyNumberFormat="0" applyFont="0" applyAlignment="0" applyProtection="0"/>
    <xf numFmtId="0" fontId="2" fillId="47" borderId="0" applyNumberFormat="0" applyBorder="0" applyAlignment="0" applyProtection="0"/>
    <xf numFmtId="0" fontId="2" fillId="35" borderId="0" applyNumberFormat="0" applyBorder="0" applyAlignment="0" applyProtection="0"/>
    <xf numFmtId="0" fontId="157"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7" fillId="0" borderId="0" applyFont="0" applyFill="0" applyBorder="0" applyAlignment="0" applyProtection="0"/>
    <xf numFmtId="43" fontId="2" fillId="0" borderId="0" applyFont="0" applyFill="0" applyBorder="0" applyAlignment="0" applyProtection="0"/>
    <xf numFmtId="43" fontId="16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8"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43" fontId="157" fillId="0" borderId="0" applyFont="0" applyFill="0" applyBorder="0" applyAlignment="0" applyProtection="0"/>
    <xf numFmtId="0" fontId="2" fillId="0" borderId="0"/>
    <xf numFmtId="0" fontId="2" fillId="0" borderId="0"/>
    <xf numFmtId="0" fontId="2" fillId="0" borderId="0"/>
    <xf numFmtId="0" fontId="152" fillId="0" borderId="0"/>
    <xf numFmtId="0" fontId="45" fillId="0" borderId="0"/>
    <xf numFmtId="0" fontId="2" fillId="0" borderId="0"/>
    <xf numFmtId="0" fontId="18" fillId="0" borderId="0"/>
    <xf numFmtId="0" fontId="18" fillId="0" borderId="0"/>
    <xf numFmtId="0" fontId="2" fillId="0" borderId="0"/>
    <xf numFmtId="0" fontId="10" fillId="0" borderId="0"/>
    <xf numFmtId="0" fontId="153" fillId="0" borderId="178" applyNumberFormat="0" applyFill="0" applyAlignment="0" applyProtection="0"/>
    <xf numFmtId="0" fontId="2" fillId="0" borderId="0"/>
    <xf numFmtId="0" fontId="157" fillId="0" borderId="0"/>
    <xf numFmtId="0" fontId="2" fillId="0" borderId="0"/>
    <xf numFmtId="0" fontId="2" fillId="0" borderId="0"/>
    <xf numFmtId="0" fontId="45" fillId="0" borderId="0"/>
    <xf numFmtId="0" fontId="151" fillId="33" borderId="172" applyNumberFormat="0" applyFont="0" applyAlignment="0" applyProtection="0"/>
    <xf numFmtId="0" fontId="2" fillId="33" borderId="172" applyNumberFormat="0" applyFont="0" applyAlignment="0" applyProtection="0"/>
    <xf numFmtId="0" fontId="157" fillId="0" borderId="0"/>
    <xf numFmtId="0" fontId="157" fillId="0" borderId="0"/>
    <xf numFmtId="0" fontId="157" fillId="0" borderId="0"/>
    <xf numFmtId="0" fontId="157" fillId="0" borderId="0"/>
    <xf numFmtId="0" fontId="2" fillId="0" borderId="0"/>
    <xf numFmtId="0" fontId="157"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0" borderId="0">
      <alignment vertical="top"/>
    </xf>
    <xf numFmtId="0" fontId="2" fillId="33" borderId="172" applyNumberFormat="0" applyFont="0" applyAlignment="0" applyProtection="0"/>
    <xf numFmtId="0" fontId="157" fillId="0" borderId="0"/>
    <xf numFmtId="0" fontId="157" fillId="0" borderId="0"/>
    <xf numFmtId="0" fontId="157"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2" fillId="0" borderId="0"/>
    <xf numFmtId="0" fontId="2" fillId="0" borderId="0"/>
    <xf numFmtId="0" fontId="2" fillId="0" borderId="0"/>
    <xf numFmtId="0" fontId="2" fillId="39" borderId="0" applyNumberFormat="0" applyBorder="0" applyAlignment="0" applyProtection="0"/>
    <xf numFmtId="0" fontId="157" fillId="0" borderId="0"/>
    <xf numFmtId="0" fontId="2" fillId="43" borderId="0" applyNumberFormat="0" applyBorder="0" applyAlignment="0" applyProtection="0"/>
    <xf numFmtId="0" fontId="2" fillId="0" borderId="0"/>
    <xf numFmtId="0" fontId="2" fillId="0" borderId="0"/>
    <xf numFmtId="0" fontId="2" fillId="0" borderId="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7" borderId="0" applyNumberFormat="0" applyBorder="0" applyAlignment="0" applyProtection="0"/>
    <xf numFmtId="0" fontId="2" fillId="3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0" borderId="0"/>
    <xf numFmtId="0" fontId="2" fillId="0" borderId="0"/>
    <xf numFmtId="0" fontId="2" fillId="39" borderId="0" applyNumberFormat="0" applyBorder="0" applyAlignment="0" applyProtection="0"/>
    <xf numFmtId="0" fontId="2" fillId="43" borderId="0" applyNumberFormat="0" applyBorder="0" applyAlignment="0" applyProtection="0"/>
    <xf numFmtId="0" fontId="2" fillId="0" borderId="0"/>
    <xf numFmtId="0" fontId="2" fillId="0" borderId="0"/>
    <xf numFmtId="0" fontId="2" fillId="0" borderId="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7" borderId="0" applyNumberFormat="0" applyBorder="0" applyAlignment="0" applyProtection="0"/>
    <xf numFmtId="0" fontId="2" fillId="35" borderId="0" applyNumberFormat="0" applyBorder="0" applyAlignment="0" applyProtection="0"/>
    <xf numFmtId="0" fontId="157"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157"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0" borderId="0">
      <alignment vertical="top"/>
    </xf>
    <xf numFmtId="0" fontId="2" fillId="33" borderId="172" applyNumberFormat="0" applyFont="0" applyAlignment="0" applyProtection="0"/>
    <xf numFmtId="0" fontId="157" fillId="0" borderId="0"/>
    <xf numFmtId="0" fontId="157" fillId="0" borderId="0"/>
    <xf numFmtId="0" fontId="157"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0" borderId="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07" fillId="0" borderId="0"/>
    <xf numFmtId="0" fontId="204"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2" fillId="0" borderId="0"/>
    <xf numFmtId="0" fontId="206" fillId="0" borderId="0"/>
    <xf numFmtId="0" fontId="205" fillId="0" borderId="0"/>
    <xf numFmtId="0" fontId="203" fillId="0" borderId="0"/>
    <xf numFmtId="0" fontId="202" fillId="0" borderId="0"/>
    <xf numFmtId="0" fontId="200" fillId="0" borderId="0"/>
    <xf numFmtId="0" fontId="199" fillId="0" borderId="0"/>
    <xf numFmtId="0" fontId="191" fillId="0" borderId="0"/>
    <xf numFmtId="0" fontId="195" fillId="0" borderId="0"/>
    <xf numFmtId="0" fontId="190" fillId="0" borderId="0"/>
    <xf numFmtId="0" fontId="196" fillId="0" borderId="0"/>
    <xf numFmtId="0" fontId="194" fillId="0" borderId="0"/>
    <xf numFmtId="0" fontId="193" fillId="0" borderId="0"/>
    <xf numFmtId="0" fontId="193" fillId="0" borderId="0"/>
    <xf numFmtId="0" fontId="153" fillId="0" borderId="178" applyNumberFormat="0" applyFill="0" applyAlignment="0" applyProtection="0"/>
    <xf numFmtId="0" fontId="2" fillId="0" borderId="0"/>
    <xf numFmtId="0" fontId="193" fillId="0" borderId="0"/>
    <xf numFmtId="0" fontId="163" fillId="0" borderId="0"/>
    <xf numFmtId="0" fontId="153" fillId="0" borderId="178" applyNumberFormat="0" applyFill="0" applyAlignment="0" applyProtection="0"/>
    <xf numFmtId="0" fontId="2" fillId="0" borderId="0"/>
    <xf numFmtId="0" fontId="2" fillId="0" borderId="0"/>
    <xf numFmtId="0" fontId="2" fillId="0" borderId="0"/>
    <xf numFmtId="0" fontId="197" fillId="0" borderId="0"/>
    <xf numFmtId="0" fontId="2" fillId="33" borderId="172"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39" borderId="0" applyNumberFormat="0" applyBorder="0" applyAlignment="0" applyProtection="0"/>
    <xf numFmtId="0" fontId="2" fillId="43" borderId="0" applyNumberFormat="0" applyBorder="0" applyAlignment="0" applyProtection="0"/>
    <xf numFmtId="0" fontId="2" fillId="0" borderId="0"/>
    <xf numFmtId="0" fontId="2" fillId="0" borderId="0"/>
    <xf numFmtId="0" fontId="2" fillId="0" borderId="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7" borderId="0" applyNumberFormat="0" applyBorder="0" applyAlignment="0" applyProtection="0"/>
    <xf numFmtId="0" fontId="2" fillId="3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9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0" borderId="0"/>
    <xf numFmtId="0" fontId="2" fillId="0" borderId="0"/>
    <xf numFmtId="0" fontId="2" fillId="39" borderId="0" applyNumberFormat="0" applyBorder="0" applyAlignment="0" applyProtection="0"/>
    <xf numFmtId="0" fontId="2" fillId="43" borderId="0" applyNumberFormat="0" applyBorder="0" applyAlignment="0" applyProtection="0"/>
    <xf numFmtId="0" fontId="2" fillId="0" borderId="0"/>
    <xf numFmtId="0" fontId="2" fillId="0" borderId="0"/>
    <xf numFmtId="0" fontId="2" fillId="0" borderId="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7" borderId="0" applyNumberFormat="0" applyBorder="0" applyAlignment="0" applyProtection="0"/>
    <xf numFmtId="0" fontId="2" fillId="3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0" borderId="0"/>
    <xf numFmtId="0" fontId="2" fillId="0" borderId="0"/>
    <xf numFmtId="0" fontId="2" fillId="39" borderId="0" applyNumberFormat="0" applyBorder="0" applyAlignment="0" applyProtection="0"/>
    <xf numFmtId="0" fontId="2" fillId="43" borderId="0" applyNumberFormat="0" applyBorder="0" applyAlignment="0" applyProtection="0"/>
    <xf numFmtId="0" fontId="2" fillId="0" borderId="0"/>
    <xf numFmtId="0" fontId="2" fillId="0" borderId="0"/>
    <xf numFmtId="0" fontId="2" fillId="0" borderId="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7" borderId="0" applyNumberFormat="0" applyBorder="0" applyAlignment="0" applyProtection="0"/>
    <xf numFmtId="0" fontId="2" fillId="3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01" fillId="0" borderId="0"/>
    <xf numFmtId="0" fontId="198" fillId="0" borderId="0"/>
    <xf numFmtId="0" fontId="198" fillId="0" borderId="0"/>
    <xf numFmtId="0" fontId="191" fillId="0" borderId="0"/>
    <xf numFmtId="0" fontId="200" fillId="0" borderId="0"/>
    <xf numFmtId="0" fontId="210" fillId="0" borderId="0"/>
    <xf numFmtId="0" fontId="191" fillId="0" borderId="0"/>
    <xf numFmtId="0" fontId="153" fillId="0" borderId="178" applyNumberFormat="0" applyFill="0" applyAlignment="0" applyProtection="0"/>
    <xf numFmtId="0" fontId="208" fillId="0" borderId="0"/>
    <xf numFmtId="0" fontId="211" fillId="0" borderId="0"/>
    <xf numFmtId="0" fontId="191" fillId="0" borderId="0"/>
    <xf numFmtId="0" fontId="209" fillId="0" borderId="0"/>
    <xf numFmtId="0" fontId="198" fillId="0" borderId="0"/>
    <xf numFmtId="0" fontId="191" fillId="0" borderId="0"/>
    <xf numFmtId="0" fontId="2" fillId="0" borderId="0"/>
    <xf numFmtId="0" fontId="2" fillId="0" borderId="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153" fillId="0" borderId="178"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53" fillId="0" borderId="178" applyNumberFormat="0" applyFill="0" applyAlignment="0" applyProtection="0"/>
    <xf numFmtId="0" fontId="2" fillId="0" borderId="0"/>
    <xf numFmtId="0" fontId="2" fillId="0" borderId="0"/>
    <xf numFmtId="0" fontId="2" fillId="0" borderId="0"/>
    <xf numFmtId="0" fontId="153" fillId="0" borderId="178" applyNumberFormat="0" applyFill="0" applyAlignment="0" applyProtection="0"/>
    <xf numFmtId="0" fontId="2" fillId="0" borderId="0"/>
    <xf numFmtId="0" fontId="2" fillId="0" borderId="0"/>
    <xf numFmtId="0" fontId="2" fillId="0" borderId="0"/>
    <xf numFmtId="0" fontId="2" fillId="0" borderId="0"/>
    <xf numFmtId="0" fontId="153" fillId="0" borderId="178" applyNumberFormat="0" applyFill="0" applyAlignment="0" applyProtection="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39" borderId="0" applyNumberFormat="0" applyBorder="0" applyAlignment="0" applyProtection="0"/>
    <xf numFmtId="0" fontId="2" fillId="43" borderId="0" applyNumberFormat="0" applyBorder="0" applyAlignment="0" applyProtection="0"/>
    <xf numFmtId="0" fontId="2" fillId="0" borderId="0"/>
    <xf numFmtId="0" fontId="2" fillId="0" borderId="0"/>
    <xf numFmtId="0" fontId="2" fillId="0" borderId="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7" borderId="0" applyNumberFormat="0" applyBorder="0" applyAlignment="0" applyProtection="0"/>
    <xf numFmtId="0" fontId="2" fillId="3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0" borderId="0"/>
    <xf numFmtId="0" fontId="2" fillId="0" borderId="0"/>
    <xf numFmtId="0" fontId="2" fillId="39" borderId="0" applyNumberFormat="0" applyBorder="0" applyAlignment="0" applyProtection="0"/>
    <xf numFmtId="0" fontId="2" fillId="43" borderId="0" applyNumberFormat="0" applyBorder="0" applyAlignment="0" applyProtection="0"/>
    <xf numFmtId="0" fontId="2" fillId="0" borderId="0"/>
    <xf numFmtId="0" fontId="2" fillId="0" borderId="0"/>
    <xf numFmtId="0" fontId="2" fillId="0" borderId="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7" borderId="0" applyNumberFormat="0" applyBorder="0" applyAlignment="0" applyProtection="0"/>
    <xf numFmtId="0" fontId="2" fillId="3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0" borderId="0"/>
    <xf numFmtId="0" fontId="2" fillId="0" borderId="0"/>
    <xf numFmtId="0" fontId="2" fillId="39" borderId="0" applyNumberFormat="0" applyBorder="0" applyAlignment="0" applyProtection="0"/>
    <xf numFmtId="0" fontId="2" fillId="43" borderId="0" applyNumberFormat="0" applyBorder="0" applyAlignment="0" applyProtection="0"/>
    <xf numFmtId="0" fontId="2" fillId="0" borderId="0"/>
    <xf numFmtId="0" fontId="2" fillId="0" borderId="0"/>
    <xf numFmtId="0" fontId="2" fillId="0" borderId="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7" borderId="0" applyNumberFormat="0" applyBorder="0" applyAlignment="0" applyProtection="0"/>
    <xf numFmtId="0" fontId="2" fillId="3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43" fontId="10"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0" fontId="158" fillId="0" borderId="0"/>
    <xf numFmtId="0" fontId="152" fillId="0" borderId="0"/>
    <xf numFmtId="0" fontId="152" fillId="0" borderId="0"/>
    <xf numFmtId="0" fontId="152" fillId="0" borderId="0"/>
    <xf numFmtId="0" fontId="10" fillId="0" borderId="0"/>
    <xf numFmtId="0" fontId="10" fillId="0" borderId="0"/>
    <xf numFmtId="0" fontId="10" fillId="0" borderId="0"/>
    <xf numFmtId="0" fontId="152" fillId="0" borderId="0"/>
    <xf numFmtId="0" fontId="152" fillId="0" borderId="0"/>
    <xf numFmtId="0" fontId="158" fillId="0" borderId="0"/>
    <xf numFmtId="0" fontId="158" fillId="0" borderId="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2" fillId="0" borderId="0"/>
    <xf numFmtId="0" fontId="2" fillId="0" borderId="0"/>
    <xf numFmtId="0" fontId="2" fillId="0" borderId="0"/>
    <xf numFmtId="0" fontId="2" fillId="0" borderId="0"/>
    <xf numFmtId="0" fontId="2" fillId="0" borderId="0"/>
    <xf numFmtId="0" fontId="156" fillId="0" borderId="0" applyNumberFormat="0" applyFill="0" applyBorder="0" applyAlignment="0" applyProtection="0"/>
    <xf numFmtId="0" fontId="2" fillId="0" borderId="0"/>
    <xf numFmtId="0" fontId="151" fillId="72" borderId="0" applyNumberFormat="0" applyBorder="0" applyAlignment="0" applyProtection="0"/>
    <xf numFmtId="0" fontId="2" fillId="72" borderId="0" applyNumberFormat="0" applyBorder="0" applyAlignment="0" applyProtection="0"/>
    <xf numFmtId="0" fontId="151" fillId="72" borderId="0" applyNumberFormat="0" applyBorder="0" applyAlignment="0" applyProtection="0"/>
    <xf numFmtId="0" fontId="151" fillId="72" borderId="0" applyNumberFormat="0" applyBorder="0" applyAlignment="0" applyProtection="0"/>
    <xf numFmtId="0" fontId="151" fillId="72" borderId="0" applyNumberFormat="0" applyBorder="0" applyAlignment="0" applyProtection="0"/>
    <xf numFmtId="0" fontId="151" fillId="72"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151" fillId="72" borderId="0" applyNumberFormat="0" applyBorder="0" applyAlignment="0" applyProtection="0"/>
    <xf numFmtId="0" fontId="2" fillId="72" borderId="0" applyNumberFormat="0" applyBorder="0" applyAlignment="0" applyProtection="0"/>
    <xf numFmtId="0" fontId="151" fillId="72" borderId="0" applyNumberFormat="0" applyBorder="0" applyAlignment="0" applyProtection="0"/>
    <xf numFmtId="0" fontId="151" fillId="72" borderId="0" applyNumberFormat="0" applyBorder="0" applyAlignment="0" applyProtection="0"/>
    <xf numFmtId="0" fontId="151" fillId="72" borderId="0" applyNumberFormat="0" applyBorder="0" applyAlignment="0" applyProtection="0"/>
    <xf numFmtId="0" fontId="151" fillId="72"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151" fillId="60" borderId="0" applyNumberFormat="0" applyBorder="0" applyAlignment="0" applyProtection="0"/>
    <xf numFmtId="0" fontId="2" fillId="60" borderId="0" applyNumberFormat="0" applyBorder="0" applyAlignment="0" applyProtection="0"/>
    <xf numFmtId="0" fontId="151" fillId="60" borderId="0" applyNumberFormat="0" applyBorder="0" applyAlignment="0" applyProtection="0"/>
    <xf numFmtId="0" fontId="151" fillId="60" borderId="0" applyNumberFormat="0" applyBorder="0" applyAlignment="0" applyProtection="0"/>
    <xf numFmtId="0" fontId="151" fillId="60" borderId="0" applyNumberFormat="0" applyBorder="0" applyAlignment="0" applyProtection="0"/>
    <xf numFmtId="0" fontId="151" fillId="60"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154" fillId="60" borderId="0" applyNumberFormat="0" applyBorder="0" applyAlignment="0" applyProtection="0"/>
    <xf numFmtId="0" fontId="13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59" borderId="0" applyNumberFormat="0" applyBorder="0" applyAlignment="0" applyProtection="0"/>
    <xf numFmtId="0" fontId="13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60" fillId="70" borderId="0" applyNumberFormat="0" applyBorder="0" applyAlignment="0" applyProtection="0"/>
    <xf numFmtId="0" fontId="143" fillId="70" borderId="0" applyNumberFormat="0" applyBorder="0" applyAlignment="0" applyProtection="0"/>
    <xf numFmtId="0" fontId="160" fillId="70" borderId="0" applyNumberFormat="0" applyBorder="0" applyAlignment="0" applyProtection="0"/>
    <xf numFmtId="0" fontId="160" fillId="70" borderId="0" applyNumberFormat="0" applyBorder="0" applyAlignment="0" applyProtection="0"/>
    <xf numFmtId="0" fontId="160" fillId="70" borderId="0" applyNumberFormat="0" applyBorder="0" applyAlignment="0" applyProtection="0"/>
    <xf numFmtId="43" fontId="175" fillId="0" borderId="0" applyFont="0" applyFill="0" applyBorder="0" applyAlignment="0" applyProtection="0"/>
    <xf numFmtId="43" fontId="157" fillId="0" borderId="0" applyFont="0" applyFill="0" applyBorder="0" applyAlignment="0" applyProtection="0"/>
    <xf numFmtId="43" fontId="175" fillId="0" borderId="0" applyFont="0" applyFill="0" applyBorder="0" applyAlignment="0" applyProtection="0"/>
    <xf numFmtId="43" fontId="157"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0" fontId="171" fillId="61" borderId="0" applyNumberFormat="0" applyBorder="0" applyAlignment="0" applyProtection="0"/>
    <xf numFmtId="0" fontId="155" fillId="61" borderId="0" applyNumberFormat="0" applyBorder="0" applyAlignment="0" applyProtection="0"/>
    <xf numFmtId="0" fontId="171" fillId="61" borderId="0" applyNumberFormat="0" applyBorder="0" applyAlignment="0" applyProtection="0"/>
    <xf numFmtId="0" fontId="171" fillId="61" borderId="0" applyNumberFormat="0" applyBorder="0" applyAlignment="0" applyProtection="0"/>
    <xf numFmtId="0" fontId="171" fillId="61" borderId="0" applyNumberFormat="0" applyBorder="0" applyAlignment="0" applyProtection="0"/>
    <xf numFmtId="0" fontId="171"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0" fillId="0" borderId="0"/>
    <xf numFmtId="0" fontId="45" fillId="0" borderId="0"/>
    <xf numFmtId="0" fontId="2" fillId="0" borderId="0"/>
    <xf numFmtId="0" fontId="2" fillId="0" borderId="0"/>
    <xf numFmtId="0" fontId="2" fillId="0" borderId="0"/>
    <xf numFmtId="0" fontId="2" fillId="0" borderId="0"/>
    <xf numFmtId="0" fontId="152" fillId="0" borderId="0"/>
    <xf numFmtId="0" fontId="152" fillId="0" borderId="0"/>
    <xf numFmtId="0" fontId="45" fillId="0" borderId="0"/>
    <xf numFmtId="0" fontId="2" fillId="0" borderId="0"/>
    <xf numFmtId="0" fontId="157" fillId="0" borderId="0"/>
    <xf numFmtId="0" fontId="10" fillId="0" borderId="0"/>
    <xf numFmtId="0" fontId="157" fillId="0" borderId="0"/>
    <xf numFmtId="0" fontId="2" fillId="0" borderId="0"/>
    <xf numFmtId="0" fontId="2" fillId="0" borderId="0"/>
    <xf numFmtId="0" fontId="175" fillId="33" borderId="172" applyNumberFormat="0" applyFont="0" applyAlignment="0" applyProtection="0"/>
    <xf numFmtId="0" fontId="157" fillId="33" borderId="172" applyNumberFormat="0" applyFont="0" applyAlignment="0" applyProtection="0"/>
    <xf numFmtId="0" fontId="157" fillId="33" borderId="172" applyNumberFormat="0" applyFont="0" applyAlignment="0" applyProtection="0"/>
    <xf numFmtId="0" fontId="157" fillId="33" borderId="172" applyNumberFormat="0" applyFont="0" applyAlignment="0" applyProtection="0"/>
    <xf numFmtId="0" fontId="157" fillId="33" borderId="172" applyNumberFormat="0" applyFont="0" applyAlignment="0" applyProtection="0"/>
    <xf numFmtId="0" fontId="157" fillId="33" borderId="172" applyNumberFormat="0" applyFont="0" applyAlignment="0" applyProtection="0"/>
    <xf numFmtId="9" fontId="157" fillId="0" borderId="0" applyFont="0" applyFill="0" applyBorder="0" applyAlignment="0" applyProtection="0"/>
    <xf numFmtId="0" fontId="151" fillId="35" borderId="0" applyNumberFormat="0" applyBorder="0" applyAlignment="0" applyProtection="0"/>
    <xf numFmtId="0" fontId="151" fillId="47" borderId="0" applyNumberFormat="0" applyBorder="0" applyAlignment="0" applyProtection="0"/>
    <xf numFmtId="0" fontId="151" fillId="44" borderId="0" applyNumberFormat="0" applyBorder="0" applyAlignment="0" applyProtection="0"/>
    <xf numFmtId="0" fontId="154" fillId="45" borderId="0" applyNumberFormat="0" applyBorder="0" applyAlignment="0" applyProtection="0"/>
    <xf numFmtId="0" fontId="154" fillId="57" borderId="0" applyNumberFormat="0" applyBorder="0" applyAlignment="0" applyProtection="0"/>
    <xf numFmtId="0" fontId="160" fillId="28" borderId="0" applyNumberFormat="0" applyBorder="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71" fillId="29" borderId="0" applyNumberFormat="0" applyBorder="0" applyAlignment="0" applyProtection="0"/>
    <xf numFmtId="0" fontId="151" fillId="33" borderId="172" applyNumberFormat="0" applyFont="0" applyAlignment="0" applyProtection="0"/>
    <xf numFmtId="0" fontId="2" fillId="0" borderId="0"/>
    <xf numFmtId="0" fontId="2" fillId="72"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72"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60"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51" fillId="35" borderId="0" applyNumberFormat="0" applyBorder="0" applyAlignment="0" applyProtection="0"/>
    <xf numFmtId="0" fontId="2" fillId="35" borderId="0" applyNumberFormat="0" applyBorder="0" applyAlignment="0" applyProtection="0"/>
    <xf numFmtId="0" fontId="151" fillId="35" borderId="0" applyNumberFormat="0" applyBorder="0" applyAlignment="0" applyProtection="0"/>
    <xf numFmtId="0" fontId="151" fillId="58" borderId="0" applyNumberFormat="0" applyBorder="0" applyAlignment="0" applyProtection="0"/>
    <xf numFmtId="0" fontId="151" fillId="58" borderId="0" applyNumberFormat="0" applyBorder="0" applyAlignment="0" applyProtection="0"/>
    <xf numFmtId="0" fontId="151" fillId="35" borderId="0" applyNumberFormat="0" applyBorder="0" applyAlignment="0" applyProtection="0"/>
    <xf numFmtId="0" fontId="151" fillId="35" borderId="0" applyNumberFormat="0" applyBorder="0" applyAlignment="0" applyProtection="0"/>
    <xf numFmtId="0" fontId="151" fillId="47" borderId="0" applyNumberFormat="0" applyBorder="0" applyAlignment="0" applyProtection="0"/>
    <xf numFmtId="0" fontId="2" fillId="47" borderId="0" applyNumberFormat="0" applyBorder="0" applyAlignment="0" applyProtection="0"/>
    <xf numFmtId="0" fontId="151" fillId="47" borderId="0" applyNumberFormat="0" applyBorder="0" applyAlignment="0" applyProtection="0"/>
    <xf numFmtId="0" fontId="151" fillId="61" borderId="0" applyNumberFormat="0" applyBorder="0" applyAlignment="0" applyProtection="0"/>
    <xf numFmtId="0" fontId="151" fillId="61"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4" borderId="0" applyNumberFormat="0" applyBorder="0" applyAlignment="0" applyProtection="0"/>
    <xf numFmtId="0" fontId="2" fillId="44" borderId="0" applyNumberFormat="0" applyBorder="0" applyAlignment="0" applyProtection="0"/>
    <xf numFmtId="0" fontId="151" fillId="44"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4" fillId="45" borderId="0" applyNumberFormat="0" applyBorder="0" applyAlignment="0" applyProtection="0"/>
    <xf numFmtId="0" fontId="134" fillId="45" borderId="0" applyNumberFormat="0" applyBorder="0" applyAlignment="0" applyProtection="0"/>
    <xf numFmtId="0" fontId="154" fillId="45"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45" borderId="0" applyNumberFormat="0" applyBorder="0" applyAlignment="0" applyProtection="0"/>
    <xf numFmtId="0" fontId="154" fillId="45" borderId="0" applyNumberFormat="0" applyBorder="0" applyAlignment="0" applyProtection="0"/>
    <xf numFmtId="0" fontId="154" fillId="57" borderId="0" applyNumberFormat="0" applyBorder="0" applyAlignment="0" applyProtection="0"/>
    <xf numFmtId="0" fontId="134" fillId="57" borderId="0" applyNumberFormat="0" applyBorder="0" applyAlignment="0" applyProtection="0"/>
    <xf numFmtId="0" fontId="154" fillId="57" borderId="0" applyNumberFormat="0" applyBorder="0" applyAlignment="0" applyProtection="0"/>
    <xf numFmtId="0" fontId="154" fillId="59"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60" fillId="28" borderId="0" applyNumberFormat="0" applyBorder="0" applyAlignment="0" applyProtection="0"/>
    <xf numFmtId="0" fontId="143" fillId="28" borderId="0" applyNumberFormat="0" applyBorder="0" applyAlignment="0" applyProtection="0"/>
    <xf numFmtId="0" fontId="160" fillId="28" borderId="0" applyNumberFormat="0" applyBorder="0" applyAlignment="0" applyProtection="0"/>
    <xf numFmtId="0" fontId="160" fillId="70" borderId="0" applyNumberFormat="0" applyBorder="0" applyAlignment="0" applyProtection="0"/>
    <xf numFmtId="0" fontId="160" fillId="28" borderId="0" applyNumberFormat="0" applyBorder="0" applyAlignment="0" applyProtection="0"/>
    <xf numFmtId="0" fontId="160" fillId="2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5" fillId="0" borderId="0" applyFont="0" applyFill="0" applyBorder="0" applyAlignment="0" applyProtection="0"/>
    <xf numFmtId="43" fontId="151" fillId="0" borderId="0" applyFont="0" applyFill="0" applyBorder="0" applyAlignment="0" applyProtection="0"/>
    <xf numFmtId="43" fontId="157"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8" fillId="0" borderId="0" applyFont="0" applyFill="0" applyBorder="0" applyAlignment="0" applyProtection="0"/>
    <xf numFmtId="43" fontId="16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7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4" fontId="2" fillId="0" borderId="0" applyFont="0" applyFill="0" applyBorder="0" applyAlignment="0" applyProtection="0"/>
    <xf numFmtId="0" fontId="189" fillId="0" borderId="0" applyNumberFormat="0" applyFill="0" applyBorder="0" applyAlignment="0" applyProtection="0">
      <alignment vertical="top"/>
      <protection locked="0"/>
    </xf>
    <xf numFmtId="0" fontId="171" fillId="29" borderId="0" applyNumberFormat="0" applyBorder="0" applyAlignment="0" applyProtection="0"/>
    <xf numFmtId="0" fontId="155" fillId="29" borderId="0" applyNumberFormat="0" applyBorder="0" applyAlignment="0" applyProtection="0"/>
    <xf numFmtId="0" fontId="171" fillId="29" borderId="0" applyNumberFormat="0" applyBorder="0" applyAlignment="0" applyProtection="0"/>
    <xf numFmtId="0" fontId="182" fillId="29" borderId="0" applyNumberFormat="0" applyBorder="0" applyAlignment="0" applyProtection="0"/>
    <xf numFmtId="0" fontId="182" fillId="29" borderId="0" applyNumberFormat="0" applyBorder="0" applyAlignment="0" applyProtection="0"/>
    <xf numFmtId="0" fontId="171" fillId="29" borderId="0" applyNumberFormat="0" applyBorder="0" applyAlignment="0" applyProtection="0"/>
    <xf numFmtId="0" fontId="171" fillId="29" borderId="0" applyNumberFormat="0" applyBorder="0" applyAlignment="0" applyProtection="0"/>
    <xf numFmtId="0" fontId="45" fillId="0" borderId="0"/>
    <xf numFmtId="0" fontId="10" fillId="0" borderId="0"/>
    <xf numFmtId="0" fontId="45" fillId="0" borderId="0"/>
    <xf numFmtId="0" fontId="18" fillId="0" borderId="0"/>
    <xf numFmtId="0" fontId="18" fillId="0" borderId="0"/>
    <xf numFmtId="0" fontId="18" fillId="0" borderId="0"/>
    <xf numFmtId="0" fontId="163" fillId="0" borderId="0"/>
    <xf numFmtId="0" fontId="2" fillId="33" borderId="172" applyNumberFormat="0" applyFont="0" applyAlignment="0" applyProtection="0"/>
    <xf numFmtId="0" fontId="151" fillId="33" borderId="172" applyNumberFormat="0" applyFont="0" applyAlignment="0" applyProtection="0"/>
    <xf numFmtId="0" fontId="157" fillId="33" borderId="172" applyNumberFormat="0" applyFont="0" applyAlignment="0" applyProtection="0"/>
    <xf numFmtId="0" fontId="151" fillId="33" borderId="172" applyNumberFormat="0" applyFont="0" applyAlignment="0" applyProtection="0"/>
    <xf numFmtId="0" fontId="151" fillId="33" borderId="172" applyNumberFormat="0" applyFont="0" applyAlignment="0" applyProtection="0"/>
    <xf numFmtId="0" fontId="151" fillId="33" borderId="172" applyNumberFormat="0" applyFont="0" applyAlignment="0" applyProtection="0"/>
    <xf numFmtId="0" fontId="151" fillId="33" borderId="172"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53" fillId="0" borderId="178" applyNumberFormat="0" applyFill="0" applyAlignment="0" applyProtection="0"/>
    <xf numFmtId="0" fontId="2" fillId="0" borderId="0"/>
    <xf numFmtId="0" fontId="2" fillId="0" borderId="0"/>
    <xf numFmtId="0" fontId="2" fillId="0" borderId="0"/>
    <xf numFmtId="0" fontId="2" fillId="72"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72"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60"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72"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72"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60"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5" borderId="0" applyNumberFormat="0" applyBorder="0" applyAlignment="0" applyProtection="0"/>
    <xf numFmtId="0" fontId="2" fillId="47"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33" borderId="17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72"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157" fillId="0" borderId="0"/>
    <xf numFmtId="0" fontId="2" fillId="72"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157" fillId="0" borderId="0"/>
    <xf numFmtId="0" fontId="2" fillId="40" borderId="0" applyNumberFormat="0" applyBorder="0" applyAlignment="0" applyProtection="0"/>
    <xf numFmtId="0" fontId="2" fillId="60"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9" fontId="176" fillId="0" borderId="0" applyFont="0" applyFill="0" applyBorder="0" applyAlignment="0" applyProtection="0"/>
    <xf numFmtId="9" fontId="176" fillId="0" borderId="0" applyFont="0" applyFill="0" applyBorder="0" applyAlignment="0" applyProtection="0"/>
    <xf numFmtId="0" fontId="157" fillId="0" borderId="0"/>
    <xf numFmtId="43" fontId="2" fillId="0" borderId="0" applyFont="0" applyFill="0" applyBorder="0" applyAlignment="0" applyProtection="0"/>
    <xf numFmtId="0" fontId="2" fillId="0" borderId="0"/>
    <xf numFmtId="0" fontId="151" fillId="72" borderId="0" applyNumberFormat="0" applyBorder="0" applyAlignment="0" applyProtection="0"/>
    <xf numFmtId="0" fontId="2" fillId="39"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43" fontId="16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35" borderId="0" applyNumberFormat="0" applyBorder="0" applyAlignment="0" applyProtection="0"/>
    <xf numFmtId="0" fontId="2" fillId="43" borderId="0" applyNumberFormat="0" applyBorder="0" applyAlignment="0" applyProtection="0"/>
    <xf numFmtId="0" fontId="2" fillId="40" borderId="0" applyNumberFormat="0" applyBorder="0" applyAlignment="0" applyProtection="0"/>
    <xf numFmtId="0" fontId="2" fillId="0" borderId="0"/>
    <xf numFmtId="0" fontId="2" fillId="47" borderId="0" applyNumberFormat="0" applyBorder="0" applyAlignment="0" applyProtection="0"/>
    <xf numFmtId="43" fontId="151" fillId="0" borderId="0" applyFont="0" applyFill="0" applyBorder="0" applyAlignment="0" applyProtection="0"/>
    <xf numFmtId="0" fontId="2" fillId="0" borderId="0"/>
    <xf numFmtId="0" fontId="2" fillId="55" borderId="0" applyNumberFormat="0" applyBorder="0" applyAlignment="0" applyProtection="0"/>
    <xf numFmtId="0" fontId="2" fillId="44" borderId="0" applyNumberFormat="0" applyBorder="0" applyAlignment="0" applyProtection="0"/>
    <xf numFmtId="0" fontId="151" fillId="72" borderId="0" applyNumberFormat="0" applyBorder="0" applyAlignment="0" applyProtection="0"/>
    <xf numFmtId="43" fontId="2" fillId="0" borderId="0" applyFont="0" applyFill="0" applyBorder="0" applyAlignment="0" applyProtection="0"/>
    <xf numFmtId="0" fontId="2" fillId="0" borderId="0"/>
    <xf numFmtId="43" fontId="17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57" fillId="0" borderId="0"/>
    <xf numFmtId="0" fontId="2" fillId="0" borderId="0"/>
    <xf numFmtId="0" fontId="2" fillId="0" borderId="0"/>
    <xf numFmtId="0" fontId="2" fillId="0" borderId="0"/>
    <xf numFmtId="0" fontId="2" fillId="0" borderId="0"/>
    <xf numFmtId="0" fontId="10" fillId="0" borderId="0"/>
    <xf numFmtId="0" fontId="157" fillId="0" borderId="0"/>
    <xf numFmtId="0" fontId="176" fillId="0" borderId="0"/>
    <xf numFmtId="0" fontId="2" fillId="0" borderId="0"/>
    <xf numFmtId="0" fontId="176" fillId="0" borderId="0"/>
    <xf numFmtId="0" fontId="2" fillId="0" borderId="0"/>
    <xf numFmtId="0" fontId="2" fillId="0" borderId="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157" fillId="0" borderId="0" applyFont="0" applyFill="0" applyBorder="0" applyAlignment="0" applyProtection="0">
      <alignment vertical="top"/>
    </xf>
    <xf numFmtId="0" fontId="2" fillId="0" borderId="0"/>
    <xf numFmtId="0" fontId="154" fillId="60" borderId="0" applyNumberFormat="0" applyBorder="0" applyAlignment="0" applyProtection="0"/>
    <xf numFmtId="43" fontId="157" fillId="0" borderId="0" applyFont="0" applyFill="0" applyBorder="0" applyAlignment="0" applyProtection="0"/>
    <xf numFmtId="0" fontId="2" fillId="43" borderId="0" applyNumberFormat="0" applyBorder="0" applyAlignment="0" applyProtection="0"/>
    <xf numFmtId="0" fontId="171" fillId="61" borderId="0" applyNumberFormat="0" applyBorder="0" applyAlignment="0" applyProtection="0"/>
    <xf numFmtId="0" fontId="2" fillId="51" borderId="0" applyNumberFormat="0" applyBorder="0" applyAlignment="0" applyProtection="0"/>
    <xf numFmtId="0" fontId="10"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157" fillId="0" borderId="0"/>
    <xf numFmtId="0" fontId="2" fillId="33" borderId="172" applyNumberFormat="0" applyFont="0" applyAlignment="0" applyProtection="0"/>
    <xf numFmtId="0" fontId="2" fillId="47"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3" fillId="0" borderId="0" applyNumberFormat="0" applyFill="0" applyBorder="0" applyAlignment="0" applyProtection="0">
      <alignment vertical="top"/>
      <protection locked="0"/>
    </xf>
    <xf numFmtId="0" fontId="2" fillId="0" borderId="0"/>
    <xf numFmtId="0" fontId="2" fillId="72"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72"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60"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5" borderId="0" applyNumberFormat="0" applyBorder="0" applyAlignment="0" applyProtection="0"/>
    <xf numFmtId="0" fontId="2" fillId="47" borderId="0" applyNumberFormat="0" applyBorder="0" applyAlignment="0" applyProtection="0"/>
    <xf numFmtId="0" fontId="2" fillId="44" borderId="0" applyNumberFormat="0" applyBorder="0" applyAlignment="0" applyProtection="0"/>
    <xf numFmtId="0" fontId="10" fillId="0" borderId="0"/>
    <xf numFmtId="0" fontId="176" fillId="0" borderId="0"/>
    <xf numFmtId="0" fontId="2" fillId="47" borderId="0" applyNumberFormat="0" applyBorder="0" applyAlignment="0" applyProtection="0"/>
    <xf numFmtId="0" fontId="2" fillId="0" borderId="0"/>
    <xf numFmtId="0" fontId="151" fillId="60" borderId="0" applyNumberFormat="0" applyBorder="0" applyAlignment="0" applyProtection="0"/>
    <xf numFmtId="43" fontId="2" fillId="0" borderId="0" applyFont="0" applyFill="0" applyBorder="0" applyAlignment="0" applyProtection="0"/>
    <xf numFmtId="0" fontId="2" fillId="51" borderId="0" applyNumberFormat="0" applyBorder="0" applyAlignment="0" applyProtection="0"/>
    <xf numFmtId="0" fontId="2" fillId="5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0" fontId="157" fillId="0" borderId="0"/>
    <xf numFmtId="0" fontId="157" fillId="0" borderId="0"/>
    <xf numFmtId="44" fontId="2" fillId="0" borderId="0" applyFont="0" applyFill="0" applyBorder="0" applyAlignment="0" applyProtection="0"/>
    <xf numFmtId="0" fontId="2" fillId="33" borderId="172" applyNumberFormat="0" applyFont="0" applyAlignment="0" applyProtection="0"/>
    <xf numFmtId="0" fontId="2" fillId="0" borderId="0"/>
    <xf numFmtId="43" fontId="158" fillId="0" borderId="0" applyFont="0" applyFill="0" applyBorder="0" applyAlignment="0" applyProtection="0"/>
    <xf numFmtId="0" fontId="2" fillId="0" borderId="0"/>
    <xf numFmtId="0" fontId="2" fillId="0" borderId="0"/>
    <xf numFmtId="0" fontId="2" fillId="35"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9" borderId="0" applyNumberFormat="0" applyBorder="0" applyAlignment="0" applyProtection="0"/>
    <xf numFmtId="0" fontId="2" fillId="44" borderId="0" applyNumberFormat="0" applyBorder="0" applyAlignment="0" applyProtection="0"/>
    <xf numFmtId="0" fontId="157" fillId="0" borderId="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39" borderId="0" applyNumberFormat="0" applyBorder="0" applyAlignment="0" applyProtection="0"/>
    <xf numFmtId="0" fontId="2" fillId="43"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0" borderId="0"/>
    <xf numFmtId="0" fontId="2" fillId="47" borderId="0" applyNumberFormat="0" applyBorder="0" applyAlignment="0" applyProtection="0"/>
    <xf numFmtId="0" fontId="2" fillId="35"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3" borderId="172"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0" borderId="0"/>
    <xf numFmtId="0" fontId="2" fillId="0" borderId="0"/>
    <xf numFmtId="0" fontId="2" fillId="39" borderId="0" applyNumberFormat="0" applyBorder="0" applyAlignment="0" applyProtection="0"/>
    <xf numFmtId="0" fontId="2" fillId="43" borderId="0" applyNumberFormat="0" applyBorder="0" applyAlignment="0" applyProtection="0"/>
    <xf numFmtId="0" fontId="2" fillId="0" borderId="0"/>
    <xf numFmtId="0" fontId="2" fillId="0" borderId="0"/>
    <xf numFmtId="0" fontId="2" fillId="0" borderId="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7" borderId="0" applyNumberFormat="0" applyBorder="0" applyAlignment="0" applyProtection="0"/>
    <xf numFmtId="0" fontId="2" fillId="3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47"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39" borderId="0" applyNumberFormat="0" applyBorder="0" applyAlignment="0" applyProtection="0"/>
    <xf numFmtId="0" fontId="2" fillId="43"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3" fillId="0" borderId="178" applyNumberFormat="0" applyFill="0" applyAlignment="0" applyProtection="0"/>
    <xf numFmtId="0" fontId="153" fillId="0" borderId="178" applyNumberFormat="0" applyFill="0" applyAlignment="0" applyProtection="0"/>
    <xf numFmtId="0" fontId="2" fillId="0" borderId="0"/>
    <xf numFmtId="0" fontId="2" fillId="0" borderId="0"/>
    <xf numFmtId="0" fontId="2" fillId="47" borderId="0" applyNumberFormat="0" applyBorder="0" applyAlignment="0" applyProtection="0"/>
    <xf numFmtId="0" fontId="2" fillId="0" borderId="0"/>
    <xf numFmtId="0" fontId="2" fillId="72" borderId="0" applyNumberFormat="0" applyBorder="0" applyAlignment="0" applyProtection="0"/>
    <xf numFmtId="43" fontId="2" fillId="0" borderId="0" applyFont="0" applyFill="0" applyBorder="0" applyAlignment="0" applyProtection="0"/>
    <xf numFmtId="0" fontId="2" fillId="33" borderId="172" applyNumberFormat="0" applyFont="0" applyAlignment="0" applyProtection="0"/>
    <xf numFmtId="0" fontId="2" fillId="39" borderId="0" applyNumberFormat="0" applyBorder="0" applyAlignment="0" applyProtection="0"/>
    <xf numFmtId="0" fontId="2" fillId="43" borderId="0" applyNumberFormat="0" applyBorder="0" applyAlignment="0" applyProtection="0"/>
    <xf numFmtId="0" fontId="2" fillId="72"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60" borderId="0" applyNumberFormat="0" applyBorder="0" applyAlignment="0" applyProtection="0"/>
    <xf numFmtId="0" fontId="2" fillId="5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153" fillId="0" borderId="178" applyNumberFormat="0" applyFill="0" applyAlignment="0" applyProtection="0"/>
    <xf numFmtId="0" fontId="2" fillId="35" borderId="0" applyNumberFormat="0" applyBorder="0" applyAlignment="0" applyProtection="0"/>
    <xf numFmtId="43" fontId="2" fillId="0" borderId="0" applyFont="0" applyFill="0" applyBorder="0" applyAlignment="0" applyProtection="0"/>
    <xf numFmtId="0" fontId="2" fillId="35" borderId="0" applyNumberFormat="0" applyBorder="0" applyAlignment="0" applyProtection="0"/>
    <xf numFmtId="0" fontId="152" fillId="0" borderId="0"/>
    <xf numFmtId="43" fontId="2" fillId="0" borderId="0" applyFont="0" applyFill="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0" borderId="0"/>
    <xf numFmtId="0" fontId="2" fillId="43" borderId="0" applyNumberFormat="0" applyBorder="0" applyAlignment="0" applyProtection="0"/>
    <xf numFmtId="0" fontId="2" fillId="0" borderId="0"/>
    <xf numFmtId="43" fontId="2" fillId="0" borderId="0" applyFont="0" applyFill="0" applyBorder="0" applyAlignment="0" applyProtection="0"/>
    <xf numFmtId="0" fontId="10" fillId="0" borderId="0"/>
    <xf numFmtId="43" fontId="2" fillId="0" borderId="0" applyFont="0" applyFill="0" applyBorder="0" applyAlignment="0" applyProtection="0"/>
    <xf numFmtId="43" fontId="2" fillId="0" borderId="0" applyFont="0" applyFill="0" applyBorder="0" applyAlignment="0" applyProtection="0"/>
    <xf numFmtId="0" fontId="2" fillId="52"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153" fillId="0" borderId="178" applyNumberFormat="0" applyFill="0" applyAlignment="0" applyProtection="0"/>
    <xf numFmtId="0" fontId="2" fillId="0" borderId="0"/>
    <xf numFmtId="0" fontId="2" fillId="0" borderId="0"/>
    <xf numFmtId="0" fontId="2" fillId="0" borderId="0"/>
    <xf numFmtId="0" fontId="2" fillId="0" borderId="0"/>
    <xf numFmtId="0" fontId="2" fillId="0" borderId="0"/>
    <xf numFmtId="0" fontId="157" fillId="0" borderId="0"/>
    <xf numFmtId="0" fontId="2" fillId="55" borderId="0" applyNumberFormat="0" applyBorder="0" applyAlignment="0" applyProtection="0"/>
    <xf numFmtId="43" fontId="2" fillId="0" borderId="0" applyFont="0" applyFill="0" applyBorder="0" applyAlignment="0" applyProtection="0"/>
    <xf numFmtId="0" fontId="2" fillId="56" borderId="0" applyNumberFormat="0" applyBorder="0" applyAlignment="0" applyProtection="0"/>
    <xf numFmtId="0" fontId="2" fillId="0" borderId="0"/>
    <xf numFmtId="0" fontId="2" fillId="0" borderId="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72"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72"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60"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35"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47"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0" fontId="2" fillId="0" borderId="0"/>
    <xf numFmtId="0" fontId="2" fillId="43" borderId="0" applyNumberFormat="0" applyBorder="0" applyAlignment="0" applyProtection="0"/>
    <xf numFmtId="0" fontId="2" fillId="0" borderId="0"/>
    <xf numFmtId="0" fontId="2" fillId="40"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153" fillId="0" borderId="178" applyNumberFormat="0" applyFill="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3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5"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0" fontId="10" fillId="0" borderId="0"/>
    <xf numFmtId="43" fontId="2" fillId="0" borderId="0" applyFont="0" applyFill="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153" fillId="0" borderId="178" applyNumberFormat="0" applyFill="0" applyAlignment="0" applyProtection="0"/>
    <xf numFmtId="0" fontId="2" fillId="0" borderId="0"/>
    <xf numFmtId="0" fontId="2" fillId="36" borderId="0" applyNumberFormat="0" applyBorder="0" applyAlignment="0" applyProtection="0"/>
    <xf numFmtId="0" fontId="2" fillId="0" borderId="0"/>
    <xf numFmtId="0" fontId="2" fillId="35" borderId="0" applyNumberFormat="0" applyBorder="0" applyAlignment="0" applyProtection="0"/>
    <xf numFmtId="0" fontId="2" fillId="33" borderId="172"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152" fillId="0" borderId="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39" borderId="0" applyNumberFormat="0" applyBorder="0" applyAlignment="0" applyProtection="0"/>
    <xf numFmtId="0" fontId="2" fillId="43"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0" borderId="0"/>
    <xf numFmtId="0" fontId="2" fillId="39" borderId="0" applyNumberFormat="0" applyBorder="0" applyAlignment="0" applyProtection="0"/>
    <xf numFmtId="0" fontId="2" fillId="43" borderId="0" applyNumberFormat="0" applyBorder="0" applyAlignment="0" applyProtection="0"/>
    <xf numFmtId="0" fontId="2" fillId="0" borderId="0"/>
    <xf numFmtId="0" fontId="2" fillId="0" borderId="0"/>
    <xf numFmtId="0" fontId="2" fillId="0" borderId="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7" borderId="0" applyNumberFormat="0" applyBorder="0" applyAlignment="0" applyProtection="0"/>
    <xf numFmtId="0" fontId="2" fillId="3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153" fillId="0" borderId="178" applyNumberFormat="0" applyFill="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0" borderId="0"/>
    <xf numFmtId="0" fontId="2" fillId="0" borderId="0"/>
    <xf numFmtId="0" fontId="2" fillId="39" borderId="0" applyNumberFormat="0" applyBorder="0" applyAlignment="0" applyProtection="0"/>
    <xf numFmtId="0" fontId="2" fillId="43" borderId="0" applyNumberFormat="0" applyBorder="0" applyAlignment="0" applyProtection="0"/>
    <xf numFmtId="0" fontId="2" fillId="0" borderId="0"/>
    <xf numFmtId="0" fontId="2" fillId="0" borderId="0"/>
    <xf numFmtId="0" fontId="2" fillId="0" borderId="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7" borderId="0" applyNumberFormat="0" applyBorder="0" applyAlignment="0" applyProtection="0"/>
    <xf numFmtId="0" fontId="2" fillId="3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72" applyNumberFormat="0" applyFont="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157" fillId="0" borderId="0" applyFont="0" applyFill="0" applyBorder="0" applyAlignment="0" applyProtection="0">
      <alignment vertical="top"/>
    </xf>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2"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2" fillId="0" borderId="0" applyFont="0" applyFill="0" applyBorder="0" applyAlignment="0" applyProtection="0"/>
    <xf numFmtId="43" fontId="158" fillId="0" borderId="0" applyFont="0" applyFill="0" applyBorder="0" applyAlignment="0" applyProtection="0"/>
    <xf numFmtId="44" fontId="10" fillId="0" borderId="0" applyFont="0" applyFill="0" applyBorder="0" applyAlignment="0" applyProtection="0"/>
    <xf numFmtId="0" fontId="158" fillId="0" borderId="0"/>
    <xf numFmtId="0" fontId="158"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0" fillId="0" borderId="0"/>
    <xf numFmtId="0" fontId="10" fillId="0" borderId="0"/>
    <xf numFmtId="0" fontId="10" fillId="0" borderId="0"/>
    <xf numFmtId="0" fontId="10" fillId="0" borderId="0"/>
    <xf numFmtId="0" fontId="157" fillId="0" borderId="0">
      <alignment vertical="top"/>
    </xf>
    <xf numFmtId="0" fontId="10" fillId="0" borderId="0"/>
    <xf numFmtId="0" fontId="10" fillId="0" borderId="0"/>
    <xf numFmtId="0" fontId="152" fillId="0" borderId="0"/>
    <xf numFmtId="0" fontId="152" fillId="0" borderId="0"/>
    <xf numFmtId="0" fontId="157" fillId="0" borderId="0">
      <alignment vertical="top"/>
    </xf>
    <xf numFmtId="0" fontId="152" fillId="0" borderId="0"/>
    <xf numFmtId="0" fontId="152" fillId="0" borderId="0"/>
    <xf numFmtId="0" fontId="158" fillId="0" borderId="0"/>
    <xf numFmtId="0" fontId="158" fillId="0" borderId="0"/>
    <xf numFmtId="0" fontId="158" fillId="0" borderId="0"/>
    <xf numFmtId="0" fontId="158" fillId="0" borderId="0"/>
    <xf numFmtId="9" fontId="10" fillId="0" borderId="0" applyFont="0" applyFill="0" applyBorder="0" applyAlignment="0" applyProtection="0"/>
    <xf numFmtId="0" fontId="153" fillId="0" borderId="178"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152" fillId="0" borderId="0"/>
    <xf numFmtId="44" fontId="10" fillId="0" borderId="0" applyFont="0" applyFill="0" applyBorder="0" applyAlignment="0" applyProtection="0"/>
    <xf numFmtId="0" fontId="157" fillId="0" borderId="0"/>
    <xf numFmtId="9"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53" fillId="0" borderId="178" applyNumberFormat="0" applyFill="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53" fillId="0" borderId="178" applyNumberFormat="0" applyFill="0" applyAlignment="0" applyProtection="0"/>
    <xf numFmtId="43" fontId="2" fillId="0" borderId="0" applyFont="0" applyFill="0" applyBorder="0" applyAlignment="0" applyProtection="0"/>
    <xf numFmtId="0" fontId="2" fillId="0" borderId="0"/>
    <xf numFmtId="0" fontId="2" fillId="0" borderId="0"/>
    <xf numFmtId="0" fontId="152" fillId="0" borderId="0"/>
    <xf numFmtId="43" fontId="157"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153" fillId="0" borderId="178"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153" fillId="0" borderId="178"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5" borderId="0" applyNumberFormat="0" applyBorder="0" applyAlignment="0" applyProtection="0"/>
    <xf numFmtId="0" fontId="2" fillId="47"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35" borderId="0" applyNumberFormat="0" applyBorder="0" applyAlignment="0" applyProtection="0"/>
    <xf numFmtId="0" fontId="2" fillId="47"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5" borderId="0" applyNumberFormat="0" applyBorder="0" applyAlignment="0" applyProtection="0"/>
    <xf numFmtId="0" fontId="2" fillId="47"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51"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51"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72"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2"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3" borderId="172" applyNumberFormat="0" applyFont="0" applyAlignment="0" applyProtection="0"/>
    <xf numFmtId="0" fontId="1" fillId="0" borderId="0"/>
    <xf numFmtId="0" fontId="1" fillId="0" borderId="0"/>
    <xf numFmtId="0" fontId="1" fillId="0" borderId="0"/>
    <xf numFmtId="0" fontId="1" fillId="72"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2"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3" borderId="17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72"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0" fontId="1" fillId="0" borderId="0"/>
    <xf numFmtId="0" fontId="1" fillId="39"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35" borderId="0" applyNumberFormat="0" applyBorder="0" applyAlignment="0" applyProtection="0"/>
    <xf numFmtId="0" fontId="1" fillId="43" borderId="0" applyNumberFormat="0" applyBorder="0" applyAlignment="0" applyProtection="0"/>
    <xf numFmtId="0" fontId="1" fillId="40" borderId="0" applyNumberFormat="0" applyBorder="0" applyAlignment="0" applyProtection="0"/>
    <xf numFmtId="0" fontId="1" fillId="0" borderId="0"/>
    <xf numFmtId="0" fontId="1" fillId="47" borderId="0" applyNumberFormat="0" applyBorder="0" applyAlignment="0" applyProtection="0"/>
    <xf numFmtId="0" fontId="1" fillId="0" borderId="0"/>
    <xf numFmtId="0" fontId="1" fillId="55"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43"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172" applyNumberFormat="0" applyFont="0" applyAlignment="0" applyProtection="0"/>
    <xf numFmtId="0" fontId="1" fillId="47"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2"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0" borderId="0"/>
    <xf numFmtId="43" fontId="1" fillId="0" borderId="0" applyFont="0" applyFill="0" applyBorder="0" applyAlignment="0" applyProtection="0"/>
    <xf numFmtId="0" fontId="1" fillId="51" borderId="0" applyNumberFormat="0" applyBorder="0" applyAlignment="0" applyProtection="0"/>
    <xf numFmtId="0" fontId="1" fillId="5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33" borderId="172" applyNumberFormat="0" applyFont="0" applyAlignment="0" applyProtection="0"/>
    <xf numFmtId="0" fontId="1" fillId="0" borderId="0"/>
    <xf numFmtId="0" fontId="1" fillId="0" borderId="0"/>
    <xf numFmtId="0" fontId="1" fillId="0" borderId="0"/>
    <xf numFmtId="0" fontId="1" fillId="35"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9" borderId="0" applyNumberFormat="0" applyBorder="0" applyAlignment="0" applyProtection="0"/>
    <xf numFmtId="0" fontId="1" fillId="44"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9" borderId="0" applyNumberFormat="0" applyBorder="0" applyAlignment="0" applyProtection="0"/>
    <xf numFmtId="0" fontId="1" fillId="4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47" borderId="0" applyNumberFormat="0" applyBorder="0" applyAlignment="0" applyProtection="0"/>
    <xf numFmtId="0" fontId="1" fillId="35"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47"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47" borderId="0" applyNumberFormat="0" applyBorder="0" applyAlignment="0" applyProtection="0"/>
    <xf numFmtId="0" fontId="1" fillId="0" borderId="0"/>
    <xf numFmtId="0" fontId="1" fillId="72" borderId="0" applyNumberFormat="0" applyBorder="0" applyAlignment="0" applyProtection="0"/>
    <xf numFmtId="43" fontId="1" fillId="0" borderId="0" applyFont="0" applyFill="0" applyBorder="0" applyAlignment="0" applyProtection="0"/>
    <xf numFmtId="0" fontId="1" fillId="33" borderId="172" applyNumberFormat="0" applyFont="0" applyAlignment="0" applyProtection="0"/>
    <xf numFmtId="0" fontId="1" fillId="39" borderId="0" applyNumberFormat="0" applyBorder="0" applyAlignment="0" applyProtection="0"/>
    <xf numFmtId="0" fontId="1" fillId="43"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0" fontId="1" fillId="35" borderId="0" applyNumberFormat="0" applyBorder="0" applyAlignment="0" applyProtection="0"/>
    <xf numFmtId="43" fontId="1" fillId="0" borderId="0" applyFont="0" applyFill="0" applyBorder="0" applyAlignment="0" applyProtection="0"/>
    <xf numFmtId="0" fontId="1" fillId="48" borderId="0" applyNumberFormat="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0" borderId="0"/>
    <xf numFmtId="0" fontId="1" fillId="43"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55" borderId="0" applyNumberFormat="0" applyBorder="0" applyAlignment="0" applyProtection="0"/>
    <xf numFmtId="43" fontId="1" fillId="0" borderId="0" applyFont="0" applyFill="0" applyBorder="0" applyAlignment="0" applyProtection="0"/>
    <xf numFmtId="0" fontId="1" fillId="56" borderId="0" applyNumberFormat="0" applyBorder="0" applyAlignment="0" applyProtection="0"/>
    <xf numFmtId="0" fontId="1" fillId="0" borderId="0"/>
    <xf numFmtId="0" fontId="1" fillId="0" borderId="0"/>
    <xf numFmtId="0" fontId="1" fillId="48" borderId="0" applyNumberFormat="0" applyBorder="0" applyAlignment="0" applyProtection="0"/>
    <xf numFmtId="0" fontId="1" fillId="44"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6"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4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2"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5"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47"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0" fontId="1" fillId="0" borderId="0"/>
    <xf numFmtId="0" fontId="1" fillId="43" borderId="0" applyNumberFormat="0" applyBorder="0" applyAlignment="0" applyProtection="0"/>
    <xf numFmtId="0" fontId="1" fillId="0" borderId="0"/>
    <xf numFmtId="0" fontId="1" fillId="40"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5" borderId="0" applyNumberFormat="0" applyBorder="0" applyAlignment="0" applyProtection="0"/>
    <xf numFmtId="0" fontId="1" fillId="40" borderId="0" applyNumberFormat="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0" borderId="0"/>
    <xf numFmtId="0" fontId="1" fillId="36" borderId="0" applyNumberFormat="0" applyBorder="0" applyAlignment="0" applyProtection="0"/>
    <xf numFmtId="0" fontId="1" fillId="0" borderId="0"/>
    <xf numFmtId="0" fontId="1" fillId="35" borderId="0" applyNumberFormat="0" applyBorder="0" applyAlignment="0" applyProtection="0"/>
    <xf numFmtId="0" fontId="1" fillId="33" borderId="17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9" borderId="0" applyNumberFormat="0" applyBorder="0" applyAlignment="0" applyProtection="0"/>
    <xf numFmtId="0" fontId="1" fillId="4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5" borderId="0" applyNumberFormat="0" applyBorder="0" applyAlignment="0" applyProtection="0"/>
    <xf numFmtId="0" fontId="1" fillId="47"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35" borderId="0" applyNumberFormat="0" applyBorder="0" applyAlignment="0" applyProtection="0"/>
    <xf numFmtId="0" fontId="1" fillId="47"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5" borderId="0" applyNumberFormat="0" applyBorder="0" applyAlignment="0" applyProtection="0"/>
    <xf numFmtId="0" fontId="1" fillId="47"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cellStyleXfs>
  <cellXfs count="254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4" fillId="0" borderId="157" xfId="17" applyFont="1" applyBorder="1" applyAlignment="1" applyProtection="1">
      <alignment horizontal="left" vertical="top" wrapText="1"/>
      <protection locked="0"/>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0" fillId="0" borderId="2" xfId="12" applyNumberFormat="1" applyFont="1" applyBorder="1" applyAlignment="1" applyProtection="1">
      <alignment horizontal="center" vertical="center"/>
      <protection locked="0"/>
    </xf>
    <xf numFmtId="0" fontId="0" fillId="0" borderId="0" xfId="0"/>
    <xf numFmtId="0" fontId="0" fillId="0" borderId="0" xfId="0" applyFill="1"/>
    <xf numFmtId="0" fontId="11" fillId="0" borderId="0" xfId="0" applyFont="1" applyFill="1"/>
    <xf numFmtId="0" fontId="11" fillId="0" borderId="0" xfId="1053" quotePrefix="1" applyFont="1" applyFill="1" applyBorder="1" applyAlignment="1">
      <alignment horizontal="center"/>
    </xf>
    <xf numFmtId="0" fontId="12" fillId="0" borderId="0" xfId="0" applyFont="1" applyAlignment="1">
      <alignment horizontal="center"/>
    </xf>
    <xf numFmtId="37" fontId="11" fillId="0" borderId="0" xfId="0" applyNumberFormat="1" applyFont="1" applyFill="1"/>
    <xf numFmtId="37" fontId="11" fillId="0" borderId="0" xfId="485" applyNumberFormat="1" applyFont="1" applyFill="1" applyBorder="1"/>
    <xf numFmtId="0" fontId="11" fillId="0" borderId="0" xfId="359" quotePrefix="1" applyFont="1" applyFill="1" applyAlignment="1">
      <alignment horizontal="center"/>
    </xf>
    <xf numFmtId="0" fontId="11" fillId="0" borderId="0" xfId="359" applyFont="1" applyFill="1" applyBorder="1" applyProtection="1"/>
    <xf numFmtId="0" fontId="11" fillId="0" borderId="0" xfId="359" applyFont="1" applyFill="1" applyBorder="1" applyAlignment="1" applyProtection="1">
      <alignment horizontal="center"/>
    </xf>
    <xf numFmtId="0" fontId="11" fillId="0" borderId="76" xfId="0" applyFont="1" applyFill="1" applyBorder="1" applyAlignment="1">
      <alignment horizontal="center"/>
    </xf>
    <xf numFmtId="37" fontId="11" fillId="0" borderId="76" xfId="1" applyNumberFormat="1" applyFont="1" applyFill="1" applyBorder="1"/>
    <xf numFmtId="37" fontId="11" fillId="0" borderId="0" xfId="1053" applyNumberFormat="1" applyFont="1" applyFill="1" applyBorder="1"/>
    <xf numFmtId="37" fontId="11" fillId="0" borderId="0" xfId="1" applyNumberFormat="1" applyFont="1" applyFill="1"/>
    <xf numFmtId="37" fontId="11" fillId="0" borderId="78" xfId="0" applyNumberFormat="1" applyFont="1" applyFill="1" applyBorder="1"/>
    <xf numFmtId="0" fontId="11" fillId="0" borderId="78" xfId="0" applyFont="1" applyFill="1" applyBorder="1" applyAlignment="1">
      <alignment horizontal="center"/>
    </xf>
    <xf numFmtId="0" fontId="11" fillId="0" borderId="78" xfId="0" applyFont="1" applyFill="1" applyBorder="1"/>
    <xf numFmtId="37" fontId="11" fillId="0" borderId="76" xfId="0" applyNumberFormat="1" applyFont="1" applyFill="1" applyBorder="1"/>
    <xf numFmtId="0" fontId="11" fillId="0" borderId="0" xfId="1226" applyFont="1" applyFill="1" applyBorder="1" applyAlignment="1">
      <alignment horizontal="center"/>
    </xf>
    <xf numFmtId="181" fontId="11" fillId="0" borderId="0" xfId="1" applyNumberFormat="1" applyFont="1" applyFill="1"/>
    <xf numFmtId="3" fontId="11" fillId="0" borderId="76" xfId="0" applyNumberFormat="1" applyFont="1" applyFill="1" applyBorder="1"/>
    <xf numFmtId="0" fontId="11" fillId="0" borderId="0" xfId="359" applyFont="1" applyFill="1" applyAlignment="1" applyProtection="1">
      <alignment horizontal="center" shrinkToFit="1"/>
    </xf>
    <xf numFmtId="0" fontId="11" fillId="0" borderId="78" xfId="0" applyFont="1" applyFill="1" applyBorder="1" applyAlignment="1">
      <alignment horizontal="right"/>
    </xf>
    <xf numFmtId="0" fontId="11" fillId="0" borderId="78" xfId="359" quotePrefix="1" applyFont="1" applyFill="1" applyBorder="1" applyAlignment="1" applyProtection="1">
      <alignment horizontal="center"/>
    </xf>
    <xf numFmtId="0" fontId="11" fillId="0" borderId="0" xfId="359" applyFont="1" applyFill="1" applyBorder="1" applyAlignment="1" applyProtection="1">
      <alignment horizontal="center" shrinkToFit="1"/>
    </xf>
    <xf numFmtId="0" fontId="11" fillId="0" borderId="78" xfId="359" applyFont="1" applyFill="1" applyBorder="1" applyAlignment="1" applyProtection="1">
      <alignment horizontal="center" shrinkToFit="1"/>
    </xf>
    <xf numFmtId="0" fontId="11" fillId="0" borderId="78" xfId="1226" applyFont="1" applyFill="1" applyBorder="1" applyAlignment="1">
      <alignment horizontal="center"/>
    </xf>
    <xf numFmtId="0" fontId="11" fillId="0" borderId="0" xfId="359" quotePrefix="1" applyFont="1" applyFill="1" applyAlignment="1" applyProtection="1">
      <alignment horizontal="center"/>
    </xf>
    <xf numFmtId="0" fontId="11" fillId="0" borderId="76" xfId="1226" applyFont="1" applyFill="1" applyBorder="1" applyAlignment="1">
      <alignment horizontal="center"/>
    </xf>
    <xf numFmtId="0" fontId="11" fillId="0" borderId="0" xfId="0" applyFont="1" applyFill="1" applyBorder="1"/>
    <xf numFmtId="0" fontId="11" fillId="0" borderId="0" xfId="0" applyFont="1" applyFill="1" applyBorder="1" applyAlignment="1">
      <alignment horizontal="center"/>
    </xf>
    <xf numFmtId="0" fontId="11" fillId="0" borderId="0" xfId="359" quotePrefix="1" applyFont="1" applyFill="1" applyBorder="1" applyAlignment="1" applyProtection="1">
      <alignment horizontal="center"/>
    </xf>
    <xf numFmtId="37" fontId="11" fillId="0" borderId="0" xfId="0" applyNumberFormat="1" applyFont="1" applyFill="1" applyBorder="1"/>
    <xf numFmtId="0" fontId="11" fillId="0" borderId="0" xfId="0" applyFont="1" applyFill="1" applyBorder="1" applyAlignment="1">
      <alignment horizontal="right"/>
    </xf>
    <xf numFmtId="0" fontId="10" fillId="0" borderId="0" xfId="0" applyFont="1" applyFill="1"/>
    <xf numFmtId="0" fontId="12" fillId="17" borderId="181" xfId="0" applyFont="1" applyFill="1" applyBorder="1" applyAlignment="1">
      <alignment horizontal="center"/>
    </xf>
    <xf numFmtId="0" fontId="12" fillId="17" borderId="179" xfId="0" applyFont="1" applyFill="1" applyBorder="1" applyAlignment="1">
      <alignment horizontal="center"/>
    </xf>
    <xf numFmtId="0" fontId="12" fillId="17" borderId="179" xfId="0" applyFont="1" applyFill="1" applyBorder="1" applyAlignment="1">
      <alignment horizontal="center" wrapText="1"/>
    </xf>
    <xf numFmtId="0" fontId="12" fillId="17" borderId="180" xfId="0" applyFont="1" applyFill="1" applyBorder="1" applyAlignment="1">
      <alignment horizontal="center" wrapText="1"/>
    </xf>
    <xf numFmtId="5" fontId="12" fillId="0" borderId="180" xfId="0" applyNumberFormat="1" applyFont="1" applyFill="1" applyBorder="1"/>
    <xf numFmtId="5" fontId="12" fillId="0" borderId="181" xfId="0" applyNumberFormat="1" applyFont="1" applyFill="1" applyBorder="1"/>
    <xf numFmtId="5" fontId="12" fillId="0" borderId="179" xfId="0" applyNumberFormat="1" applyFont="1" applyFill="1" applyBorder="1"/>
    <xf numFmtId="5" fontId="11" fillId="0" borderId="0" xfId="0" applyNumberFormat="1" applyFont="1" applyFill="1"/>
    <xf numFmtId="5" fontId="11" fillId="0" borderId="0" xfId="485" applyNumberFormat="1" applyFont="1" applyFill="1" applyBorder="1"/>
    <xf numFmtId="5" fontId="11" fillId="0" borderId="0" xfId="1" applyNumberFormat="1" applyFont="1" applyFill="1"/>
    <xf numFmtId="5" fontId="11" fillId="0" borderId="0" xfId="1053" applyNumberFormat="1" applyFont="1" applyFill="1" applyBorder="1"/>
    <xf numFmtId="1" fontId="11" fillId="0" borderId="0" xfId="1" applyNumberFormat="1" applyFont="1" applyFill="1"/>
    <xf numFmtId="0" fontId="11" fillId="0" borderId="0" xfId="0" applyFont="1" applyFill="1" applyAlignment="1">
      <alignment horizontal="left" indent="2"/>
    </xf>
    <xf numFmtId="5" fontId="11" fillId="0" borderId="78" xfId="0" applyNumberFormat="1" applyFont="1" applyFill="1" applyBorder="1"/>
    <xf numFmtId="37" fontId="11" fillId="0" borderId="0" xfId="0" applyNumberFormat="1" applyFont="1" applyFill="1" applyAlignment="1">
      <alignment horizontal="right"/>
    </xf>
    <xf numFmtId="0" fontId="12" fillId="0" borderId="78" xfId="0" applyFont="1" applyFill="1" applyBorder="1"/>
    <xf numFmtId="0" fontId="11" fillId="0" borderId="0" xfId="485" quotePrefix="1" applyFont="1" applyFill="1" applyBorder="1" applyAlignment="1">
      <alignment horizontal="center"/>
    </xf>
    <xf numFmtId="0" fontId="11" fillId="0" borderId="0" xfId="485" applyFont="1" applyFill="1" applyBorder="1" applyAlignment="1">
      <alignment horizontal="center"/>
    </xf>
    <xf numFmtId="0" fontId="11" fillId="0" borderId="0" xfId="0" applyFont="1" applyFill="1" applyAlignment="1">
      <alignment horizontal="right"/>
    </xf>
    <xf numFmtId="0" fontId="12" fillId="0" borderId="0" xfId="0" applyFont="1" applyFill="1"/>
    <xf numFmtId="0" fontId="11" fillId="0" borderId="0" xfId="0" applyFont="1" applyFill="1" applyAlignment="1">
      <alignment horizontal="center"/>
    </xf>
    <xf numFmtId="0" fontId="11" fillId="0" borderId="76" xfId="0" applyFont="1" applyFill="1" applyBorder="1"/>
    <xf numFmtId="0" fontId="11" fillId="0" borderId="0" xfId="0" quotePrefix="1" applyFont="1" applyFill="1" applyAlignment="1">
      <alignment horizontal="center"/>
    </xf>
    <xf numFmtId="3" fontId="11" fillId="0" borderId="0" xfId="0" applyNumberFormat="1" applyFont="1" applyFill="1"/>
    <xf numFmtId="5" fontId="57" fillId="0" borderId="9" xfId="3" applyNumberFormat="1" applyFont="1" applyBorder="1" applyProtection="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100" fillId="0" borderId="96" xfId="18" applyFont="1" applyBorder="1" applyAlignment="1" applyProtection="1">
      <alignment vertical="top" wrapText="1"/>
      <protection locked="0"/>
    </xf>
    <xf numFmtId="0" fontId="100" fillId="0" borderId="0" xfId="18" applyFont="1" applyBorder="1" applyAlignment="1" applyProtection="1">
      <alignment vertical="top" wrapText="1"/>
      <protection locked="0"/>
    </xf>
    <xf numFmtId="0" fontId="100" fillId="0" borderId="97" xfId="18" applyFont="1" applyBorder="1" applyAlignment="1" applyProtection="1">
      <alignment vertical="top" wrapText="1"/>
      <protection locked="0"/>
    </xf>
    <xf numFmtId="0" fontId="100" fillId="0" borderId="98" xfId="18" applyFont="1" applyBorder="1" applyAlignment="1" applyProtection="1">
      <alignment vertical="top" wrapText="1"/>
      <protection locked="0"/>
    </xf>
    <xf numFmtId="0" fontId="100" fillId="0" borderId="78" xfId="18" applyFont="1" applyBorder="1" applyAlignment="1" applyProtection="1">
      <alignment vertical="top" wrapText="1"/>
      <protection locked="0"/>
    </xf>
    <xf numFmtId="0" fontId="100"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12" fillId="0" borderId="0" xfId="0" applyFont="1" applyAlignment="1">
      <alignment horizontal="center"/>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9645">
    <cellStyle name="20% - Accent1 2" xfId="31" xr:uid="{34F8D969-AB3B-4C03-B3E7-6CA887760295}"/>
    <cellStyle name="20% - Accent1 2 2" xfId="32" xr:uid="{F94B9B07-9849-446F-98E6-3D60199E210B}"/>
    <cellStyle name="20% - Accent1 2 2 2" xfId="4309" xr:uid="{E801D580-4FB0-498E-ADBA-86B83E39E470}"/>
    <cellStyle name="20% - Accent1 2 2 3" xfId="4178" xr:uid="{808544D1-2090-409F-90CA-8FCF0A3C05AE}"/>
    <cellStyle name="20% - Accent1 2 3" xfId="33" xr:uid="{093D6788-C870-4F42-ABCD-0AF5C6217858}"/>
    <cellStyle name="20% - Accent1 2 3 10" xfId="2875" xr:uid="{C57F3139-4AFE-4682-851D-F03C5353EA46}"/>
    <cellStyle name="20% - Accent1 2 3 10 2" xfId="7440" xr:uid="{EBC09931-46B7-41AF-82EA-5CE2B81F1A2D}"/>
    <cellStyle name="20% - Accent1 2 3 11" xfId="5480" xr:uid="{74F8BF2F-A459-4838-868F-F646A3448A9D}"/>
    <cellStyle name="20% - Accent1 2 3 2" xfId="829" xr:uid="{616E3BA8-6979-4644-856C-C377B2E2AA88}"/>
    <cellStyle name="20% - Accent1 2 3 2 10" xfId="5522" xr:uid="{2A985118-FF18-44A9-9A0A-3A5F2AE47B29}"/>
    <cellStyle name="20% - Accent1 2 3 2 2" xfId="935" xr:uid="{5E58A125-E8BD-4959-8D6C-A527FEE88CE4}"/>
    <cellStyle name="20% - Accent1 2 3 2 2 2" xfId="1308" xr:uid="{1B433E10-6638-4E69-8968-2543D16059BB}"/>
    <cellStyle name="20% - Accent1 2 3 2 2 2 2" xfId="2288" xr:uid="{C80BCEFF-2064-41A6-B99E-D9E7FF1D7700}"/>
    <cellStyle name="20% - Accent1 2 3 2 2 2 2 2" xfId="4698" xr:uid="{524070CF-5CC3-4A15-94F5-E218E3255D0A}"/>
    <cellStyle name="20% - Accent1 2 3 2 2 2 2 2 2" xfId="8944" xr:uid="{B73C6AE4-5E41-4FE9-854B-15B19C77B737}"/>
    <cellStyle name="20% - Accent1 2 3 2 2 2 2 3" xfId="6853" xr:uid="{EBCF9950-BE74-4F63-8137-24F62DC899B5}"/>
    <cellStyle name="20% - Accent1 2 3 2 2 2 3" xfId="3573" xr:uid="{16F409F3-7A25-44DD-9FB0-5237832CDEE1}"/>
    <cellStyle name="20% - Accent1 2 3 2 2 2 3 2" xfId="8040" xr:uid="{C6DED925-6E83-4631-A2BA-7E589B790701}"/>
    <cellStyle name="20% - Accent1 2 3 2 2 2 4" xfId="5874" xr:uid="{7BFE8E82-2D08-468B-A34F-F48CF477079B}"/>
    <cellStyle name="20% - Accent1 2 3 2 2 3" xfId="1542" xr:uid="{C2263D9D-BC11-49C3-8C14-19CE7A15E3FD}"/>
    <cellStyle name="20% - Accent1 2 3 2 2 3 2" xfId="2522" xr:uid="{F65D8C7B-4A7A-4C0C-B396-7F7BFEE0A808}"/>
    <cellStyle name="20% - Accent1 2 3 2 2 3 2 2" xfId="5081" xr:uid="{87DDE45B-7928-4BCF-8CA6-1CE2724FF5B9}"/>
    <cellStyle name="20% - Accent1 2 3 2 2 3 2 2 2" xfId="9306" xr:uid="{696DAA0B-B6DF-47D2-B81A-5BEB33EDBA20}"/>
    <cellStyle name="20% - Accent1 2 3 2 2 3 2 3" xfId="7087" xr:uid="{C5CB471F-CFA8-4093-A4B4-27CF8F6AB644}"/>
    <cellStyle name="20% - Accent1 2 3 2 2 3 3" xfId="3979" xr:uid="{7CE3BD8D-BBEA-4DB4-8B34-7A20525EBD75}"/>
    <cellStyle name="20% - Accent1 2 3 2 2 3 3 2" xfId="8428" xr:uid="{29209337-DB7A-48F9-B14A-C5E6A3A67BE0}"/>
    <cellStyle name="20% - Accent1 2 3 2 2 3 4" xfId="6108" xr:uid="{9C5BE706-387B-4576-9EF2-C952F5F0B047}"/>
    <cellStyle name="20% - Accent1 2 3 2 2 4" xfId="1776" xr:uid="{D6534C2F-BCBD-477A-B102-7B25A5835856}"/>
    <cellStyle name="20% - Accent1 2 3 2 2 4 2" xfId="2755" xr:uid="{4BDB7CE3-6BA1-46D9-9A7B-236298AA0766}"/>
    <cellStyle name="20% - Accent1 2 3 2 2 4 2 2" xfId="7320" xr:uid="{F46F84E6-FE16-4321-822E-834FF52C78A3}"/>
    <cellStyle name="20% - Accent1 2 3 2 2 4 3" xfId="4430" xr:uid="{0195624C-EBA0-4E8F-AD5C-2C47EA8114B0}"/>
    <cellStyle name="20% - Accent1 2 3 2 2 4 3 2" xfId="8707" xr:uid="{DBD443B8-5A38-40D3-84BA-21FF121E2089}"/>
    <cellStyle name="20% - Accent1 2 3 2 2 4 4" xfId="5438" xr:uid="{5FD90097-91EE-4430-8C51-C88D1B1345CA}"/>
    <cellStyle name="20% - Accent1 2 3 2 2 4 4 2" xfId="9614" xr:uid="{4D98C33B-7695-4AEA-8975-C0695DA0F6EB}"/>
    <cellStyle name="20% - Accent1 2 3 2 2 4 5" xfId="6341" xr:uid="{23367713-C606-46FD-A00E-6C7B429F8272}"/>
    <cellStyle name="20% - Accent1 2 3 2 2 5" xfId="2013" xr:uid="{DAB1AB39-900D-46A2-B4D9-51AD13BB17F5}"/>
    <cellStyle name="20% - Accent1 2 3 2 2 5 2" xfId="6578" xr:uid="{A73734FC-A8D0-473F-80ED-E9886ADB4D2E}"/>
    <cellStyle name="20% - Accent1 2 3 2 2 6" xfId="3157" xr:uid="{6A6A7343-3A95-4CB1-B231-962D8923617D}"/>
    <cellStyle name="20% - Accent1 2 3 2 2 6 2" xfId="7652" xr:uid="{D5B6BB63-22BC-4D4C-A7E2-B62ABD362B81}"/>
    <cellStyle name="20% - Accent1 2 3 2 2 7" xfId="5599" xr:uid="{8C09D4F2-1636-4553-B5FE-6ACBD9919F40}"/>
    <cellStyle name="20% - Accent1 2 3 2 3" xfId="1017" xr:uid="{F08899DD-D8E8-41CE-8203-6C4874B9B16C}"/>
    <cellStyle name="20% - Accent1 2 3 2 3 2" xfId="1385" xr:uid="{2CF626FB-3CAC-4F2F-B650-8C5D437D3501}"/>
    <cellStyle name="20% - Accent1 2 3 2 3 2 2" xfId="2365" xr:uid="{DA8C5CD4-B046-46F7-9C1E-E6C5E93D8E0F}"/>
    <cellStyle name="20% - Accent1 2 3 2 3 2 2 2" xfId="4801" xr:uid="{B61FA4AD-E8D3-4D7F-BCE0-C03FCE85E895}"/>
    <cellStyle name="20% - Accent1 2 3 2 3 2 2 2 2" xfId="9047" xr:uid="{DA56AB68-2564-49D8-8AAA-411F24BDFA66}"/>
    <cellStyle name="20% - Accent1 2 3 2 3 2 2 3" xfId="6930" xr:uid="{3CBC4F04-195C-4F3E-9455-F6B2352FB4D8}"/>
    <cellStyle name="20% - Accent1 2 3 2 3 2 3" xfId="3678" xr:uid="{FA7AC9C0-F7A1-42AD-9C79-4CC5A096262E}"/>
    <cellStyle name="20% - Accent1 2 3 2 3 2 3 2" xfId="8145" xr:uid="{5A556741-FF46-4A7E-BB2F-124F5995F02B}"/>
    <cellStyle name="20% - Accent1 2 3 2 3 2 4" xfId="5951" xr:uid="{160E8108-2060-4B9C-81C2-160D593962A7}"/>
    <cellStyle name="20% - Accent1 2 3 2 3 3" xfId="1619" xr:uid="{32FC7CFB-3D36-419E-931B-C4AAFCA9A56E}"/>
    <cellStyle name="20% - Accent1 2 3 2 3 3 2" xfId="2599" xr:uid="{D64B0847-A7D6-4619-AE48-D8EF6B49DE56}"/>
    <cellStyle name="20% - Accent1 2 3 2 3 3 2 2" xfId="5186" xr:uid="{81B1FFE5-8D59-4B37-8222-46F2AAF1D966}"/>
    <cellStyle name="20% - Accent1 2 3 2 3 3 2 2 2" xfId="9411" xr:uid="{A6AAAD4D-E406-4A86-A3FD-FA1F7DCC3DAE}"/>
    <cellStyle name="20% - Accent1 2 3 2 3 3 2 3" xfId="7164" xr:uid="{CEB6E283-E23A-45AD-A8CD-564CD9443CD1}"/>
    <cellStyle name="20% - Accent1 2 3 2 3 3 3" xfId="4084" xr:uid="{6900DBDA-89EE-4BD8-8B15-21C8CBE668E7}"/>
    <cellStyle name="20% - Accent1 2 3 2 3 3 3 2" xfId="8533" xr:uid="{BBE38BB9-F8CA-4EC4-92A9-473059FAADC8}"/>
    <cellStyle name="20% - Accent1 2 3 2 3 3 4" xfId="6185" xr:uid="{1875ACD0-4147-4A87-8843-BC8B705CF280}"/>
    <cellStyle name="20% - Accent1 2 3 2 3 4" xfId="1853" xr:uid="{D1C7E08A-F687-43C0-8097-3326E324EF97}"/>
    <cellStyle name="20% - Accent1 2 3 2 3 4 2" xfId="2832" xr:uid="{1FE63E99-F07C-444F-9CE9-318BCDFF538A}"/>
    <cellStyle name="20% - Accent1 2 3 2 3 4 2 2" xfId="7397" xr:uid="{D38775ED-9279-4DE9-9DAE-2C020C587118}"/>
    <cellStyle name="20% - Accent1 2 3 2 3 4 3" xfId="4564" xr:uid="{CB19BC45-8529-495F-AD7A-7AEEFE059851}"/>
    <cellStyle name="20% - Accent1 2 3 2 3 4 3 2" xfId="8819" xr:uid="{6CCD439D-AB58-4D62-8C24-DBBD94A37D71}"/>
    <cellStyle name="20% - Accent1 2 3 2 3 4 4" xfId="5457" xr:uid="{42A6FBB6-89E5-4758-B5D3-6FE853A493F5}"/>
    <cellStyle name="20% - Accent1 2 3 2 3 4 4 2" xfId="9633" xr:uid="{BE3EE237-ED4E-4941-BE6A-CB75D5273279}"/>
    <cellStyle name="20% - Accent1 2 3 2 3 4 5" xfId="6418" xr:uid="{9637D1EE-AF13-4BCA-92E2-37201917F8DC}"/>
    <cellStyle name="20% - Accent1 2 3 2 3 5" xfId="2090" xr:uid="{11EC0B9F-D739-428F-9A2D-439A7F1DA27E}"/>
    <cellStyle name="20% - Accent1 2 3 2 3 5 2" xfId="6655" xr:uid="{00F1C52A-2DBC-45D2-B8DE-1D33CBA088EF}"/>
    <cellStyle name="20% - Accent1 2 3 2 3 6" xfId="3264" xr:uid="{82C405E1-42EE-44F0-B7D3-932C7F13D20B}"/>
    <cellStyle name="20% - Accent1 2 3 2 3 6 2" xfId="7757" xr:uid="{B013EFED-3EC1-4C00-B8B4-4253E2545BD7}"/>
    <cellStyle name="20% - Accent1 2 3 2 3 7" xfId="5676" xr:uid="{25DF21C6-DA6C-4D82-A1E0-CA4F08CC1630}"/>
    <cellStyle name="20% - Accent1 2 3 2 4" xfId="1229" xr:uid="{029F4B4F-AF25-4F75-AF51-B5FB75A7C3E0}"/>
    <cellStyle name="20% - Accent1 2 3 2 4 2" xfId="2211" xr:uid="{247C452E-7E68-4222-98F8-5050CBE77493}"/>
    <cellStyle name="20% - Accent1 2 3 2 4 2 2" xfId="4872" xr:uid="{813D6E90-EEC2-4F5A-80D7-12F133CB173E}"/>
    <cellStyle name="20% - Accent1 2 3 2 4 2 2 2" xfId="9106" xr:uid="{9D4DB800-356B-4238-8C7F-E431A24A08DD}"/>
    <cellStyle name="20% - Accent1 2 3 2 4 2 3" xfId="3468" xr:uid="{28961A8D-77C1-4B51-A776-5E170DB58274}"/>
    <cellStyle name="20% - Accent1 2 3 2 4 2 3 2" xfId="7935" xr:uid="{EA0EE622-2F79-4C7C-905B-23352707A534}"/>
    <cellStyle name="20% - Accent1 2 3 2 4 2 4" xfId="6776" xr:uid="{3D68D949-8F11-4DF9-AB78-5991987262BF}"/>
    <cellStyle name="20% - Accent1 2 3 2 4 3" xfId="3874" xr:uid="{D779C305-4B85-4FD2-A2D0-3B6F02FD5BB7}"/>
    <cellStyle name="20% - Accent1 2 3 2 4 3 2" xfId="8323" xr:uid="{CEF1B3DD-B730-48F3-8CBA-F88457A66B7F}"/>
    <cellStyle name="20% - Accent1 2 3 2 4 4" xfId="4505" xr:uid="{FCC0A9FF-2188-4F2A-8E1D-630D6B726CDF}"/>
    <cellStyle name="20% - Accent1 2 3 2 4 4 2" xfId="8775" xr:uid="{F537C36C-9321-4FF0-9F0C-747030573C2A}"/>
    <cellStyle name="20% - Accent1 2 3 2 4 5" xfId="3037" xr:uid="{D812461E-88AC-43E3-BA83-F27CA6EF95F3}"/>
    <cellStyle name="20% - Accent1 2 3 2 4 5 2" xfId="7547" xr:uid="{4198643F-3429-4BF7-96A3-FEA970197A9D}"/>
    <cellStyle name="20% - Accent1 2 3 2 4 6" xfId="5797" xr:uid="{44CA2C58-6100-4EBB-A1DF-3CBDBA80AFE9}"/>
    <cellStyle name="20% - Accent1 2 3 2 5" xfId="1465" xr:uid="{5A74A528-562A-4FA9-AC8B-3243BE84B050}"/>
    <cellStyle name="20% - Accent1 2 3 2 5 2" xfId="2445" xr:uid="{C32E10E9-812C-4F39-8A2D-0C77BC574911}"/>
    <cellStyle name="20% - Accent1 2 3 2 5 2 2" xfId="4535" xr:uid="{04A41073-F54A-42D5-AB9D-D7939065ED90}"/>
    <cellStyle name="20% - Accent1 2 3 2 5 2 2 2" xfId="8797" xr:uid="{7953FF8F-0045-4575-8220-1D9828658D70}"/>
    <cellStyle name="20% - Accent1 2 3 2 5 2 3" xfId="7010" xr:uid="{3D050810-BDE9-4822-A79D-3EDDEF076440}"/>
    <cellStyle name="20% - Accent1 2 3 2 5 3" xfId="3394" xr:uid="{63EBB28A-4137-449B-A8F1-D21260682EC4}"/>
    <cellStyle name="20% - Accent1 2 3 2 5 3 2" xfId="7862" xr:uid="{E5CA346F-D8BC-46E9-982D-0E6D1BB32288}"/>
    <cellStyle name="20% - Accent1 2 3 2 5 4" xfId="6031" xr:uid="{5F74A245-BF61-41E9-96A5-2F6736AB61E3}"/>
    <cellStyle name="20% - Accent1 2 3 2 6" xfId="1676" xr:uid="{6315356B-0986-4698-9A21-B22CA68EDD6A}"/>
    <cellStyle name="20% - Accent1 2 3 2 6 2" xfId="2656" xr:uid="{16D77BA4-FB1D-4938-BFB2-3CCA3B93FE3B}"/>
    <cellStyle name="20% - Accent1 2 3 2 6 2 2" xfId="4929" xr:uid="{B7347B4B-119E-47EA-8B06-21F3BCA0D0B8}"/>
    <cellStyle name="20% - Accent1 2 3 2 6 2 2 2" xfId="9159" xr:uid="{B5316351-1991-42F7-99BA-88A0831F7F99}"/>
    <cellStyle name="20% - Accent1 2 3 2 6 2 3" xfId="7221" xr:uid="{0A3CF5C7-8974-4E48-9BE2-701D29F8DE13}"/>
    <cellStyle name="20% - Accent1 2 3 2 6 3" xfId="3801" xr:uid="{E40BCF92-B0DE-41F9-BE36-6D81458BED39}"/>
    <cellStyle name="20% - Accent1 2 3 2 6 3 2" xfId="8250" xr:uid="{087B5ABE-6DF5-46B1-9077-C4216CE78BF2}"/>
    <cellStyle name="20% - Accent1 2 3 2 6 4" xfId="6242" xr:uid="{1F65B1C0-A241-4483-9E7E-89A9CD26ACF9}"/>
    <cellStyle name="20% - Accent1 2 3 2 7" xfId="1936" xr:uid="{94FAE402-BFE4-4ADA-B412-8D4B93BD3438}"/>
    <cellStyle name="20% - Accent1 2 3 2 7 2" xfId="4874" xr:uid="{7DE5B8FA-986C-4EF4-81A5-2437F4850221}"/>
    <cellStyle name="20% - Accent1 2 3 2 7 2 2" xfId="9108" xr:uid="{D93A7870-61FC-4F29-A1BA-955042C49436}"/>
    <cellStyle name="20% - Accent1 2 3 2 7 3" xfId="6501" xr:uid="{D0670551-8CC3-4388-ADB3-4A5DE1966AC2}"/>
    <cellStyle name="20% - Accent1 2 3 2 8" xfId="4282" xr:uid="{46AD67DD-02A5-486E-A05A-6E5A1329CB9C}"/>
    <cellStyle name="20% - Accent1 2 3 2 8 2" xfId="8635" xr:uid="{B565FF30-9DA1-439E-B2DA-FE78901ECAFE}"/>
    <cellStyle name="20% - Accent1 2 3 2 9" xfId="2912" xr:uid="{B6C49112-D14A-42E0-9F7D-5B4D9BE6795F}"/>
    <cellStyle name="20% - Accent1 2 3 2 9 2" xfId="7474" xr:uid="{709D71EF-CDA9-47F2-AD19-7283F0CD6EDF}"/>
    <cellStyle name="20% - Accent1 2 3 3" xfId="864" xr:uid="{BD0A9AF2-1821-40B9-A838-0026FE2087BB}"/>
    <cellStyle name="20% - Accent1 2 3 3 2" xfId="1264" xr:uid="{3DE511BD-83EA-41F2-BD9A-C642AAC08C60}"/>
    <cellStyle name="20% - Accent1 2 3 3 2 2" xfId="2246" xr:uid="{ED1D46E4-361A-4840-8E32-4ADFBA47EAE4}"/>
    <cellStyle name="20% - Accent1 2 3 3 2 2 2" xfId="4731" xr:uid="{8AC98102-EFA8-4907-871F-2588BD053953}"/>
    <cellStyle name="20% - Accent1 2 3 3 2 2 2 2" xfId="8977" xr:uid="{9032F69E-FB43-4F47-85FB-CB8E023B7A32}"/>
    <cellStyle name="20% - Accent1 2 3 3 2 2 3" xfId="3607" xr:uid="{61463FF0-BC36-4166-9157-D4D5BE823F17}"/>
    <cellStyle name="20% - Accent1 2 3 3 2 2 3 2" xfId="8074" xr:uid="{EA957319-E1A7-413C-A863-33FF13F524EE}"/>
    <cellStyle name="20% - Accent1 2 3 3 2 2 4" xfId="6811" xr:uid="{334E8F47-90A9-4C39-B952-2EFBB0049A66}"/>
    <cellStyle name="20% - Accent1 2 3 3 2 3" xfId="4013" xr:uid="{20CF3562-CB33-4571-BC32-625122E9A6FE}"/>
    <cellStyle name="20% - Accent1 2 3 3 2 3 2" xfId="5115" xr:uid="{BAE0295B-276F-43CE-BFC9-A82A0BD69959}"/>
    <cellStyle name="20% - Accent1 2 3 3 2 3 2 2" xfId="9340" xr:uid="{2ABEF7BF-1C5E-49A7-8725-2D83725189F7}"/>
    <cellStyle name="20% - Accent1 2 3 3 2 3 3" xfId="8462" xr:uid="{F981C1BB-8BE9-4F9C-8363-C89128E5344F}"/>
    <cellStyle name="20% - Accent1 2 3 3 2 4" xfId="4457" xr:uid="{9017950C-7443-4048-BAE7-249108B0C22D}"/>
    <cellStyle name="20% - Accent1 2 3 3 2 4 2" xfId="8734" xr:uid="{E20D852B-A21A-46C3-B9C5-79D330C3A6B7}"/>
    <cellStyle name="20% - Accent1 2 3 3 2 5" xfId="3191" xr:uid="{5F872991-2D80-4DF3-963B-32F370F4CD81}"/>
    <cellStyle name="20% - Accent1 2 3 3 2 5 2" xfId="7686" xr:uid="{05629FA4-18E3-448F-9F8D-A0802270F62C}"/>
    <cellStyle name="20% - Accent1 2 3 3 2 6" xfId="5832" xr:uid="{4F99FC59-727B-4CB7-B251-E0111F2772D0}"/>
    <cellStyle name="20% - Accent1 2 3 3 3" xfId="1500" xr:uid="{C4F6204D-17D9-4836-98CB-DF5DAA6452EA}"/>
    <cellStyle name="20% - Accent1 2 3 3 3 2" xfId="2480" xr:uid="{CD3C1FE3-230F-4BBB-9F3B-6EE03167327F}"/>
    <cellStyle name="20% - Accent1 2 3 3 3 2 2" xfId="5220" xr:uid="{BCFD9926-6DE5-47FC-8B46-FD72882C5046}"/>
    <cellStyle name="20% - Accent1 2 3 3 3 2 2 2" xfId="9445" xr:uid="{ADD0262F-D22C-41A7-8607-E19E6750318E}"/>
    <cellStyle name="20% - Accent1 2 3 3 3 2 3" xfId="3712" xr:uid="{D45B132E-0363-4C38-9F47-ABA3A46F1254}"/>
    <cellStyle name="20% - Accent1 2 3 3 3 2 3 2" xfId="8179" xr:uid="{6531C1BD-6422-4C66-83A4-00130E2BD27A}"/>
    <cellStyle name="20% - Accent1 2 3 3 3 2 4" xfId="7045" xr:uid="{94A4D59F-4F92-49EB-9F7C-F39B88434768}"/>
    <cellStyle name="20% - Accent1 2 3 3 3 3" xfId="4118" xr:uid="{D0693F07-4E13-4803-9179-26407241A55F}"/>
    <cellStyle name="20% - Accent1 2 3 3 3 3 2" xfId="8567" xr:uid="{4C9DCDC0-6BF8-425E-869D-41F719819EC2}"/>
    <cellStyle name="20% - Accent1 2 3 3 3 4" xfId="4591" xr:uid="{D5085A29-895A-4587-8706-B745026D2B77}"/>
    <cellStyle name="20% - Accent1 2 3 3 3 4 2" xfId="8846" xr:uid="{F5042D84-5E4B-48D2-A0A1-1DECB93C6886}"/>
    <cellStyle name="20% - Accent1 2 3 3 3 5" xfId="3302" xr:uid="{8A2D1168-44DC-4A95-8894-705ABA450770}"/>
    <cellStyle name="20% - Accent1 2 3 3 3 5 2" xfId="7791" xr:uid="{0EC4B881-AACA-49D9-840B-AA8F2403BDE1}"/>
    <cellStyle name="20% - Accent1 2 3 3 3 6" xfId="6066" xr:uid="{4B3AA6DD-83EF-4FE7-BD70-523E589C6AB6}"/>
    <cellStyle name="20% - Accent1 2 3 3 4" xfId="1734" xr:uid="{FF24DC79-9243-4D5F-9355-925BA25C732F}"/>
    <cellStyle name="20% - Accent1 2 3 3 4 2" xfId="2713" xr:uid="{A2B60A78-370A-498F-A0EC-3D26976CC2E3}"/>
    <cellStyle name="20% - Accent1 2 3 3 4 2 2" xfId="4957" xr:uid="{0897F2B8-412C-4BAC-A6D6-1FE5C3AF7A7C}"/>
    <cellStyle name="20% - Accent1 2 3 3 4 2 2 2" xfId="9187" xr:uid="{9181E10A-FA1B-48FA-9ED2-A6C5B0B2A6F9}"/>
    <cellStyle name="20% - Accent1 2 3 3 4 2 3" xfId="7278" xr:uid="{18D9E4DD-03E6-4584-AA6C-384D491F0C6A}"/>
    <cellStyle name="20% - Accent1 2 3 3 4 3" xfId="3502" xr:uid="{4B2EC49E-5747-487E-935C-BDBF39FECADB}"/>
    <cellStyle name="20% - Accent1 2 3 3 4 3 2" xfId="7969" xr:uid="{A1755D46-EE69-48FF-B102-002276FB872B}"/>
    <cellStyle name="20% - Accent1 2 3 3 4 4" xfId="6299" xr:uid="{DEA8B3FA-9498-48EA-92D1-256C26D5E74E}"/>
    <cellStyle name="20% - Accent1 2 3 3 5" xfId="1971" xr:uid="{8FA616DA-8A97-4DBF-B072-ED5F6F6E3A75}"/>
    <cellStyle name="20% - Accent1 2 3 3 5 2" xfId="3908" xr:uid="{76469741-1A94-4B2F-8019-754CE608F342}"/>
    <cellStyle name="20% - Accent1 2 3 3 5 2 2" xfId="8357" xr:uid="{0711C7B4-BAB2-4824-B87B-B7E15AF56B34}"/>
    <cellStyle name="20% - Accent1 2 3 3 5 3" xfId="6536" xr:uid="{AE307C39-0908-4241-8BC9-3013440FF66C}"/>
    <cellStyle name="20% - Accent1 2 3 3 6" xfId="4310" xr:uid="{5CD17C38-C1B5-48EE-8D41-DF17E631806C}"/>
    <cellStyle name="20% - Accent1 2 3 3 6 2" xfId="8662" xr:uid="{E1848113-DD62-41DF-BE4D-5495DF6BF308}"/>
    <cellStyle name="20% - Accent1 2 3 3 7" xfId="3075" xr:uid="{94FB185F-3CBC-4556-8172-AC4B9C6C2915}"/>
    <cellStyle name="20% - Accent1 2 3 3 7 2" xfId="7581" xr:uid="{829C0422-A0D4-4CB7-AEE9-82DB58003E2D}"/>
    <cellStyle name="20% - Accent1 2 3 3 8" xfId="5557" xr:uid="{EC363513-5D22-4D8C-9DA2-560131D54F9B}"/>
    <cellStyle name="20% - Accent1 2 3 4" xfId="975" xr:uid="{F7DD9EB3-9A96-45DF-9346-65950C3C4B16}"/>
    <cellStyle name="20% - Accent1 2 3 4 2" xfId="1343" xr:uid="{F498C27E-4406-43C8-9D24-970081A7AB03}"/>
    <cellStyle name="20% - Accent1 2 3 4 2 2" xfId="2323" xr:uid="{68CA50D7-0765-4FE6-9E31-8393453DA1E8}"/>
    <cellStyle name="20% - Accent1 2 3 4 2 2 2" xfId="4684" xr:uid="{586B0743-A59C-43F1-B59A-38CA5827AB1A}"/>
    <cellStyle name="20% - Accent1 2 3 4 2 2 2 2" xfId="8930" xr:uid="{79963998-270D-4EBC-879A-D56A19DE7BAD}"/>
    <cellStyle name="20% - Accent1 2 3 4 2 2 3" xfId="6888" xr:uid="{0F2378C4-18DF-4E69-B8CA-B3FF1D742E90}"/>
    <cellStyle name="20% - Accent1 2 3 4 2 3" xfId="3548" xr:uid="{CF282B11-C987-4581-8224-4236BDB09660}"/>
    <cellStyle name="20% - Accent1 2 3 4 2 3 2" xfId="8015" xr:uid="{AEBBA67C-1801-4144-AA4E-51AF6031207A}"/>
    <cellStyle name="20% - Accent1 2 3 4 2 4" xfId="5909" xr:uid="{C2A5E91B-4356-4107-9AA8-231A448D3C38}"/>
    <cellStyle name="20% - Accent1 2 3 4 3" xfId="1577" xr:uid="{01961166-F341-4E2E-91FB-83CC4F7C5823}"/>
    <cellStyle name="20% - Accent1 2 3 4 3 2" xfId="2557" xr:uid="{5FE9EE0F-F848-4E64-A4EB-266DA134D742}"/>
    <cellStyle name="20% - Accent1 2 3 4 3 2 2" xfId="5056" xr:uid="{73A8F843-5D40-4EEC-B212-1AABF2AC8DEB}"/>
    <cellStyle name="20% - Accent1 2 3 4 3 2 2 2" xfId="9282" xr:uid="{3B9737B8-6321-440F-9A22-B871D9C02DB5}"/>
    <cellStyle name="20% - Accent1 2 3 4 3 2 3" xfId="7122" xr:uid="{E2B29B12-62B9-4D21-818D-29C2E02C5915}"/>
    <cellStyle name="20% - Accent1 2 3 4 3 3" xfId="3954" xr:uid="{558F13BB-BFBA-4B51-83D7-DF8474C10E9C}"/>
    <cellStyle name="20% - Accent1 2 3 4 3 3 2" xfId="8403" xr:uid="{1EFE42FF-1C02-4F65-9455-AA8D7F761057}"/>
    <cellStyle name="20% - Accent1 2 3 4 3 4" xfId="6143" xr:uid="{06053ED3-61E5-4160-8E91-32BCF7DE08B0}"/>
    <cellStyle name="20% - Accent1 2 3 4 4" xfId="1811" xr:uid="{2AA3E805-AD0B-4D67-A604-C62858E4C47B}"/>
    <cellStyle name="20% - Accent1 2 3 4 4 2" xfId="2790" xr:uid="{1407DA87-D0AC-4F59-82D5-E4DCD4F5D451}"/>
    <cellStyle name="20% - Accent1 2 3 4 4 2 2" xfId="7355" xr:uid="{A1DE6772-2598-44E4-9C3F-2B72B07DDDD4}"/>
    <cellStyle name="20% - Accent1 2 3 4 4 3" xfId="4402" xr:uid="{0369CD46-0CAD-4CFD-B77E-B243657FF991}"/>
    <cellStyle name="20% - Accent1 2 3 4 4 3 2" xfId="8679" xr:uid="{BF073927-F590-458B-BF31-4FE97B8D1695}"/>
    <cellStyle name="20% - Accent1 2 3 4 4 4" xfId="5447" xr:uid="{F793F9AD-FE50-4418-BB7B-97AF704DEC0E}"/>
    <cellStyle name="20% - Accent1 2 3 4 4 4 2" xfId="9623" xr:uid="{97B54DEA-A6EE-401D-BB01-58DF9A00E0C2}"/>
    <cellStyle name="20% - Accent1 2 3 4 4 5" xfId="6376" xr:uid="{D2BE53F8-9227-40FF-8370-3A6B5EACB42D}"/>
    <cellStyle name="20% - Accent1 2 3 4 5" xfId="2048" xr:uid="{8845C469-FE8A-4A14-8EE4-0F684EB5FEBE}"/>
    <cellStyle name="20% - Accent1 2 3 4 5 2" xfId="6613" xr:uid="{B2D88F01-BCC7-4E92-AC3C-C4AD8157AA6B}"/>
    <cellStyle name="20% - Accent1 2 3 4 6" xfId="3132" xr:uid="{D6D57256-194A-4B03-88DA-9CCD7FBBF0E0}"/>
    <cellStyle name="20% - Accent1 2 3 4 6 2" xfId="7627" xr:uid="{A2F8FF37-4168-4CC8-9101-982EE9708E6F}"/>
    <cellStyle name="20% - Accent1 2 3 4 7" xfId="5634" xr:uid="{F347A757-1881-417D-A2F6-EC08486C3395}"/>
    <cellStyle name="20% - Accent1 2 3 5" xfId="1054" xr:uid="{9E2B516B-A04C-4A1F-B486-291A145CDBB3}"/>
    <cellStyle name="20% - Accent1 2 3 5 2" xfId="2125" xr:uid="{0AD91827-DCA2-4066-BFCF-8EA27CD798EF}"/>
    <cellStyle name="20% - Accent1 2 3 5 2 2" xfId="4777" xr:uid="{5F547E45-35CA-4CAF-A1A4-E18C299E00AE}"/>
    <cellStyle name="20% - Accent1 2 3 5 2 2 2" xfId="9023" xr:uid="{EF36563F-DBF5-429A-AE43-C7E892008A5B}"/>
    <cellStyle name="20% - Accent1 2 3 5 2 3" xfId="3653" xr:uid="{AE9C50DE-85FD-4336-800A-C6977CCBFEAA}"/>
    <cellStyle name="20% - Accent1 2 3 5 2 3 2" xfId="8120" xr:uid="{B6E64C4E-F9EC-473B-8ECF-624F19065E0B}"/>
    <cellStyle name="20% - Accent1 2 3 5 2 4" xfId="6690" xr:uid="{B9910191-9D27-42B3-8470-19CE41CC0C09}"/>
    <cellStyle name="20% - Accent1 2 3 5 3" xfId="4059" xr:uid="{B6AE4976-0075-49E6-968C-B4C85252BFB6}"/>
    <cellStyle name="20% - Accent1 2 3 5 3 2" xfId="5161" xr:uid="{158DF3BD-8CB3-4BA6-BCB3-7BF633D1C356}"/>
    <cellStyle name="20% - Accent1 2 3 5 3 2 2" xfId="9386" xr:uid="{F2D207DE-686E-4983-BF4E-4573B62C33E0}"/>
    <cellStyle name="20% - Accent1 2 3 5 3 3" xfId="8508" xr:uid="{847B39E0-5E73-429D-951E-7EA4B0ADC928}"/>
    <cellStyle name="20% - Accent1 2 3 5 4" xfId="4476" xr:uid="{F7AA8814-3E7D-4338-AD92-F9E19BAE9D57}"/>
    <cellStyle name="20% - Accent1 2 3 5 4 2" xfId="8753" xr:uid="{8063C371-53BB-4FD7-95F8-554921E8D026}"/>
    <cellStyle name="20% - Accent1 2 3 5 5" xfId="3237" xr:uid="{544C1764-E19A-4549-9C6C-520A9D81542B}"/>
    <cellStyle name="20% - Accent1 2 3 5 5 2" xfId="7732" xr:uid="{7A94B261-EBFC-4F5E-8A35-B5D7D294BE69}"/>
    <cellStyle name="20% - Accent1 2 3 5 6" xfId="5711" xr:uid="{20BE7D49-B79F-425B-B67F-7CA8D9232D55}"/>
    <cellStyle name="20% - Accent1 2 3 6" xfId="1183" xr:uid="{CA172252-EF75-486C-9F4B-672C0799FAFE}"/>
    <cellStyle name="20% - Accent1 2 3 6 2" xfId="2169" xr:uid="{188BA665-0FEE-43CA-BD48-712E37964E01}"/>
    <cellStyle name="20% - Accent1 2 3 6 2 2" xfId="4994" xr:uid="{AD09CA2C-9642-4CA7-993B-C624FA94A63C}"/>
    <cellStyle name="20% - Accent1 2 3 6 2 2 2" xfId="9221" xr:uid="{D9BBC477-AAF7-404A-80E5-2C0FC1535C31}"/>
    <cellStyle name="20% - Accent1 2 3 6 2 3" xfId="3442" xr:uid="{E48FBAA7-888A-4427-8496-9A9C31AF698E}"/>
    <cellStyle name="20% - Accent1 2 3 6 2 3 2" xfId="7910" xr:uid="{F5D96450-631C-48D4-BFDB-35D4F45DFB50}"/>
    <cellStyle name="20% - Accent1 2 3 6 2 4" xfId="6734" xr:uid="{9E6778F4-C4EF-4D48-9F4E-079BA8951005}"/>
    <cellStyle name="20% - Accent1 2 3 6 3" xfId="3849" xr:uid="{E24F396C-8A5D-49BD-8ABF-E37B4FB747A8}"/>
    <cellStyle name="20% - Accent1 2 3 6 3 2" xfId="8298" xr:uid="{A2A496B8-BADE-412E-81B8-D1D705E5D54F}"/>
    <cellStyle name="20% - Accent1 2 3 6 4" xfId="4622" xr:uid="{646A7488-F8D7-409B-9A29-051AF13ABD89}"/>
    <cellStyle name="20% - Accent1 2 3 6 4 2" xfId="8869" xr:uid="{ED7E98B3-46FA-44EF-B6FD-1CCB88931AA3}"/>
    <cellStyle name="20% - Accent1 2 3 6 5" xfId="2991" xr:uid="{25056D26-A6C6-4D22-B987-D53A3EFF4BF5}"/>
    <cellStyle name="20% - Accent1 2 3 6 5 2" xfId="7522" xr:uid="{5E745D57-A89B-4C7B-8163-568E7E652039}"/>
    <cellStyle name="20% - Accent1 2 3 6 6" xfId="5755" xr:uid="{81F0EA1D-DC2A-406E-B651-ADA2BD4A94A0}"/>
    <cellStyle name="20% - Accent1 2 3 7" xfId="1423" xr:uid="{8EFC65A4-10E3-441C-9B59-1EE70A9735A6}"/>
    <cellStyle name="20% - Accent1 2 3 7 2" xfId="2403" xr:uid="{8FB2BD80-01F4-44C1-BDD9-A16DD0647B16}"/>
    <cellStyle name="20% - Accent1 2 3 7 2 2" xfId="4856" xr:uid="{E4DC1D03-8BB6-48C3-A3AA-78383546F407}"/>
    <cellStyle name="20% - Accent1 2 3 7 2 2 2" xfId="9091" xr:uid="{9BAFC912-9C08-4F6A-941E-3C5EFF543CE7}"/>
    <cellStyle name="20% - Accent1 2 3 7 2 3" xfId="6968" xr:uid="{B03B7690-7AA3-4A2F-AE96-DC07A6B92B7B}"/>
    <cellStyle name="20% - Accent1 2 3 7 3" xfId="3339" xr:uid="{758531A3-F40F-4549-8EDA-A53E0BE22074}"/>
    <cellStyle name="20% - Accent1 2 3 7 3 2" xfId="7828" xr:uid="{2F826FB4-2FC8-4A16-AB5D-AC3301D8E02D}"/>
    <cellStyle name="20% - Accent1 2 3 7 4" xfId="5989" xr:uid="{360DE101-7157-469C-BCB4-6B40C2450809}"/>
    <cellStyle name="20% - Accent1 2 3 8" xfId="1656" xr:uid="{30BB05B2-D7FE-40CE-9710-6BFA58277B00}"/>
    <cellStyle name="20% - Accent1 2 3 8 2" xfId="2636" xr:uid="{F1798366-98BE-4588-8F43-97C60BA15CE3}"/>
    <cellStyle name="20% - Accent1 2 3 8 2 2" xfId="7201" xr:uid="{19EEDCBD-7D53-4A40-9DC7-CCDE3717A2D5}"/>
    <cellStyle name="20% - Accent1 2 3 8 3" xfId="3763" xr:uid="{8554E7E2-7937-407B-BFF5-6204A3BC428B}"/>
    <cellStyle name="20% - Accent1 2 3 8 3 2" xfId="8216" xr:uid="{10347F33-143F-4A46-816E-7DA3D35ADCE2}"/>
    <cellStyle name="20% - Accent1 2 3 8 4" xfId="6222" xr:uid="{107E2D80-EBDD-4C35-BAF3-DBEA962B4B15}"/>
    <cellStyle name="20% - Accent1 2 3 9" xfId="1894" xr:uid="{2D1F3674-A92E-4958-ABF5-84587D8317CF}"/>
    <cellStyle name="20% - Accent1 2 3 9 2" xfId="4179" xr:uid="{C7FEF0E7-1394-4A68-A969-A3837F4E140A}"/>
    <cellStyle name="20% - Accent1 2 3 9 2 2" xfId="8607" xr:uid="{6390FEB9-BC60-435D-BAFA-A7384C3B590A}"/>
    <cellStyle name="20% - Accent1 2 3 9 3" xfId="6459" xr:uid="{849F0E9A-4AF4-4DB0-A098-6D202A720CB6}"/>
    <cellStyle name="20% - Accent1 2 4" xfId="761" xr:uid="{3674EC10-65A7-48A3-AF0C-A9957B3A6A23}"/>
    <cellStyle name="20% - Accent1 2 4 2" xfId="4311" xr:uid="{7B5D6FCA-8A70-463F-A54E-EC070D37D0C4}"/>
    <cellStyle name="20% - Accent1 2 4 3" xfId="4180" xr:uid="{381979F8-D916-4EBF-9CDA-C44615E13071}"/>
    <cellStyle name="20% - Accent1 2 5" xfId="760" xr:uid="{50B24FF0-CB9A-414E-9578-88D4F15C41CE}"/>
    <cellStyle name="20% - Accent1 2 5 2" xfId="4312" xr:uid="{C4CA3F8D-7F14-4251-85DC-F000CCD06EEA}"/>
    <cellStyle name="20% - Accent1 2 5 3" xfId="4181" xr:uid="{EB06F512-6C18-4D54-8722-CE645DE30993}"/>
    <cellStyle name="20% - Accent1 2 6" xfId="1055" xr:uid="{18F202AE-6EB1-40C5-9315-62E2966E58BD}"/>
    <cellStyle name="20% - Accent1 2 6 2" xfId="4313" xr:uid="{66E38873-7260-4C79-86EB-3ECBF9E96DEF}"/>
    <cellStyle name="20% - Accent1 2 6 3" xfId="4514" xr:uid="{59902076-57F8-4E8B-A844-D667A8A7E232}"/>
    <cellStyle name="20% - Accent1 2 6 4" xfId="4269" xr:uid="{60AABA83-0651-4446-A555-6B4D2A644525}"/>
    <cellStyle name="20% - Accent1 2 6 5" xfId="2959" xr:uid="{40F55FDB-0D86-4327-8FBE-3D742B7B4395}"/>
    <cellStyle name="20% - Accent1 3" xfId="34" xr:uid="{DE1B001E-5C57-4C50-83BD-70E968700684}"/>
    <cellStyle name="20% - Accent1 3 2" xfId="4314" xr:uid="{3609BF1B-A24F-49FF-A124-71093A46D088}"/>
    <cellStyle name="20% - Accent1 3 3" xfId="4182" xr:uid="{966C38B2-F945-45E1-97F9-144172D9A95E}"/>
    <cellStyle name="20% - Accent1 4" xfId="35" xr:uid="{B68451FA-9760-4110-8F90-AF1FA3EA4C70}"/>
    <cellStyle name="20% - Accent1 4 2" xfId="4315" xr:uid="{9E69AA7C-531E-43F4-ADFF-F87EA7356071}"/>
    <cellStyle name="20% - Accent1 4 3" xfId="4183" xr:uid="{1EB29715-1DDF-41B7-BCAD-B18262C9609E}"/>
    <cellStyle name="20% - Accent2 2" xfId="36" xr:uid="{F4B03EEF-BF3E-47E9-B5BC-543B7B5BD970}"/>
    <cellStyle name="20% - Accent2 2 2" xfId="37" xr:uid="{9CA4F494-7D8B-4DB4-8016-E11A1CF2225B}"/>
    <cellStyle name="20% - Accent2 2 3" xfId="38" xr:uid="{18BF3F21-E7B2-4AE2-810A-B6219D940405}"/>
    <cellStyle name="20% - Accent2 2 3 10" xfId="2876" xr:uid="{78CBCBF8-A21D-4124-96F5-C3D4F342F08E}"/>
    <cellStyle name="20% - Accent2 2 3 10 2" xfId="7441" xr:uid="{6BD81B8F-06E0-4C14-879A-E06070D43007}"/>
    <cellStyle name="20% - Accent2 2 3 11" xfId="5481" xr:uid="{0C94732B-D8AE-49A4-B1D2-748852B5C7C6}"/>
    <cellStyle name="20% - Accent2 2 3 2" xfId="830" xr:uid="{61EF6C19-3D8F-4563-B3CF-2629D673FC69}"/>
    <cellStyle name="20% - Accent2 2 3 2 2" xfId="936" xr:uid="{B8900BE4-D380-4297-ADFE-97F6427A448D}"/>
    <cellStyle name="20% - Accent2 2 3 2 2 2" xfId="1309" xr:uid="{6898E8C3-1E1C-43A1-BE88-9709DF386DE6}"/>
    <cellStyle name="20% - Accent2 2 3 2 2 2 2" xfId="2289" xr:uid="{3E781B3C-F222-4629-83F9-8914D9DB4CEF}"/>
    <cellStyle name="20% - Accent2 2 3 2 2 2 2 2" xfId="4699" xr:uid="{F989EE07-9006-4D3C-8ED4-A6E2B221F956}"/>
    <cellStyle name="20% - Accent2 2 3 2 2 2 2 2 2" xfId="8945" xr:uid="{DE9F4576-294C-4E7A-BC35-070855385456}"/>
    <cellStyle name="20% - Accent2 2 3 2 2 2 2 3" xfId="6854" xr:uid="{88B00383-82EC-497E-8672-099D9A6712B5}"/>
    <cellStyle name="20% - Accent2 2 3 2 2 2 3" xfId="3574" xr:uid="{991DBA4B-D6E4-4823-B0ED-29F630EF0E1A}"/>
    <cellStyle name="20% - Accent2 2 3 2 2 2 3 2" xfId="8041" xr:uid="{DD8DF199-5624-4B02-8FB1-41ACEF89FF11}"/>
    <cellStyle name="20% - Accent2 2 3 2 2 2 4" xfId="5875" xr:uid="{916AEF18-5590-46CA-B992-DF0546A2120A}"/>
    <cellStyle name="20% - Accent2 2 3 2 2 3" xfId="1543" xr:uid="{EC8E941C-ADDA-4C12-82C7-A1A592E66CA6}"/>
    <cellStyle name="20% - Accent2 2 3 2 2 3 2" xfId="2523" xr:uid="{F7B82029-146B-4703-BE75-D49F3A303FE5}"/>
    <cellStyle name="20% - Accent2 2 3 2 2 3 2 2" xfId="5082" xr:uid="{7DBF9DAA-2F43-4973-AA75-6F67E9D2AC5A}"/>
    <cellStyle name="20% - Accent2 2 3 2 2 3 2 2 2" xfId="9307" xr:uid="{51717230-6518-4274-AE1D-76A3F8E13BAD}"/>
    <cellStyle name="20% - Accent2 2 3 2 2 3 2 3" xfId="7088" xr:uid="{E5FFD2A5-3C9D-47C8-B676-BB6C3775F6EF}"/>
    <cellStyle name="20% - Accent2 2 3 2 2 3 3" xfId="3980" xr:uid="{4A930B94-81F9-4B39-A85A-54164A99B358}"/>
    <cellStyle name="20% - Accent2 2 3 2 2 3 3 2" xfId="8429" xr:uid="{AC8B3705-A12B-425F-97DB-B10B82DA4574}"/>
    <cellStyle name="20% - Accent2 2 3 2 2 3 4" xfId="6109" xr:uid="{ADB0E2C4-4138-4340-A800-472F61579E8F}"/>
    <cellStyle name="20% - Accent2 2 3 2 2 4" xfId="1777" xr:uid="{70916D17-606E-4324-A766-3B7B4A3FC5E1}"/>
    <cellStyle name="20% - Accent2 2 3 2 2 4 2" xfId="2756" xr:uid="{7FE0E7B9-C7DD-4F5C-9E63-EE931B0A73F5}"/>
    <cellStyle name="20% - Accent2 2 3 2 2 4 2 2" xfId="7321" xr:uid="{69E31D09-32D8-4715-9D59-7D22FB863784}"/>
    <cellStyle name="20% - Accent2 2 3 2 2 4 3" xfId="4431" xr:uid="{296AE533-75B1-4588-BBC1-9E41844D5914}"/>
    <cellStyle name="20% - Accent2 2 3 2 2 4 3 2" xfId="8708" xr:uid="{6DBB43FE-F989-4EE1-8F44-DB35BDECE196}"/>
    <cellStyle name="20% - Accent2 2 3 2 2 4 4" xfId="6342" xr:uid="{1F7DA59E-F458-446F-96D5-EE0247126840}"/>
    <cellStyle name="20% - Accent2 2 3 2 2 5" xfId="2014" xr:uid="{86AD4FFB-117C-4B55-B4AF-7391C769DD02}"/>
    <cellStyle name="20% - Accent2 2 3 2 2 5 2" xfId="6579" xr:uid="{4375EADD-ADA4-4613-8B40-EACE6D801968}"/>
    <cellStyle name="20% - Accent2 2 3 2 2 6" xfId="3158" xr:uid="{8D934E4E-310A-40DE-81F2-16A96B0AE961}"/>
    <cellStyle name="20% - Accent2 2 3 2 2 6 2" xfId="7653" xr:uid="{F97D3AF7-3CF5-4F47-B13E-C023EA1BBA02}"/>
    <cellStyle name="20% - Accent2 2 3 2 2 7" xfId="5600" xr:uid="{CD5D2D1A-0C48-49E8-8CE5-9A65737ADAAE}"/>
    <cellStyle name="20% - Accent2 2 3 2 3" xfId="1018" xr:uid="{2A0CFB13-D2B8-437C-B663-9EA8193D2A89}"/>
    <cellStyle name="20% - Accent2 2 3 2 3 2" xfId="1386" xr:uid="{8EC3D902-6462-4D28-95A1-5844069A226B}"/>
    <cellStyle name="20% - Accent2 2 3 2 3 2 2" xfId="2366" xr:uid="{E123F095-2027-460B-8D03-FEF4D4F8AF08}"/>
    <cellStyle name="20% - Accent2 2 3 2 3 2 2 2" xfId="5187" xr:uid="{573355F0-66BF-4468-AFF7-316DB8198021}"/>
    <cellStyle name="20% - Accent2 2 3 2 3 2 2 2 2" xfId="9412" xr:uid="{F5229221-D2BB-4D15-981C-0AC8A98AC701}"/>
    <cellStyle name="20% - Accent2 2 3 2 3 2 2 3" xfId="6931" xr:uid="{2F20F61F-0654-4321-8A4F-253EAE2C4F38}"/>
    <cellStyle name="20% - Accent2 2 3 2 3 2 3" xfId="3679" xr:uid="{F9E45E0E-F6CA-480C-BD66-516C5E8CB0D8}"/>
    <cellStyle name="20% - Accent2 2 3 2 3 2 3 2" xfId="8146" xr:uid="{ED0B2340-EDB0-4856-AD80-7BA747134CCD}"/>
    <cellStyle name="20% - Accent2 2 3 2 3 2 4" xfId="5952" xr:uid="{15654291-F67F-41AB-AFDC-20EF6FB34371}"/>
    <cellStyle name="20% - Accent2 2 3 2 3 3" xfId="1620" xr:uid="{9588DE7A-DC59-4DE3-9FAB-6858F087B90D}"/>
    <cellStyle name="20% - Accent2 2 3 2 3 3 2" xfId="2600" xr:uid="{557A4D15-A52C-4831-8EE9-E682FA539607}"/>
    <cellStyle name="20% - Accent2 2 3 2 3 3 2 2" xfId="7165" xr:uid="{70B09C00-4E8F-41F4-80CB-02002D39FD23}"/>
    <cellStyle name="20% - Accent2 2 3 2 3 3 3" xfId="4085" xr:uid="{743CC680-4B84-4478-A168-1F9E4EBC2E77}"/>
    <cellStyle name="20% - Accent2 2 3 2 3 3 3 2" xfId="8534" xr:uid="{B19FB3C3-9D81-4424-80E9-4568B1E51AC4}"/>
    <cellStyle name="20% - Accent2 2 3 2 3 3 4" xfId="6186" xr:uid="{6BBD0EA0-3A65-4BC0-ABE8-4ED83CD1A51F}"/>
    <cellStyle name="20% - Accent2 2 3 2 3 4" xfId="1854" xr:uid="{9F12DF68-1D19-4323-87FF-6917E22B94B4}"/>
    <cellStyle name="20% - Accent2 2 3 2 3 4 2" xfId="2833" xr:uid="{8E45AD47-8952-4C46-B3F7-B8F426EAA86E}"/>
    <cellStyle name="20% - Accent2 2 3 2 3 4 2 2" xfId="7398" xr:uid="{C0BA79C3-9822-4D54-BD38-63B3ED5BC144}"/>
    <cellStyle name="20% - Accent2 2 3 2 3 4 3" xfId="4565" xr:uid="{256EBEE4-602F-468F-9734-6A2FFCC017C6}"/>
    <cellStyle name="20% - Accent2 2 3 2 3 4 3 2" xfId="8820" xr:uid="{B7E4614D-B295-485C-BC32-ED086FC090E0}"/>
    <cellStyle name="20% - Accent2 2 3 2 3 4 4" xfId="6419" xr:uid="{0734B1C1-F1DC-4848-A061-76304E7D38F3}"/>
    <cellStyle name="20% - Accent2 2 3 2 3 5" xfId="2091" xr:uid="{DB243C1C-F12B-4F04-BA65-B67EFFEC0EFE}"/>
    <cellStyle name="20% - Accent2 2 3 2 3 5 2" xfId="6656" xr:uid="{B10B8355-F4DF-4C35-B60B-16F21B29C58F}"/>
    <cellStyle name="20% - Accent2 2 3 2 3 6" xfId="3265" xr:uid="{F24775B3-7258-431B-BDC9-C72BABB954F2}"/>
    <cellStyle name="20% - Accent2 2 3 2 3 6 2" xfId="7758" xr:uid="{0F8C5EC9-1BF2-46A4-8343-E70CC88EEA8D}"/>
    <cellStyle name="20% - Accent2 2 3 2 3 7" xfId="5677" xr:uid="{5FAEADB2-08A2-4E76-BAF9-FD1981AE1857}"/>
    <cellStyle name="20% - Accent2 2 3 2 4" xfId="1230" xr:uid="{99E18837-0E0E-4346-8125-7EFBCC0141E3}"/>
    <cellStyle name="20% - Accent2 2 3 2 4 2" xfId="2212" xr:uid="{97B3E0E2-43FA-42A7-9AB7-1B2570565CA1}"/>
    <cellStyle name="20% - Accent2 2 3 2 4 2 2" xfId="4958" xr:uid="{D25D3879-5566-477A-9368-EF6198D66E3A}"/>
    <cellStyle name="20% - Accent2 2 3 2 4 2 2 2" xfId="9188" xr:uid="{56C50E71-0B61-4772-8DF3-2C2B894C6C11}"/>
    <cellStyle name="20% - Accent2 2 3 2 4 2 3" xfId="3469" xr:uid="{B04EFD80-B087-4661-A820-0D4687C31110}"/>
    <cellStyle name="20% - Accent2 2 3 2 4 2 3 2" xfId="7936" xr:uid="{97798140-8168-47F1-897E-CC191249A3A0}"/>
    <cellStyle name="20% - Accent2 2 3 2 4 2 4" xfId="6777" xr:uid="{EF4FBE00-93FA-4D7C-A637-28E486760FF1}"/>
    <cellStyle name="20% - Accent2 2 3 2 4 3" xfId="3875" xr:uid="{23BAF8D8-9863-4351-A8C7-A9BB0DAB5714}"/>
    <cellStyle name="20% - Accent2 2 3 2 4 3 2" xfId="8324" xr:uid="{C07D95D5-63B6-4FA9-AAC5-6C68C1B293B1}"/>
    <cellStyle name="20% - Accent2 2 3 2 4 4" xfId="4628" xr:uid="{8753F64C-A785-46BA-B0DE-75B9BACAE0A2}"/>
    <cellStyle name="20% - Accent2 2 3 2 4 4 2" xfId="8875" xr:uid="{AC6834A8-9491-4677-8FB4-2045F0B8BB7E}"/>
    <cellStyle name="20% - Accent2 2 3 2 4 5" xfId="3038" xr:uid="{F747130B-D241-4E68-A41B-484BFBDC9D16}"/>
    <cellStyle name="20% - Accent2 2 3 2 4 5 2" xfId="7548" xr:uid="{40793F01-8644-400D-8F8F-C7FC92423051}"/>
    <cellStyle name="20% - Accent2 2 3 2 4 6" xfId="5798" xr:uid="{857EF81A-9AE0-4944-A52C-3DFAC8B137AA}"/>
    <cellStyle name="20% - Accent2 2 3 2 5" xfId="1466" xr:uid="{9AE78944-C3E4-462E-BAAE-A233BD58F0E1}"/>
    <cellStyle name="20% - Accent2 2 3 2 5 2" xfId="2446" xr:uid="{C6AFB589-402C-4C29-83B6-EC20D653DADB}"/>
    <cellStyle name="20% - Accent2 2 3 2 5 2 2" xfId="4930" xr:uid="{BDF903E5-D771-43B0-BEB0-15C3F5BC93E2}"/>
    <cellStyle name="20% - Accent2 2 3 2 5 2 2 2" xfId="9160" xr:uid="{E085E5A6-0FA1-41A2-81D6-4DC99E8EA1D3}"/>
    <cellStyle name="20% - Accent2 2 3 2 5 2 3" xfId="7011" xr:uid="{609B2FEE-09DF-4DBF-AFB1-DA74440298B5}"/>
    <cellStyle name="20% - Accent2 2 3 2 5 3" xfId="3395" xr:uid="{88BC3F10-FB56-42E2-907B-C6F4C120A67C}"/>
    <cellStyle name="20% - Accent2 2 3 2 5 3 2" xfId="7863" xr:uid="{1F2EFD89-EBFF-4D88-AB57-D663C326FF57}"/>
    <cellStyle name="20% - Accent2 2 3 2 5 4" xfId="6032" xr:uid="{AF8DD4E4-AE3B-4261-8156-6C2A2DD6D66F}"/>
    <cellStyle name="20% - Accent2 2 3 2 6" xfId="1675" xr:uid="{B971809C-4D62-417B-B9B1-5D371C18F4BE}"/>
    <cellStyle name="20% - Accent2 2 3 2 6 2" xfId="2655" xr:uid="{0B652171-47B2-4650-BA56-ED8E6E8713A5}"/>
    <cellStyle name="20% - Accent2 2 3 2 6 2 2" xfId="7220" xr:uid="{3C7343DA-5FB6-4DB4-B224-F405B6DA7E58}"/>
    <cellStyle name="20% - Accent2 2 3 2 6 3" xfId="3802" xr:uid="{DA63C3D0-EFEA-4DEF-B92D-9DA76DDDF4B4}"/>
    <cellStyle name="20% - Accent2 2 3 2 6 3 2" xfId="8251" xr:uid="{7187642A-D029-4879-84EB-BF8E15449E2F}"/>
    <cellStyle name="20% - Accent2 2 3 2 6 4" xfId="6241" xr:uid="{0D80F7C5-57E9-4CA3-859C-83FBC33D99CC}"/>
    <cellStyle name="20% - Accent2 2 3 2 7" xfId="1937" xr:uid="{CBF7F7C9-9A12-4620-94F7-517C0E4AEE23}"/>
    <cellStyle name="20% - Accent2 2 3 2 7 2" xfId="4283" xr:uid="{8A7BF79E-9AD0-4EF8-A021-D981589DC31D}"/>
    <cellStyle name="20% - Accent2 2 3 2 7 2 2" xfId="8636" xr:uid="{FDADC86F-3A6C-4584-8258-1ECC90506A40}"/>
    <cellStyle name="20% - Accent2 2 3 2 7 3" xfId="6502" xr:uid="{0B634D6B-AD09-4CD4-979B-E601453048EC}"/>
    <cellStyle name="20% - Accent2 2 3 2 8" xfId="2913" xr:uid="{27E8B9EA-B882-4468-BA04-AE817869C9C9}"/>
    <cellStyle name="20% - Accent2 2 3 2 8 2" xfId="7475" xr:uid="{9BDBB715-D027-4AF0-85AF-023B3F8A2312}"/>
    <cellStyle name="20% - Accent2 2 3 2 9" xfId="5523" xr:uid="{FBF27443-F9AF-427F-BEDC-C12335E59A19}"/>
    <cellStyle name="20% - Accent2 2 3 3" xfId="865" xr:uid="{A19F69D1-E96E-4E30-AD13-C00BB7962C91}"/>
    <cellStyle name="20% - Accent2 2 3 3 2" xfId="1265" xr:uid="{7F68EFC8-45A2-4A51-B32D-16437BE4E741}"/>
    <cellStyle name="20% - Accent2 2 3 3 2 2" xfId="2247" xr:uid="{A69789C3-54C7-4800-BDC6-58AF117BFA93}"/>
    <cellStyle name="20% - Accent2 2 3 3 2 2 2" xfId="5116" xr:uid="{ABB4E613-79E1-4B31-97D6-92ADF8A54179}"/>
    <cellStyle name="20% - Accent2 2 3 3 2 2 2 2" xfId="9341" xr:uid="{E742CE2C-2CC4-44E6-B465-06DE63733944}"/>
    <cellStyle name="20% - Accent2 2 3 3 2 2 3" xfId="3608" xr:uid="{BDA2FDBA-B7DA-4D73-B120-47F47DC84D05}"/>
    <cellStyle name="20% - Accent2 2 3 3 2 2 3 2" xfId="8075" xr:uid="{DB1D9E50-E2EA-46EF-BEAC-EB9238F62983}"/>
    <cellStyle name="20% - Accent2 2 3 3 2 2 4" xfId="6812" xr:uid="{945EEFD7-5379-49C9-99B0-10AAE85565A7}"/>
    <cellStyle name="20% - Accent2 2 3 3 2 3" xfId="4014" xr:uid="{DE37349C-0945-4646-8811-7EDB5881AB64}"/>
    <cellStyle name="20% - Accent2 2 3 3 2 3 2" xfId="8463" xr:uid="{A7FB7B07-8E78-4FC1-8863-0BA86D43D282}"/>
    <cellStyle name="20% - Accent2 2 3 3 2 4" xfId="4732" xr:uid="{379BBDF7-3375-4379-8507-8C6BEB3681CA}"/>
    <cellStyle name="20% - Accent2 2 3 3 2 4 2" xfId="8978" xr:uid="{33E92B5F-A40D-49A0-8EAD-EE07295BBD02}"/>
    <cellStyle name="20% - Accent2 2 3 3 2 5" xfId="3192" xr:uid="{A7AB0D9F-D3BA-4DF6-9964-63ED1E849082}"/>
    <cellStyle name="20% - Accent2 2 3 3 2 5 2" xfId="7687" xr:uid="{870D4AED-9D83-4BFC-8288-6FE25A006772}"/>
    <cellStyle name="20% - Accent2 2 3 3 2 6" xfId="5833" xr:uid="{9277D0F8-20E5-42BE-BA4B-5EA556FD6259}"/>
    <cellStyle name="20% - Accent2 2 3 3 3" xfId="1501" xr:uid="{CC08245D-8391-453A-9C2E-D49A1B9E86E5}"/>
    <cellStyle name="20% - Accent2 2 3 3 3 2" xfId="2481" xr:uid="{36117946-7F3D-42E2-ABCA-82B837BD8DF7}"/>
    <cellStyle name="20% - Accent2 2 3 3 3 2 2" xfId="5221" xr:uid="{E0BE8D51-54FB-4030-BBB5-DA4F8A2EEEE4}"/>
    <cellStyle name="20% - Accent2 2 3 3 3 2 2 2" xfId="9446" xr:uid="{47BFA4A8-B149-4499-8370-4BD6F1ECEE5F}"/>
    <cellStyle name="20% - Accent2 2 3 3 3 2 3" xfId="3713" xr:uid="{4CFBABE5-7EA1-4732-99A4-4892A069063A}"/>
    <cellStyle name="20% - Accent2 2 3 3 3 2 3 2" xfId="8180" xr:uid="{BA065A9D-D4B2-4C1A-86F7-2583274BE052}"/>
    <cellStyle name="20% - Accent2 2 3 3 3 2 4" xfId="7046" xr:uid="{DCB2510C-BDC7-4249-ACE5-46FF5B347A0D}"/>
    <cellStyle name="20% - Accent2 2 3 3 3 3" xfId="4119" xr:uid="{7E00BEFB-79F0-4F3F-A72A-3C8BC379F7B8}"/>
    <cellStyle name="20% - Accent2 2 3 3 3 3 2" xfId="8568" xr:uid="{C2213434-6FCA-40A3-8220-3E964D045483}"/>
    <cellStyle name="20% - Accent2 2 3 3 3 4" xfId="4810" xr:uid="{90D56F1F-2155-4EF5-B2D2-18A419A18E7F}"/>
    <cellStyle name="20% - Accent2 2 3 3 3 4 2" xfId="9056" xr:uid="{4A322EDA-3A6C-45CC-B0B8-CB0163663A2C}"/>
    <cellStyle name="20% - Accent2 2 3 3 3 5" xfId="3303" xr:uid="{F6343D7A-B30E-4E7C-91B1-A6981B06DF0C}"/>
    <cellStyle name="20% - Accent2 2 3 3 3 5 2" xfId="7792" xr:uid="{193BBCEF-5411-42EE-8547-AE3DAE6FB940}"/>
    <cellStyle name="20% - Accent2 2 3 3 3 6" xfId="6067" xr:uid="{29E71138-A6ED-4270-9807-6ACB4E92D2D0}"/>
    <cellStyle name="20% - Accent2 2 3 3 4" xfId="1735" xr:uid="{7CED469B-5448-4965-A813-B5DAE57E0B7D}"/>
    <cellStyle name="20% - Accent2 2 3 3 4 2" xfId="2714" xr:uid="{C9D043D5-F0FB-4BBB-9892-4A810DC77FAB}"/>
    <cellStyle name="20% - Accent2 2 3 3 4 2 2" xfId="4654" xr:uid="{04B25E6B-F459-4A0E-BC6A-E6C894ED79AB}"/>
    <cellStyle name="20% - Accent2 2 3 3 4 2 2 2" xfId="8900" xr:uid="{A70EA1FB-3293-4FB9-8876-A804A15BF328}"/>
    <cellStyle name="20% - Accent2 2 3 3 4 2 3" xfId="7279" xr:uid="{8581DBD0-536B-4CAE-B1F9-6834445EB13E}"/>
    <cellStyle name="20% - Accent2 2 3 3 4 3" xfId="3503" xr:uid="{41BEC852-D236-4501-B40D-7790F94DD578}"/>
    <cellStyle name="20% - Accent2 2 3 3 4 3 2" xfId="7970" xr:uid="{835FF9BD-8C58-45EC-A102-E687527F19EA}"/>
    <cellStyle name="20% - Accent2 2 3 3 4 4" xfId="6300" xr:uid="{7BD16C3A-98D4-48B6-A7C3-4C2EA82B0871}"/>
    <cellStyle name="20% - Accent2 2 3 3 5" xfId="1972" xr:uid="{968945AE-E1EF-4F98-AF52-8A32B0BF9FC3}"/>
    <cellStyle name="20% - Accent2 2 3 3 5 2" xfId="5014" xr:uid="{137069C3-C6C5-443F-B03F-3D1C764BB16A}"/>
    <cellStyle name="20% - Accent2 2 3 3 5 2 2" xfId="9240" xr:uid="{29D53B47-0C62-4BE4-9D0C-342DF550159D}"/>
    <cellStyle name="20% - Accent2 2 3 3 5 3" xfId="3909" xr:uid="{C7AA924C-3A3B-47EC-89AE-79BDD5D739DD}"/>
    <cellStyle name="20% - Accent2 2 3 3 5 3 2" xfId="8358" xr:uid="{4CC783B1-CF9D-488C-B9CD-C8F6769E604A}"/>
    <cellStyle name="20% - Accent2 2 3 3 5 4" xfId="6537" xr:uid="{AD4AAF62-BFDB-4195-83C8-ECA4922C9DBD}"/>
    <cellStyle name="20% - Accent2 2 3 3 6" xfId="4403" xr:uid="{29CF1654-F27E-4F5A-B843-7BFBAE6C0B89}"/>
    <cellStyle name="20% - Accent2 2 3 3 6 2" xfId="8680" xr:uid="{406A56A5-B5CF-4AD7-96D7-39396DA36260}"/>
    <cellStyle name="20% - Accent2 2 3 3 7" xfId="3076" xr:uid="{BF005A21-6BAA-4783-9120-36CD21630653}"/>
    <cellStyle name="20% - Accent2 2 3 3 7 2" xfId="7582" xr:uid="{66FBA370-A548-4DDA-A4FE-0C5BE12665F1}"/>
    <cellStyle name="20% - Accent2 2 3 3 8" xfId="5558" xr:uid="{A1CA4EFD-3968-455F-9052-876B40BFBEF5}"/>
    <cellStyle name="20% - Accent2 2 3 4" xfId="976" xr:uid="{0CD709A5-8042-41BB-B1EA-E5DFF738C261}"/>
    <cellStyle name="20% - Accent2 2 3 4 2" xfId="1344" xr:uid="{10D79FAD-A003-448E-912B-56AE53A38944}"/>
    <cellStyle name="20% - Accent2 2 3 4 2 2" xfId="2324" xr:uid="{948B7905-2305-4B9A-ADEE-958906BFF07B}"/>
    <cellStyle name="20% - Accent2 2 3 4 2 2 2" xfId="5047" xr:uid="{BE5E364C-5880-433E-B81C-D949C67BA24C}"/>
    <cellStyle name="20% - Accent2 2 3 4 2 2 2 2" xfId="9273" xr:uid="{7ACBF2B2-8DBC-478F-AA0B-D1F429385AE0}"/>
    <cellStyle name="20% - Accent2 2 3 4 2 2 3" xfId="6889" xr:uid="{8476DAB6-FA43-44BA-BAA2-036E91E48432}"/>
    <cellStyle name="20% - Accent2 2 3 4 2 3" xfId="3539" xr:uid="{6A2D20B8-0113-43A1-A910-4EB72DC7BB42}"/>
    <cellStyle name="20% - Accent2 2 3 4 2 3 2" xfId="8006" xr:uid="{B5666B7B-C29B-4253-99F4-A94A84378ADE}"/>
    <cellStyle name="20% - Accent2 2 3 4 2 4" xfId="5910" xr:uid="{2E21AB34-858E-43B2-8380-2C843B69ADFE}"/>
    <cellStyle name="20% - Accent2 2 3 4 3" xfId="1578" xr:uid="{AFF4CB9C-1475-45F9-9FA9-353282FF1F67}"/>
    <cellStyle name="20% - Accent2 2 3 4 3 2" xfId="2558" xr:uid="{0BD76C08-1643-4377-A764-AFA7CE81AB2C}"/>
    <cellStyle name="20% - Accent2 2 3 4 3 2 2" xfId="7123" xr:uid="{399CAD4D-A5E3-4B67-93B5-DDE4718BAD83}"/>
    <cellStyle name="20% - Accent2 2 3 4 3 3" xfId="3945" xr:uid="{FA4FDBA1-AC2E-4600-9558-9F8EF199BF60}"/>
    <cellStyle name="20% - Accent2 2 3 4 3 3 2" xfId="8394" xr:uid="{BE33237D-E68B-4181-8090-BA89A6923E44}"/>
    <cellStyle name="20% - Accent2 2 3 4 3 4" xfId="6144" xr:uid="{BE0C7F3B-5A04-4EB9-9570-286F4381C13F}"/>
    <cellStyle name="20% - Accent2 2 3 4 4" xfId="1812" xr:uid="{C695B701-1AFE-45B9-95B7-D34E234116F7}"/>
    <cellStyle name="20% - Accent2 2 3 4 4 2" xfId="2791" xr:uid="{678CCA3E-30CB-46A4-8D81-6B114CEDD76A}"/>
    <cellStyle name="20% - Accent2 2 3 4 4 2 2" xfId="7356" xr:uid="{BE89E2A3-6712-412A-AB71-2DC196B91D0C}"/>
    <cellStyle name="20% - Accent2 2 3 4 4 3" xfId="4477" xr:uid="{A69BB60C-482F-4D66-BA93-7A56CA98E8A6}"/>
    <cellStyle name="20% - Accent2 2 3 4 4 3 2" xfId="8754" xr:uid="{A1569BE8-56B4-4F74-B352-0BDA982DCF08}"/>
    <cellStyle name="20% - Accent2 2 3 4 4 4" xfId="6377" xr:uid="{13F5AA52-3631-423A-9CF1-B2F48A0F292F}"/>
    <cellStyle name="20% - Accent2 2 3 4 5" xfId="2049" xr:uid="{2119CCFF-4D8E-42AB-BB63-3CACE85A46C1}"/>
    <cellStyle name="20% - Accent2 2 3 4 5 2" xfId="6614" xr:uid="{BF47FFA4-749E-4CEF-BB8B-3BD2D453DA6C}"/>
    <cellStyle name="20% - Accent2 2 3 4 6" xfId="3122" xr:uid="{F50D7AF0-5E9F-437C-A02E-8F1999FF76EB}"/>
    <cellStyle name="20% - Accent2 2 3 4 6 2" xfId="7618" xr:uid="{6F0F2248-6800-4AD5-AF67-DA63873947E5}"/>
    <cellStyle name="20% - Accent2 2 3 4 7" xfId="5635" xr:uid="{C0FDB346-A684-462B-ACE6-D5C22D97E87C}"/>
    <cellStyle name="20% - Accent2 2 3 5" xfId="1056" xr:uid="{3F00632F-2BCC-4F65-AFE8-5393D0348E18}"/>
    <cellStyle name="20% - Accent2 2 3 5 2" xfId="2126" xr:uid="{6BFA6382-081E-4FC3-BC91-4965F5854DE6}"/>
    <cellStyle name="20% - Accent2 2 3 5 2 2" xfId="5152" xr:uid="{F10E12ED-C8C4-4BDC-94B3-170920AC9C5C}"/>
    <cellStyle name="20% - Accent2 2 3 5 2 2 2" xfId="9377" xr:uid="{74E21586-AE6C-48E4-B83C-517743F7151F}"/>
    <cellStyle name="20% - Accent2 2 3 5 2 3" xfId="3644" xr:uid="{50390149-FBC6-4AFE-A321-D1C133CB87C0}"/>
    <cellStyle name="20% - Accent2 2 3 5 2 3 2" xfId="8111" xr:uid="{F511F591-DDDB-4712-8633-C75AA2542CB8}"/>
    <cellStyle name="20% - Accent2 2 3 5 2 4" xfId="6691" xr:uid="{ED15DAAF-EFA2-42E0-A7C9-2B327137810E}"/>
    <cellStyle name="20% - Accent2 2 3 5 3" xfId="4050" xr:uid="{A9048FDD-6903-490A-BB3D-6590C2F098F4}"/>
    <cellStyle name="20% - Accent2 2 3 5 3 2" xfId="8499" xr:uid="{2EB86484-6A8C-4079-B8E8-2D985308BB5D}"/>
    <cellStyle name="20% - Accent2 2 3 5 4" xfId="4768" xr:uid="{33FFA525-9478-498C-9115-88C26E73D602}"/>
    <cellStyle name="20% - Accent2 2 3 5 4 2" xfId="9014" xr:uid="{B06D4A3F-A3BB-459A-8376-325FC2451F8C}"/>
    <cellStyle name="20% - Accent2 2 3 5 5" xfId="3228" xr:uid="{CD064116-8D90-4621-B1EE-923311AB7BBC}"/>
    <cellStyle name="20% - Accent2 2 3 5 5 2" xfId="7723" xr:uid="{2262C903-AD0C-4B1E-9343-F3203EB93BD0}"/>
    <cellStyle name="20% - Accent2 2 3 5 6" xfId="5712" xr:uid="{B9559637-1CC7-4DF6-9A93-D85BD084F178}"/>
    <cellStyle name="20% - Accent2 2 3 6" xfId="1184" xr:uid="{2D8D00E8-BD6B-4991-9205-4F390883E954}"/>
    <cellStyle name="20% - Accent2 2 3 6 2" xfId="2170" xr:uid="{8EC44624-B305-4AB3-AB43-197476D26015}"/>
    <cellStyle name="20% - Accent2 2 3 6 2 2" xfId="4975" xr:uid="{F1C638F6-AFF9-4253-A803-F7B0761EF40D}"/>
    <cellStyle name="20% - Accent2 2 3 6 2 2 2" xfId="9204" xr:uid="{34F22540-9DC1-4A76-B7F8-109599DF1A63}"/>
    <cellStyle name="20% - Accent2 2 3 6 2 3" xfId="3433" xr:uid="{37D43436-9F76-45A2-8AF2-7DEA628BEBC2}"/>
    <cellStyle name="20% - Accent2 2 3 6 2 3 2" xfId="7901" xr:uid="{EF7F156F-D972-41F7-9A9E-2EC8558251ED}"/>
    <cellStyle name="20% - Accent2 2 3 6 2 4" xfId="6735" xr:uid="{673C95C2-CB87-4481-8384-47375EBCF7E5}"/>
    <cellStyle name="20% - Accent2 2 3 6 3" xfId="3840" xr:uid="{17E5A5B9-B27A-4A32-AE5F-A9CFC8E4A14C}"/>
    <cellStyle name="20% - Accent2 2 3 6 3 2" xfId="8289" xr:uid="{4C883FA1-C8A7-47AA-904B-A93D3BDDA306}"/>
    <cellStyle name="20% - Accent2 2 3 6 4" xfId="4496" xr:uid="{170381C2-5ADE-4A87-B3AC-891F7CDFF601}"/>
    <cellStyle name="20% - Accent2 2 3 6 4 2" xfId="8767" xr:uid="{2770B49F-34FD-4A19-BD63-DE4743BE066C}"/>
    <cellStyle name="20% - Accent2 2 3 6 5" xfId="2967" xr:uid="{219725C1-71B0-43AE-B3C1-B8770587DF6F}"/>
    <cellStyle name="20% - Accent2 2 3 6 5 2" xfId="7513" xr:uid="{95345A84-3BC1-471A-8435-A05E4B9458E8}"/>
    <cellStyle name="20% - Accent2 2 3 6 6" xfId="5756" xr:uid="{81743A4F-4FBB-4026-8B2D-0EC2243CD85F}"/>
    <cellStyle name="20% - Accent2 2 3 7" xfId="1424" xr:uid="{FB745349-32E8-4D82-9598-EDB5D3EBE527}"/>
    <cellStyle name="20% - Accent2 2 3 7 2" xfId="2404" xr:uid="{E83BB126-21BA-480F-98E9-D46111509269}"/>
    <cellStyle name="20% - Accent2 2 3 7 2 2" xfId="4859" xr:uid="{0A78A328-548F-4254-B6CB-B2FDA4131002}"/>
    <cellStyle name="20% - Accent2 2 3 7 2 2 2" xfId="9094" xr:uid="{F6ABB5EF-16E2-4C33-8D1F-5598C1090C8E}"/>
    <cellStyle name="20% - Accent2 2 3 7 2 3" xfId="6969" xr:uid="{A84FD7F7-695C-4102-B77C-8091458F7F67}"/>
    <cellStyle name="20% - Accent2 2 3 7 3" xfId="3340" xr:uid="{64B95270-471A-4006-85A2-4CE73D181627}"/>
    <cellStyle name="20% - Accent2 2 3 7 3 2" xfId="7829" xr:uid="{9D53B82F-E9FA-47DF-B9E0-1AF57BBF43B1}"/>
    <cellStyle name="20% - Accent2 2 3 7 4" xfId="5990" xr:uid="{01720445-827D-405A-A4FD-5713177ED023}"/>
    <cellStyle name="20% - Accent2 2 3 8" xfId="1664" xr:uid="{C0B3371A-AEA5-4EF7-837C-BE16A7DEDC42}"/>
    <cellStyle name="20% - Accent2 2 3 8 2" xfId="2644" xr:uid="{60C2C87C-7BF7-4D81-A2B6-99AD66CBD8B2}"/>
    <cellStyle name="20% - Accent2 2 3 8 2 2" xfId="7209" xr:uid="{A6714DA6-3597-45E5-BAAB-5755B9E68DE1}"/>
    <cellStyle name="20% - Accent2 2 3 8 3" xfId="3764" xr:uid="{A0C41BB4-00EE-44FF-8C40-1CF35DB8546D}"/>
    <cellStyle name="20% - Accent2 2 3 8 3 2" xfId="8217" xr:uid="{8F4B12AB-E215-4E31-B1AD-FFDC6E711FAF}"/>
    <cellStyle name="20% - Accent2 2 3 8 4" xfId="6230" xr:uid="{AAC98C72-CE92-4B2B-A286-BC0CE06C1BE2}"/>
    <cellStyle name="20% - Accent2 2 3 9" xfId="1895" xr:uid="{B83A1287-D244-4550-93C9-0E29CEBF6B0C}"/>
    <cellStyle name="20% - Accent2 2 3 9 2" xfId="4184" xr:uid="{4E22CC52-7CCB-47E0-95CB-B3D6A477DB42}"/>
    <cellStyle name="20% - Accent2 2 3 9 2 2" xfId="8608" xr:uid="{BAFE0AE6-5CEB-43F5-AF44-81DBD8BE824A}"/>
    <cellStyle name="20% - Accent2 2 3 9 3" xfId="6460" xr:uid="{CAF08DE0-5E38-449E-89BA-BFBB71B8DA2D}"/>
    <cellStyle name="20% - Accent2 2 4" xfId="759" xr:uid="{FE06FDF2-9321-47B3-976E-A8D1589D0C3C}"/>
    <cellStyle name="20% - Accent2 2 5" xfId="758" xr:uid="{686718FB-DAB8-4C36-85C6-C7EAA3DCE65F}"/>
    <cellStyle name="20% - Accent2 2 6" xfId="1057" xr:uid="{420CDEBB-C4C0-4483-857D-7277EBD3A81D}"/>
    <cellStyle name="20% - Accent2 3" xfId="39" xr:uid="{5860F0D5-B836-47EA-945B-CA4D65DDDE4E}"/>
    <cellStyle name="20% - Accent2 4" xfId="40" xr:uid="{5C143F72-F40C-4BFE-B3FF-B03BD9749B89}"/>
    <cellStyle name="20% - Accent3 2" xfId="41" xr:uid="{749B70F7-786D-4B16-B73A-28FB42F8CC5F}"/>
    <cellStyle name="20% - Accent3 2 2" xfId="42" xr:uid="{48C7FA46-8F32-419C-9473-66B1EDCA508C}"/>
    <cellStyle name="20% - Accent3 2 3" xfId="43" xr:uid="{DD69D239-8687-41D0-BA11-0092CD7A20CE}"/>
    <cellStyle name="20% - Accent3 2 3 10" xfId="2877" xr:uid="{596182D1-9314-4EA4-87A1-6B8D553822E1}"/>
    <cellStyle name="20% - Accent3 2 3 10 2" xfId="7442" xr:uid="{58B2A405-B8E8-4F94-A979-31B26C7CBF40}"/>
    <cellStyle name="20% - Accent3 2 3 11" xfId="5482" xr:uid="{0B16CEB8-11E2-444B-B189-A6E1A7F19C80}"/>
    <cellStyle name="20% - Accent3 2 3 2" xfId="831" xr:uid="{BEDDDACA-DB6F-405F-9C35-387946566831}"/>
    <cellStyle name="20% - Accent3 2 3 2 2" xfId="937" xr:uid="{9FF8741C-D58D-4FF1-9E48-192BB1A0FD21}"/>
    <cellStyle name="20% - Accent3 2 3 2 2 2" xfId="1310" xr:uid="{B06E5C95-57F2-4122-B0BF-F861DE6B4C16}"/>
    <cellStyle name="20% - Accent3 2 3 2 2 2 2" xfId="2290" xr:uid="{9869B7E5-0C9C-4C65-8842-7197F33B459C}"/>
    <cellStyle name="20% - Accent3 2 3 2 2 2 2 2" xfId="4700" xr:uid="{7EB2C8B0-953B-48AB-AA25-D0EC05F46C16}"/>
    <cellStyle name="20% - Accent3 2 3 2 2 2 2 2 2" xfId="8946" xr:uid="{5D6C2F9D-C496-4CEB-B5CC-1689ECD92122}"/>
    <cellStyle name="20% - Accent3 2 3 2 2 2 2 3" xfId="6855" xr:uid="{3CC76DF1-92ED-45E9-8734-08B43AF4171D}"/>
    <cellStyle name="20% - Accent3 2 3 2 2 2 3" xfId="3575" xr:uid="{AA298918-52BE-4D84-A8D2-B7E5B0541C48}"/>
    <cellStyle name="20% - Accent3 2 3 2 2 2 3 2" xfId="8042" xr:uid="{119F0FF4-151B-44F0-815C-AA50A9FF07AE}"/>
    <cellStyle name="20% - Accent3 2 3 2 2 2 4" xfId="5876" xr:uid="{86812BD3-5A30-4C69-8C74-8C0308F9FF86}"/>
    <cellStyle name="20% - Accent3 2 3 2 2 3" xfId="1544" xr:uid="{BBE30F8F-85BE-4897-88AB-C3CF0CB7E0B6}"/>
    <cellStyle name="20% - Accent3 2 3 2 2 3 2" xfId="2524" xr:uid="{85508587-0320-4542-B0FB-2AEC5C42D577}"/>
    <cellStyle name="20% - Accent3 2 3 2 2 3 2 2" xfId="5083" xr:uid="{BC27CF15-4931-4997-BF65-745D605BAC39}"/>
    <cellStyle name="20% - Accent3 2 3 2 2 3 2 2 2" xfId="9308" xr:uid="{EF01E906-039B-4F88-8A18-FBB0B61E1E78}"/>
    <cellStyle name="20% - Accent3 2 3 2 2 3 2 3" xfId="7089" xr:uid="{F1E475C2-A102-4821-A378-68C51866438A}"/>
    <cellStyle name="20% - Accent3 2 3 2 2 3 3" xfId="3981" xr:uid="{F0682FD1-F5F5-4FA0-9B48-A7772735DD53}"/>
    <cellStyle name="20% - Accent3 2 3 2 2 3 3 2" xfId="8430" xr:uid="{C1F11DB4-3453-4A9B-A279-8D190C8CDA57}"/>
    <cellStyle name="20% - Accent3 2 3 2 2 3 4" xfId="6110" xr:uid="{71FF80F0-5603-4A60-B5D4-5941CBC92739}"/>
    <cellStyle name="20% - Accent3 2 3 2 2 4" xfId="1778" xr:uid="{3255CBF4-B2DB-40B8-B1AF-050C6291349B}"/>
    <cellStyle name="20% - Accent3 2 3 2 2 4 2" xfId="2757" xr:uid="{ECF9456E-F28C-46AD-80DA-690D13D7BEE0}"/>
    <cellStyle name="20% - Accent3 2 3 2 2 4 2 2" xfId="7322" xr:uid="{DDF90585-B600-4E1C-B1DB-390F7641BC79}"/>
    <cellStyle name="20% - Accent3 2 3 2 2 4 3" xfId="4432" xr:uid="{3CDC12DB-0174-4E48-AE1A-8CF79FF48D5D}"/>
    <cellStyle name="20% - Accent3 2 3 2 2 4 3 2" xfId="8709" xr:uid="{79EA21FB-341B-4984-826A-86C039DE3FB9}"/>
    <cellStyle name="20% - Accent3 2 3 2 2 4 4" xfId="6343" xr:uid="{D07073EB-AF9E-4E23-9AE9-839DACC66331}"/>
    <cellStyle name="20% - Accent3 2 3 2 2 5" xfId="2015" xr:uid="{A760CB02-0ACC-4C8B-BB5F-2CD47DFB513B}"/>
    <cellStyle name="20% - Accent3 2 3 2 2 5 2" xfId="6580" xr:uid="{A6580D43-B87F-4039-8C3A-03BB63BB0F6A}"/>
    <cellStyle name="20% - Accent3 2 3 2 2 6" xfId="3159" xr:uid="{ACB22B40-8D89-405A-9010-940FE10FC350}"/>
    <cellStyle name="20% - Accent3 2 3 2 2 6 2" xfId="7654" xr:uid="{B25A5B06-DB55-435F-AD46-E8E8BB22395B}"/>
    <cellStyle name="20% - Accent3 2 3 2 2 7" xfId="5601" xr:uid="{B860A698-7EA4-4FE7-9E87-3A9B3EDE58E1}"/>
    <cellStyle name="20% - Accent3 2 3 2 3" xfId="1019" xr:uid="{4EE8011B-36BF-49EB-A4B6-653089C45B8C}"/>
    <cellStyle name="20% - Accent3 2 3 2 3 2" xfId="1387" xr:uid="{56FADE47-2166-4A19-9118-D17CFBB00D08}"/>
    <cellStyle name="20% - Accent3 2 3 2 3 2 2" xfId="2367" xr:uid="{41BB7E2C-918A-4C96-8B01-1CC06B53922B}"/>
    <cellStyle name="20% - Accent3 2 3 2 3 2 2 2" xfId="5188" xr:uid="{407B53E8-23CA-4799-9B31-C90841F72C01}"/>
    <cellStyle name="20% - Accent3 2 3 2 3 2 2 2 2" xfId="9413" xr:uid="{C41F4232-49CE-461B-9C36-C60D5E042F7C}"/>
    <cellStyle name="20% - Accent3 2 3 2 3 2 2 3" xfId="6932" xr:uid="{BFF7586B-F94C-45F2-A952-598F605C7A91}"/>
    <cellStyle name="20% - Accent3 2 3 2 3 2 3" xfId="3680" xr:uid="{AD68EC27-F2F5-4B5D-9E96-11AA513A4B2D}"/>
    <cellStyle name="20% - Accent3 2 3 2 3 2 3 2" xfId="8147" xr:uid="{E18371DA-D7FD-4B12-9549-4B1301877D24}"/>
    <cellStyle name="20% - Accent3 2 3 2 3 2 4" xfId="5953" xr:uid="{AE0B9444-DE69-4169-A69C-2476417398C3}"/>
    <cellStyle name="20% - Accent3 2 3 2 3 3" xfId="1621" xr:uid="{3F98C486-1DEE-4489-89E0-74679A0971A7}"/>
    <cellStyle name="20% - Accent3 2 3 2 3 3 2" xfId="2601" xr:uid="{8247741F-F937-4BBD-92F9-5E840A6E7E61}"/>
    <cellStyle name="20% - Accent3 2 3 2 3 3 2 2" xfId="7166" xr:uid="{2CA326C8-956B-49DE-A34A-4FE0ED21BC55}"/>
    <cellStyle name="20% - Accent3 2 3 2 3 3 3" xfId="4086" xr:uid="{DFFB33C0-6841-49D3-BBC4-E04EDA793D24}"/>
    <cellStyle name="20% - Accent3 2 3 2 3 3 3 2" xfId="8535" xr:uid="{816950DD-BED9-40C7-B121-DA8913860CD9}"/>
    <cellStyle name="20% - Accent3 2 3 2 3 3 4" xfId="6187" xr:uid="{116033C6-186C-4722-A569-F5A5FAFAE9F1}"/>
    <cellStyle name="20% - Accent3 2 3 2 3 4" xfId="1855" xr:uid="{83E435DE-2DEE-4303-B0CC-75F53CC9DDE9}"/>
    <cellStyle name="20% - Accent3 2 3 2 3 4 2" xfId="2834" xr:uid="{50678DF0-E5A4-4007-BC64-1A6CB3642739}"/>
    <cellStyle name="20% - Accent3 2 3 2 3 4 2 2" xfId="7399" xr:uid="{8044BF14-6763-44CC-B12A-3E6778607865}"/>
    <cellStyle name="20% - Accent3 2 3 2 3 4 3" xfId="4566" xr:uid="{BB4F5F1B-BABB-4D2A-8947-605A8B14D6FE}"/>
    <cellStyle name="20% - Accent3 2 3 2 3 4 3 2" xfId="8821" xr:uid="{FF1F76A1-E447-4197-B6A2-FE879732458D}"/>
    <cellStyle name="20% - Accent3 2 3 2 3 4 4" xfId="6420" xr:uid="{8901F666-3D51-4427-9E50-F5F926FC8650}"/>
    <cellStyle name="20% - Accent3 2 3 2 3 5" xfId="2092" xr:uid="{05EFFEFD-CED2-4ABC-BF24-B4CF08AF3304}"/>
    <cellStyle name="20% - Accent3 2 3 2 3 5 2" xfId="6657" xr:uid="{BA4B2746-4D11-48A0-A402-8E42EC525667}"/>
    <cellStyle name="20% - Accent3 2 3 2 3 6" xfId="3266" xr:uid="{A234F67C-D77F-4AE4-971F-9196EAA50B54}"/>
    <cellStyle name="20% - Accent3 2 3 2 3 6 2" xfId="7759" xr:uid="{58FE2F08-1D8D-493C-BC6C-3959154C2BD6}"/>
    <cellStyle name="20% - Accent3 2 3 2 3 7" xfId="5678" xr:uid="{31F40E9A-074B-407C-95F9-3E62BBF28D9B}"/>
    <cellStyle name="20% - Accent3 2 3 2 4" xfId="1231" xr:uid="{81FAD23C-7620-41C9-BB61-3D8592EA8635}"/>
    <cellStyle name="20% - Accent3 2 3 2 4 2" xfId="2213" xr:uid="{98B03465-DD7F-4DC5-8517-65D9136B2C71}"/>
    <cellStyle name="20% - Accent3 2 3 2 4 2 2" xfId="4881" xr:uid="{C88D2D23-F878-4D7C-9F57-1F867AEF5895}"/>
    <cellStyle name="20% - Accent3 2 3 2 4 2 2 2" xfId="9114" xr:uid="{13E2AEBF-5E80-46DE-A734-4B159D00A6A7}"/>
    <cellStyle name="20% - Accent3 2 3 2 4 2 3" xfId="3470" xr:uid="{EA7A0535-6A6C-40AF-B15D-22CD40DC2729}"/>
    <cellStyle name="20% - Accent3 2 3 2 4 2 3 2" xfId="7937" xr:uid="{1921B003-9A5D-45F0-B073-56BA78D7F672}"/>
    <cellStyle name="20% - Accent3 2 3 2 4 2 4" xfId="6778" xr:uid="{B9C63549-3310-45EE-A1FB-415A09B0FC2A}"/>
    <cellStyle name="20% - Accent3 2 3 2 4 3" xfId="3876" xr:uid="{567FAE8B-1145-4D68-96CC-9EB5C78FA125}"/>
    <cellStyle name="20% - Accent3 2 3 2 4 3 2" xfId="8325" xr:uid="{0840B548-DC08-447F-AB6E-5804F6940070}"/>
    <cellStyle name="20% - Accent3 2 3 2 4 4" xfId="4506" xr:uid="{41EFB110-8D56-4520-938F-D5B0BEA5BE43}"/>
    <cellStyle name="20% - Accent3 2 3 2 4 4 2" xfId="8776" xr:uid="{764A9E8F-9791-42BA-8B33-01A814C74439}"/>
    <cellStyle name="20% - Accent3 2 3 2 4 5" xfId="3039" xr:uid="{90E217F1-7579-4363-B00F-BC96B9DD080F}"/>
    <cellStyle name="20% - Accent3 2 3 2 4 5 2" xfId="7549" xr:uid="{D7BF5064-2F2D-4ACD-9F59-EF489CBEF242}"/>
    <cellStyle name="20% - Accent3 2 3 2 4 6" xfId="5799" xr:uid="{2DFDA1ED-D68E-4382-8B9E-FC4CDCE84A46}"/>
    <cellStyle name="20% - Accent3 2 3 2 5" xfId="1467" xr:uid="{80245321-5C50-47EC-9551-DBE304260B83}"/>
    <cellStyle name="20% - Accent3 2 3 2 5 2" xfId="2447" xr:uid="{048D552C-3F3D-4CC1-9065-CBE914726685}"/>
    <cellStyle name="20% - Accent3 2 3 2 5 2 2" xfId="4931" xr:uid="{4417B959-1ED5-4B8F-886C-706463B91C1F}"/>
    <cellStyle name="20% - Accent3 2 3 2 5 2 2 2" xfId="9161" xr:uid="{DC67FDF5-A8C4-46E5-8230-921508A0BE80}"/>
    <cellStyle name="20% - Accent3 2 3 2 5 2 3" xfId="7012" xr:uid="{5AB03C71-359E-43E7-9083-AB5245569CA5}"/>
    <cellStyle name="20% - Accent3 2 3 2 5 3" xfId="3396" xr:uid="{EF48DE34-47AE-4A63-A303-3E4C2830B6A6}"/>
    <cellStyle name="20% - Accent3 2 3 2 5 3 2" xfId="7864" xr:uid="{71763CBD-B2F0-4AAA-AB52-76F56F3DC074}"/>
    <cellStyle name="20% - Accent3 2 3 2 5 4" xfId="6033" xr:uid="{35EB426C-B9F6-43E6-9626-12A7F598A983}"/>
    <cellStyle name="20% - Accent3 2 3 2 6" xfId="1674" xr:uid="{347238FD-2C72-4692-89B5-750CA1D10EF1}"/>
    <cellStyle name="20% - Accent3 2 3 2 6 2" xfId="2654" xr:uid="{E9B6F9FA-E088-4973-A1A3-2D6C25CA4F80}"/>
    <cellStyle name="20% - Accent3 2 3 2 6 2 2" xfId="7219" xr:uid="{D11FE0AD-8C36-451D-B4F3-6EE16477EE84}"/>
    <cellStyle name="20% - Accent3 2 3 2 6 3" xfId="3803" xr:uid="{328C9074-924E-4F54-9765-21518502E4BE}"/>
    <cellStyle name="20% - Accent3 2 3 2 6 3 2" xfId="8252" xr:uid="{9EF3DD33-279F-4AED-BFA1-EC7077677ACE}"/>
    <cellStyle name="20% - Accent3 2 3 2 6 4" xfId="6240" xr:uid="{E8F14A39-5E1C-4A7F-9530-D461FDA45363}"/>
    <cellStyle name="20% - Accent3 2 3 2 7" xfId="1938" xr:uid="{DBBE3B2E-33DB-41FF-AEB6-7D7BE4425992}"/>
    <cellStyle name="20% - Accent3 2 3 2 7 2" xfId="4284" xr:uid="{B2E3B106-C242-4886-B858-3AB0E60D4A3E}"/>
    <cellStyle name="20% - Accent3 2 3 2 7 2 2" xfId="8637" xr:uid="{8BD000CB-87CB-407A-B0F1-6E227C48E70D}"/>
    <cellStyle name="20% - Accent3 2 3 2 7 3" xfId="6503" xr:uid="{F26AC481-C40D-4819-BBA0-71B422156E68}"/>
    <cellStyle name="20% - Accent3 2 3 2 8" xfId="2914" xr:uid="{B8987228-FBED-4748-8348-CC951688F0D0}"/>
    <cellStyle name="20% - Accent3 2 3 2 8 2" xfId="7476" xr:uid="{38DAAAFF-EC82-4BE0-92CC-081850B4809F}"/>
    <cellStyle name="20% - Accent3 2 3 2 9" xfId="5524" xr:uid="{78000C73-488E-43DC-B799-F1A6104DF534}"/>
    <cellStyle name="20% - Accent3 2 3 3" xfId="866" xr:uid="{960BD2E1-F953-449F-9D09-8D4048AE5412}"/>
    <cellStyle name="20% - Accent3 2 3 3 2" xfId="1266" xr:uid="{6325DCC7-C263-4206-A17F-229B1A6DE239}"/>
    <cellStyle name="20% - Accent3 2 3 3 2 2" xfId="2248" xr:uid="{941311C3-869C-4A97-91BB-71423F88AA7B}"/>
    <cellStyle name="20% - Accent3 2 3 3 2 2 2" xfId="5117" xr:uid="{A27B9C38-B223-46F7-BEF9-09B04EACEBCA}"/>
    <cellStyle name="20% - Accent3 2 3 3 2 2 2 2" xfId="9342" xr:uid="{32E9B08D-79F2-438F-8381-F5E14072A26D}"/>
    <cellStyle name="20% - Accent3 2 3 3 2 2 3" xfId="3609" xr:uid="{1C7D1B84-4FF2-4458-B840-C848C0574F45}"/>
    <cellStyle name="20% - Accent3 2 3 3 2 2 3 2" xfId="8076" xr:uid="{45CA9B0E-313B-4B38-96CF-95AEA1A96C91}"/>
    <cellStyle name="20% - Accent3 2 3 3 2 2 4" xfId="6813" xr:uid="{C54E8F2C-D41F-41B4-B590-C24B2FF43A30}"/>
    <cellStyle name="20% - Accent3 2 3 3 2 3" xfId="4015" xr:uid="{AE0358A6-648C-417F-AD31-F725400CCE8C}"/>
    <cellStyle name="20% - Accent3 2 3 3 2 3 2" xfId="8464" xr:uid="{0F33FDBD-D182-4790-ABCD-C9328B6CBF90}"/>
    <cellStyle name="20% - Accent3 2 3 3 2 4" xfId="4733" xr:uid="{24F9C8B2-5857-4D6A-8321-A6E1EA165ECB}"/>
    <cellStyle name="20% - Accent3 2 3 3 2 4 2" xfId="8979" xr:uid="{0B3D0493-ADF0-4F0B-A2A3-390BA8B60CA2}"/>
    <cellStyle name="20% - Accent3 2 3 3 2 5" xfId="3193" xr:uid="{FB5BC871-E93D-46BE-B0D9-4190AC2F1B7C}"/>
    <cellStyle name="20% - Accent3 2 3 3 2 5 2" xfId="7688" xr:uid="{C560060B-EB6A-4F1B-82EE-4577A335A114}"/>
    <cellStyle name="20% - Accent3 2 3 3 2 6" xfId="5834" xr:uid="{A748F08D-F1B6-4360-83A1-CD4257C4CE6C}"/>
    <cellStyle name="20% - Accent3 2 3 3 3" xfId="1502" xr:uid="{7E198F03-BA23-4987-A2A6-13384C297D99}"/>
    <cellStyle name="20% - Accent3 2 3 3 3 2" xfId="2482" xr:uid="{2D398498-3960-44C2-996B-718DDF9A1B75}"/>
    <cellStyle name="20% - Accent3 2 3 3 3 2 2" xfId="5222" xr:uid="{DAC6A047-7157-4A67-8293-2EC7E2262FB7}"/>
    <cellStyle name="20% - Accent3 2 3 3 3 2 2 2" xfId="9447" xr:uid="{4456DBD8-2A7A-444F-BE65-63AE08B06B7D}"/>
    <cellStyle name="20% - Accent3 2 3 3 3 2 3" xfId="3714" xr:uid="{D431CC74-2E47-42CD-BEEC-DC6FE910B93D}"/>
    <cellStyle name="20% - Accent3 2 3 3 3 2 3 2" xfId="8181" xr:uid="{5C797B16-75C6-4A1D-AE0C-E04135E5F412}"/>
    <cellStyle name="20% - Accent3 2 3 3 3 2 4" xfId="7047" xr:uid="{E1A2B815-ADDF-40EF-B3E2-3BA4C6C2D409}"/>
    <cellStyle name="20% - Accent3 2 3 3 3 3" xfId="4120" xr:uid="{66C307EA-4A30-4D44-9057-FE085E7B3BB2}"/>
    <cellStyle name="20% - Accent3 2 3 3 3 3 2" xfId="8569" xr:uid="{8DBA9B4E-45FC-43B0-ABB5-D9886AE36BB2}"/>
    <cellStyle name="20% - Accent3 2 3 3 3 4" xfId="4811" xr:uid="{7994D66F-A159-4131-AFD6-70ADBB85F321}"/>
    <cellStyle name="20% - Accent3 2 3 3 3 4 2" xfId="9057" xr:uid="{A7B8B51E-8ACE-4679-B47B-281FAFA8EAAE}"/>
    <cellStyle name="20% - Accent3 2 3 3 3 5" xfId="3304" xr:uid="{AEA1E367-34BB-4030-A3AD-038A28203EC5}"/>
    <cellStyle name="20% - Accent3 2 3 3 3 5 2" xfId="7793" xr:uid="{FC3B01CC-3A49-4154-A479-385AD3E06BC2}"/>
    <cellStyle name="20% - Accent3 2 3 3 3 6" xfId="6068" xr:uid="{648478A7-7FBD-467C-910B-EAC73606F306}"/>
    <cellStyle name="20% - Accent3 2 3 3 4" xfId="1736" xr:uid="{14973175-309D-4FA5-9B67-3D6761E3101E}"/>
    <cellStyle name="20% - Accent3 2 3 3 4 2" xfId="2715" xr:uid="{D8437E32-9493-433D-9BDD-E37C4B54C4C7}"/>
    <cellStyle name="20% - Accent3 2 3 3 4 2 2" xfId="4655" xr:uid="{599EB9F3-D77E-46A3-9937-F9B3A0A38766}"/>
    <cellStyle name="20% - Accent3 2 3 3 4 2 2 2" xfId="8901" xr:uid="{C3FD9473-F84D-4DEE-96FF-A3AB5089BD3D}"/>
    <cellStyle name="20% - Accent3 2 3 3 4 2 3" xfId="7280" xr:uid="{37067583-6122-40EA-86B1-0F75D3540FF8}"/>
    <cellStyle name="20% - Accent3 2 3 3 4 3" xfId="3504" xr:uid="{56D48CFA-C194-4C3D-8D45-5B1795EFBCA5}"/>
    <cellStyle name="20% - Accent3 2 3 3 4 3 2" xfId="7971" xr:uid="{1E438E13-B2B5-4A1E-A6B2-55DAA062C116}"/>
    <cellStyle name="20% - Accent3 2 3 3 4 4" xfId="6301" xr:uid="{FCCDB6E1-3A5B-412C-903E-6FE93D7B6FE8}"/>
    <cellStyle name="20% - Accent3 2 3 3 5" xfId="1973" xr:uid="{CDAE35CE-FDC0-4758-884B-262AF4E2B024}"/>
    <cellStyle name="20% - Accent3 2 3 3 5 2" xfId="5015" xr:uid="{111A72DF-184C-4E32-A29B-2CE0334F44CA}"/>
    <cellStyle name="20% - Accent3 2 3 3 5 2 2" xfId="9241" xr:uid="{AEFB202D-C265-48CD-BAC9-9D79180603C8}"/>
    <cellStyle name="20% - Accent3 2 3 3 5 3" xfId="3910" xr:uid="{65C38B55-CD26-4F31-934D-852FC4020DE4}"/>
    <cellStyle name="20% - Accent3 2 3 3 5 3 2" xfId="8359" xr:uid="{8C517582-0808-4594-AFB4-2E48C28E4133}"/>
    <cellStyle name="20% - Accent3 2 3 3 5 4" xfId="6538" xr:uid="{0DB5A25D-6DB0-44CA-81C4-CFA1620762B1}"/>
    <cellStyle name="20% - Accent3 2 3 3 6" xfId="4404" xr:uid="{021082DC-147A-4818-B821-D6957C9BA6CF}"/>
    <cellStyle name="20% - Accent3 2 3 3 6 2" xfId="8681" xr:uid="{55FA5641-534E-492E-99A6-A7E0866A7E87}"/>
    <cellStyle name="20% - Accent3 2 3 3 7" xfId="3077" xr:uid="{6747A93D-1A01-48FC-A520-EAC8BB7E2CA0}"/>
    <cellStyle name="20% - Accent3 2 3 3 7 2" xfId="7583" xr:uid="{4DFB2AD9-E267-480A-B693-900CB40948A8}"/>
    <cellStyle name="20% - Accent3 2 3 3 8" xfId="5559" xr:uid="{AF2E2DA5-3954-4107-B32E-44EB9469399F}"/>
    <cellStyle name="20% - Accent3 2 3 4" xfId="977" xr:uid="{EC205827-EB18-49E8-9C9D-2F57D38975FF}"/>
    <cellStyle name="20% - Accent3 2 3 4 2" xfId="1345" xr:uid="{687F9F54-6419-4FB2-9172-18DA148514FC}"/>
    <cellStyle name="20% - Accent3 2 3 4 2 2" xfId="2325" xr:uid="{F6197C41-CA34-443E-9C6E-73B7526C93C5}"/>
    <cellStyle name="20% - Accent3 2 3 4 2 2 2" xfId="5048" xr:uid="{A92E65A8-F57D-4657-BB0B-356BAD6630CF}"/>
    <cellStyle name="20% - Accent3 2 3 4 2 2 2 2" xfId="9274" xr:uid="{136E9A60-8A3A-41BA-B911-32592CFEC6BE}"/>
    <cellStyle name="20% - Accent3 2 3 4 2 2 3" xfId="6890" xr:uid="{AF62518D-3330-4501-8418-4F26FE5875B1}"/>
    <cellStyle name="20% - Accent3 2 3 4 2 3" xfId="3540" xr:uid="{43695FE0-1679-4129-ABA6-28190F3D1794}"/>
    <cellStyle name="20% - Accent3 2 3 4 2 3 2" xfId="8007" xr:uid="{35A325F2-35CB-496D-84CB-CED8BD5C0153}"/>
    <cellStyle name="20% - Accent3 2 3 4 2 4" xfId="5911" xr:uid="{3BA55BF3-330E-4BEF-81C9-16F5F3BDC204}"/>
    <cellStyle name="20% - Accent3 2 3 4 3" xfId="1579" xr:uid="{01836CF8-28E4-491D-8E1F-EB6EC9354105}"/>
    <cellStyle name="20% - Accent3 2 3 4 3 2" xfId="2559" xr:uid="{428642B2-F3E6-4730-A38E-E7B9E5E42046}"/>
    <cellStyle name="20% - Accent3 2 3 4 3 2 2" xfId="7124" xr:uid="{E5D6AD93-0189-46DA-8384-5621F8CDB8A6}"/>
    <cellStyle name="20% - Accent3 2 3 4 3 3" xfId="3946" xr:uid="{A8E117A5-84FD-4895-B926-AE769A34974E}"/>
    <cellStyle name="20% - Accent3 2 3 4 3 3 2" xfId="8395" xr:uid="{5BFC09C5-9C93-42A9-BF7E-D3DDAB6368DE}"/>
    <cellStyle name="20% - Accent3 2 3 4 3 4" xfId="6145" xr:uid="{AE3A8975-D3B0-4373-B646-0D1C6A788983}"/>
    <cellStyle name="20% - Accent3 2 3 4 4" xfId="1813" xr:uid="{40642C41-7E69-4A12-B737-3D4D0BA9F355}"/>
    <cellStyle name="20% - Accent3 2 3 4 4 2" xfId="2792" xr:uid="{C16AC250-EF22-4ED1-862C-A3247EBC76AB}"/>
    <cellStyle name="20% - Accent3 2 3 4 4 2 2" xfId="7357" xr:uid="{18C62D6D-DDCA-4383-AA57-1990F64DDAB2}"/>
    <cellStyle name="20% - Accent3 2 3 4 4 3" xfId="4478" xr:uid="{B5933021-6747-47F4-938D-3CC11F2677BC}"/>
    <cellStyle name="20% - Accent3 2 3 4 4 3 2" xfId="8755" xr:uid="{04D63CBC-D442-428F-8E45-31952F8A084F}"/>
    <cellStyle name="20% - Accent3 2 3 4 4 4" xfId="6378" xr:uid="{40E934F8-2BEB-4B50-8349-D08F8BC8E669}"/>
    <cellStyle name="20% - Accent3 2 3 4 5" xfId="2050" xr:uid="{06BC9B11-B7BD-4894-B25B-7D216D52BEC9}"/>
    <cellStyle name="20% - Accent3 2 3 4 5 2" xfId="6615" xr:uid="{BFD943EE-1498-425A-9420-C1A2E668AF20}"/>
    <cellStyle name="20% - Accent3 2 3 4 6" xfId="3124" xr:uid="{8DA22413-C971-4190-9510-D1C75544CE36}"/>
    <cellStyle name="20% - Accent3 2 3 4 6 2" xfId="7619" xr:uid="{87457FB4-3EE1-4A0E-AB39-F2FC015AE815}"/>
    <cellStyle name="20% - Accent3 2 3 4 7" xfId="5636" xr:uid="{C63A67D6-D70A-4328-9CF2-00F04107F562}"/>
    <cellStyle name="20% - Accent3 2 3 5" xfId="1058" xr:uid="{764424D1-01D3-4A31-AAAB-46DA03756CE5}"/>
    <cellStyle name="20% - Accent3 2 3 5 2" xfId="2127" xr:uid="{76E888E1-0165-4D71-B48A-65D0A4E4AAD8}"/>
    <cellStyle name="20% - Accent3 2 3 5 2 2" xfId="5153" xr:uid="{B5015993-90E7-47B3-BA9A-C3A0AD0BE2C1}"/>
    <cellStyle name="20% - Accent3 2 3 5 2 2 2" xfId="9378" xr:uid="{A132B343-3CAB-466F-8A42-B725AAE02675}"/>
    <cellStyle name="20% - Accent3 2 3 5 2 3" xfId="3645" xr:uid="{F0DD43F9-0281-4E85-ACE1-304F114A0D62}"/>
    <cellStyle name="20% - Accent3 2 3 5 2 3 2" xfId="8112" xr:uid="{262E3EAF-593D-49B1-ABF4-5E019A24E14D}"/>
    <cellStyle name="20% - Accent3 2 3 5 2 4" xfId="6692" xr:uid="{7C4D0FE1-B17F-4B85-B6BB-63ED9DA7D05C}"/>
    <cellStyle name="20% - Accent3 2 3 5 3" xfId="4051" xr:uid="{695E2107-5653-4E20-B0F0-C36B48808A6E}"/>
    <cellStyle name="20% - Accent3 2 3 5 3 2" xfId="8500" xr:uid="{41B22448-C8B5-4E04-BA43-8322D697B17D}"/>
    <cellStyle name="20% - Accent3 2 3 5 4" xfId="4769" xr:uid="{F1552F93-30ED-47D5-88E1-061A28FC0130}"/>
    <cellStyle name="20% - Accent3 2 3 5 4 2" xfId="9015" xr:uid="{6E2DAA4D-9A6B-418D-BAB9-38528E4017F7}"/>
    <cellStyle name="20% - Accent3 2 3 5 5" xfId="3229" xr:uid="{51F82EBD-F611-4AFC-99EC-FEDE24292ED7}"/>
    <cellStyle name="20% - Accent3 2 3 5 5 2" xfId="7724" xr:uid="{B142BED4-6984-4065-AC14-78EAB1EC6C1F}"/>
    <cellStyle name="20% - Accent3 2 3 5 6" xfId="5713" xr:uid="{72D5E68F-0133-4439-8DE7-AB393316E588}"/>
    <cellStyle name="20% - Accent3 2 3 6" xfId="1185" xr:uid="{361E3D90-D8EF-4814-BE08-512C336C7207}"/>
    <cellStyle name="20% - Accent3 2 3 6 2" xfId="2171" xr:uid="{9B6222D2-4460-402F-8CB0-7DABAFB98BD3}"/>
    <cellStyle name="20% - Accent3 2 3 6 2 2" xfId="4964" xr:uid="{2B97BEA7-B8E2-4C2C-B9DC-11C00CEA0972}"/>
    <cellStyle name="20% - Accent3 2 3 6 2 2 2" xfId="9194" xr:uid="{C517EF47-B38F-43D8-A22B-8CE774B31EF2}"/>
    <cellStyle name="20% - Accent3 2 3 6 2 3" xfId="3434" xr:uid="{30CADD35-17FC-4097-BE7D-3EE7A2A0EE7F}"/>
    <cellStyle name="20% - Accent3 2 3 6 2 3 2" xfId="7902" xr:uid="{B1BFBD56-8DEC-46FD-96B6-0CB444368EF6}"/>
    <cellStyle name="20% - Accent3 2 3 6 2 4" xfId="6736" xr:uid="{F5A52CD1-B8CF-4CAE-B875-1DF84938CCF1}"/>
    <cellStyle name="20% - Accent3 2 3 6 3" xfId="3841" xr:uid="{4B43D426-4E8A-4D42-972C-76651E8F81F2}"/>
    <cellStyle name="20% - Accent3 2 3 6 3 2" xfId="8290" xr:uid="{1A5AE68F-1523-44FD-AFED-300F30234960}"/>
    <cellStyle name="20% - Accent3 2 3 6 4" xfId="4542" xr:uid="{1A7494C7-D281-402F-9F6E-BBC9F0845E39}"/>
    <cellStyle name="20% - Accent3 2 3 6 4 2" xfId="8801" xr:uid="{1880C961-75F1-4306-A5BB-287EF10E9BB7}"/>
    <cellStyle name="20% - Accent3 2 3 6 5" xfId="2973" xr:uid="{FB0228CA-F5E1-416A-9831-606EB43D425A}"/>
    <cellStyle name="20% - Accent3 2 3 6 5 2" xfId="7514" xr:uid="{859039EE-3250-47B5-AF00-8EAC85C1876B}"/>
    <cellStyle name="20% - Accent3 2 3 6 6" xfId="5757" xr:uid="{1D8568D2-D875-454B-9A2A-424DD8BF4DD1}"/>
    <cellStyle name="20% - Accent3 2 3 7" xfId="1425" xr:uid="{FBE376D7-923D-427A-8AE3-479DE4E60200}"/>
    <cellStyle name="20% - Accent3 2 3 7 2" xfId="2405" xr:uid="{A82DA5E7-109C-45D1-A3D3-C591C4208C41}"/>
    <cellStyle name="20% - Accent3 2 3 7 2 2" xfId="4860" xr:uid="{9B7D6B20-7ACD-44B7-9265-DC42A305A667}"/>
    <cellStyle name="20% - Accent3 2 3 7 2 2 2" xfId="9095" xr:uid="{EA12914A-2DC7-4A4C-B5CB-11398970D4CB}"/>
    <cellStyle name="20% - Accent3 2 3 7 2 3" xfId="6970" xr:uid="{0198230B-898E-4C49-B319-FF64423489C7}"/>
    <cellStyle name="20% - Accent3 2 3 7 3" xfId="3341" xr:uid="{35803436-3730-4427-915C-179FD32605A1}"/>
    <cellStyle name="20% - Accent3 2 3 7 3 2" xfId="7830" xr:uid="{4D12286E-6578-44BD-A99C-A3E6DF1ABC89}"/>
    <cellStyle name="20% - Accent3 2 3 7 4" xfId="5991" xr:uid="{A9230330-CB21-46B6-BDA2-C5DAA9B660CD}"/>
    <cellStyle name="20% - Accent3 2 3 8" xfId="1672" xr:uid="{3F2B5474-2538-4D62-B009-0AA2AAA23653}"/>
    <cellStyle name="20% - Accent3 2 3 8 2" xfId="2652" xr:uid="{987A421A-9910-4456-8D5E-741CB9FFF6D7}"/>
    <cellStyle name="20% - Accent3 2 3 8 2 2" xfId="7217" xr:uid="{94B70045-92B5-40F6-BA0E-CAA89BD10281}"/>
    <cellStyle name="20% - Accent3 2 3 8 3" xfId="3765" xr:uid="{25322CC1-F6F6-4321-A757-51917B0DB9C6}"/>
    <cellStyle name="20% - Accent3 2 3 8 3 2" xfId="8218" xr:uid="{401CC948-F31E-450F-84F2-7E55BD67D28B}"/>
    <cellStyle name="20% - Accent3 2 3 8 4" xfId="6238" xr:uid="{B9B53FAF-9326-4EF9-952B-AF1E9B2717B7}"/>
    <cellStyle name="20% - Accent3 2 3 9" xfId="1896" xr:uid="{352879A4-7760-4CCA-8A12-63E91FD32583}"/>
    <cellStyle name="20% - Accent3 2 3 9 2" xfId="4185" xr:uid="{92C2D7FF-8332-4113-94C2-F6D4E55DC447}"/>
    <cellStyle name="20% - Accent3 2 3 9 2 2" xfId="8609" xr:uid="{D9E32D9F-199B-4BB8-BDC7-31F7EE093F19}"/>
    <cellStyle name="20% - Accent3 2 3 9 3" xfId="6461" xr:uid="{3AC18712-565E-44B3-9D53-85A0D5170D61}"/>
    <cellStyle name="20% - Accent3 2 4" xfId="757" xr:uid="{859ABDE2-9EEA-4CD9-B91D-8D393DBA0450}"/>
    <cellStyle name="20% - Accent3 2 5" xfId="756" xr:uid="{21A69B4F-3322-4DB9-8D66-171B3D0E5617}"/>
    <cellStyle name="20% - Accent3 2 6" xfId="1059" xr:uid="{F8168DEE-EE3E-45A0-ACEC-30B835D43098}"/>
    <cellStyle name="20% - Accent3 3" xfId="44" xr:uid="{06A4B616-4738-40D4-A57C-FD38708415A0}"/>
    <cellStyle name="20% - Accent3 4" xfId="45" xr:uid="{2B1C8E23-A090-4BD3-9740-1AA4F493085C}"/>
    <cellStyle name="20% - Accent4 2" xfId="46" xr:uid="{6FB13D79-497C-47B5-AF48-962C7C45A359}"/>
    <cellStyle name="20% - Accent4 2 2" xfId="47" xr:uid="{F3160915-1EAA-415B-87FD-BD2154D7B2F5}"/>
    <cellStyle name="20% - Accent4 2 2 2" xfId="4316" xr:uid="{F1565D42-1664-4F91-A28B-F5E34C6B10D2}"/>
    <cellStyle name="20% - Accent4 2 2 3" xfId="4186" xr:uid="{CDD95011-2950-4CE2-85B8-AC52DF603688}"/>
    <cellStyle name="20% - Accent4 2 3" xfId="48" xr:uid="{848A28AC-99EA-4488-821F-4D5670DFA772}"/>
    <cellStyle name="20% - Accent4 2 3 10" xfId="2878" xr:uid="{D57FDCDC-D325-49AB-B204-AC9A7BB3FEEA}"/>
    <cellStyle name="20% - Accent4 2 3 10 2" xfId="7443" xr:uid="{ACCAD349-070A-4318-8BF1-268B673C590C}"/>
    <cellStyle name="20% - Accent4 2 3 11" xfId="5483" xr:uid="{CB7EF539-23CC-4513-B6DE-117CB0240134}"/>
    <cellStyle name="20% - Accent4 2 3 2" xfId="832" xr:uid="{F33DF13D-92C5-4EE4-8911-72DD3AF60BA1}"/>
    <cellStyle name="20% - Accent4 2 3 2 10" xfId="5525" xr:uid="{07E6641A-9316-4191-B033-9B4DAC7562FE}"/>
    <cellStyle name="20% - Accent4 2 3 2 2" xfId="938" xr:uid="{68C0D541-FD73-4904-A91F-96790C8DE446}"/>
    <cellStyle name="20% - Accent4 2 3 2 2 2" xfId="1311" xr:uid="{D50D9CA7-52B3-4671-9E74-554300BF48AF}"/>
    <cellStyle name="20% - Accent4 2 3 2 2 2 2" xfId="2291" xr:uid="{30F4688F-C83F-474A-B18A-7DAA2E295F99}"/>
    <cellStyle name="20% - Accent4 2 3 2 2 2 2 2" xfId="4701" xr:uid="{4D50DC72-CE6E-402F-BD84-13A963DFC17C}"/>
    <cellStyle name="20% - Accent4 2 3 2 2 2 2 2 2" xfId="8947" xr:uid="{DCB1B944-90FB-433F-B490-26B3369A0A6D}"/>
    <cellStyle name="20% - Accent4 2 3 2 2 2 2 3" xfId="6856" xr:uid="{74B492FB-57AA-433F-B3C1-B33929F9A395}"/>
    <cellStyle name="20% - Accent4 2 3 2 2 2 3" xfId="3576" xr:uid="{6EDD3BC7-293B-403D-9757-C9D2E2FF34A8}"/>
    <cellStyle name="20% - Accent4 2 3 2 2 2 3 2" xfId="8043" xr:uid="{96C97713-144A-4AF5-898D-82DAD59B79BD}"/>
    <cellStyle name="20% - Accent4 2 3 2 2 2 4" xfId="5877" xr:uid="{77CE8E74-374C-4B62-9F92-E20B2CC783B7}"/>
    <cellStyle name="20% - Accent4 2 3 2 2 3" xfId="1545" xr:uid="{3715FE5F-392F-469F-BC83-43A49984A10A}"/>
    <cellStyle name="20% - Accent4 2 3 2 2 3 2" xfId="2525" xr:uid="{B51363BD-59A4-424B-A489-A212D236158B}"/>
    <cellStyle name="20% - Accent4 2 3 2 2 3 2 2" xfId="5084" xr:uid="{598EB401-5572-4BD4-B4A2-BD9F35A4E66D}"/>
    <cellStyle name="20% - Accent4 2 3 2 2 3 2 2 2" xfId="9309" xr:uid="{3C517DEC-1804-44C4-8C50-59917B9566B6}"/>
    <cellStyle name="20% - Accent4 2 3 2 2 3 2 3" xfId="7090" xr:uid="{270ACE79-9CC8-4077-B2D5-C97A80935144}"/>
    <cellStyle name="20% - Accent4 2 3 2 2 3 3" xfId="3982" xr:uid="{4411E4A5-3950-4C94-B0AC-15AE3868DAEB}"/>
    <cellStyle name="20% - Accent4 2 3 2 2 3 3 2" xfId="8431" xr:uid="{7EE8DF43-2476-46E9-A1A7-E52ACD6BA07A}"/>
    <cellStyle name="20% - Accent4 2 3 2 2 3 4" xfId="6111" xr:uid="{73B538C2-A920-4C71-AFC3-1F4C5C01C364}"/>
    <cellStyle name="20% - Accent4 2 3 2 2 4" xfId="1779" xr:uid="{8B55967C-08DA-4D45-8979-94CEBAB7BBF7}"/>
    <cellStyle name="20% - Accent4 2 3 2 2 4 2" xfId="2758" xr:uid="{7EA7F8A0-05F0-4046-84E6-796B86830129}"/>
    <cellStyle name="20% - Accent4 2 3 2 2 4 2 2" xfId="7323" xr:uid="{08838D44-3917-432E-A29D-5EC5F055A6B5}"/>
    <cellStyle name="20% - Accent4 2 3 2 2 4 3" xfId="4433" xr:uid="{E5BF3037-9703-4F1E-9420-114AD49403BD}"/>
    <cellStyle name="20% - Accent4 2 3 2 2 4 3 2" xfId="8710" xr:uid="{6FBF7ADA-FD39-4B7F-8C45-0D49DE6CAD03}"/>
    <cellStyle name="20% - Accent4 2 3 2 2 4 4" xfId="5439" xr:uid="{ED19FEAF-669E-4F31-B612-23AC3185D072}"/>
    <cellStyle name="20% - Accent4 2 3 2 2 4 4 2" xfId="9615" xr:uid="{45353F3F-F165-45EF-83DA-F1BF00B9AFA7}"/>
    <cellStyle name="20% - Accent4 2 3 2 2 4 5" xfId="6344" xr:uid="{4D97D454-2C1C-4EF9-904C-CC8495A9032F}"/>
    <cellStyle name="20% - Accent4 2 3 2 2 5" xfId="2016" xr:uid="{0FEFD352-3429-40E9-AF49-EAFB980DA92E}"/>
    <cellStyle name="20% - Accent4 2 3 2 2 5 2" xfId="6581" xr:uid="{65F367D6-3A7A-4DBB-8B61-FFA448980BA6}"/>
    <cellStyle name="20% - Accent4 2 3 2 2 6" xfId="3160" xr:uid="{1B100F74-3B78-4615-9F49-C364A233A9DE}"/>
    <cellStyle name="20% - Accent4 2 3 2 2 6 2" xfId="7655" xr:uid="{F7FFDF06-3EF2-44AE-BF03-A8B38BB3707C}"/>
    <cellStyle name="20% - Accent4 2 3 2 2 7" xfId="5602" xr:uid="{C68F4CD6-57E3-4F56-8732-2EEAE8901DCD}"/>
    <cellStyle name="20% - Accent4 2 3 2 3" xfId="1020" xr:uid="{3FF12DCF-FDB3-4A15-A4C3-FA738332DBBD}"/>
    <cellStyle name="20% - Accent4 2 3 2 3 2" xfId="1388" xr:uid="{3749D4CB-C492-4B39-91D2-F0F60158B188}"/>
    <cellStyle name="20% - Accent4 2 3 2 3 2 2" xfId="2368" xr:uid="{D5FFFFD8-4DD7-413D-BC3A-B77630EDFB11}"/>
    <cellStyle name="20% - Accent4 2 3 2 3 2 2 2" xfId="4802" xr:uid="{C581FEBD-6B3A-46E0-99EF-DB45D033D593}"/>
    <cellStyle name="20% - Accent4 2 3 2 3 2 2 2 2" xfId="9048" xr:uid="{51837C7D-3B32-4109-AAE7-03981C138C28}"/>
    <cellStyle name="20% - Accent4 2 3 2 3 2 2 3" xfId="6933" xr:uid="{132B4373-EDDF-4B93-9F89-3CEC357EEA79}"/>
    <cellStyle name="20% - Accent4 2 3 2 3 2 3" xfId="3681" xr:uid="{68F9061E-4980-46BB-8409-8574E2CEC029}"/>
    <cellStyle name="20% - Accent4 2 3 2 3 2 3 2" xfId="8148" xr:uid="{AA344B45-8EBB-4999-89EE-2550DE66163D}"/>
    <cellStyle name="20% - Accent4 2 3 2 3 2 4" xfId="5954" xr:uid="{AE6F6447-7AC4-4767-BDCC-5008152D1C37}"/>
    <cellStyle name="20% - Accent4 2 3 2 3 3" xfId="1622" xr:uid="{33B4DC04-4936-4A1E-B2CD-12205A72EADC}"/>
    <cellStyle name="20% - Accent4 2 3 2 3 3 2" xfId="2602" xr:uid="{93C19484-D0F5-496A-BE79-3D509BCB61A3}"/>
    <cellStyle name="20% - Accent4 2 3 2 3 3 2 2" xfId="5189" xr:uid="{BC18ED4B-9B0D-4E1E-B172-D986A265F350}"/>
    <cellStyle name="20% - Accent4 2 3 2 3 3 2 2 2" xfId="9414" xr:uid="{E3E732B7-0383-44A2-9BE4-14F535174E5E}"/>
    <cellStyle name="20% - Accent4 2 3 2 3 3 2 3" xfId="7167" xr:uid="{6DFBD79C-5894-43B1-A242-1357084A72FB}"/>
    <cellStyle name="20% - Accent4 2 3 2 3 3 3" xfId="4087" xr:uid="{446FE4CE-F5C0-4A1B-8612-285DF78B17D3}"/>
    <cellStyle name="20% - Accent4 2 3 2 3 3 3 2" xfId="8536" xr:uid="{E1F1CD5B-0935-4B9E-8ECB-055E296098BF}"/>
    <cellStyle name="20% - Accent4 2 3 2 3 3 4" xfId="6188" xr:uid="{4DF99034-6881-4EC5-BD2D-88C19F75AB3D}"/>
    <cellStyle name="20% - Accent4 2 3 2 3 4" xfId="1856" xr:uid="{0CA78B39-8F7E-4019-A569-370C0C548BE1}"/>
    <cellStyle name="20% - Accent4 2 3 2 3 4 2" xfId="2835" xr:uid="{E1953153-61DF-4DA2-8627-21D50A48252A}"/>
    <cellStyle name="20% - Accent4 2 3 2 3 4 2 2" xfId="7400" xr:uid="{FEFA2313-81F9-41D9-863C-8679B1450224}"/>
    <cellStyle name="20% - Accent4 2 3 2 3 4 3" xfId="4567" xr:uid="{129B0D32-A7DF-4817-B02A-7C162D8D18B6}"/>
    <cellStyle name="20% - Accent4 2 3 2 3 4 3 2" xfId="8822" xr:uid="{E571E616-3824-4DFD-8228-424F296626AA}"/>
    <cellStyle name="20% - Accent4 2 3 2 3 4 4" xfId="5458" xr:uid="{103CB64C-ABD1-4B39-A8FB-3251CD821297}"/>
    <cellStyle name="20% - Accent4 2 3 2 3 4 4 2" xfId="9634" xr:uid="{96473090-06A6-468F-BC8C-0C072F94A74B}"/>
    <cellStyle name="20% - Accent4 2 3 2 3 4 5" xfId="6421" xr:uid="{07A41892-90B8-4CD9-ADF6-C03F6011504A}"/>
    <cellStyle name="20% - Accent4 2 3 2 3 5" xfId="2093" xr:uid="{0A78DA7F-9840-40C7-A6D2-054B0F07F031}"/>
    <cellStyle name="20% - Accent4 2 3 2 3 5 2" xfId="6658" xr:uid="{CB88E8D8-FD31-43C4-A7DE-B768EF6C0E9C}"/>
    <cellStyle name="20% - Accent4 2 3 2 3 6" xfId="3267" xr:uid="{A2D7F3FD-4E72-415A-91A1-5C7965971CB0}"/>
    <cellStyle name="20% - Accent4 2 3 2 3 6 2" xfId="7760" xr:uid="{DF811C25-8F91-4750-B308-4F5AFB892FA3}"/>
    <cellStyle name="20% - Accent4 2 3 2 3 7" xfId="5679" xr:uid="{665D9EC9-7623-4AE2-A12D-CCA58C223BDF}"/>
    <cellStyle name="20% - Accent4 2 3 2 4" xfId="1232" xr:uid="{5D6108A4-860E-4C17-B967-E36369F1466A}"/>
    <cellStyle name="20% - Accent4 2 3 2 4 2" xfId="2214" xr:uid="{A35FE170-3386-415F-907B-8458F26E281B}"/>
    <cellStyle name="20% - Accent4 2 3 2 4 2 2" xfId="4924" xr:uid="{F6B2EB3D-69C6-48CF-8077-F3A3842CD906}"/>
    <cellStyle name="20% - Accent4 2 3 2 4 2 2 2" xfId="9154" xr:uid="{B85FC4D7-D3BE-44EE-95C6-32C203867988}"/>
    <cellStyle name="20% - Accent4 2 3 2 4 2 3" xfId="3471" xr:uid="{94C839DB-F0D5-4EFF-A8A5-1020A3DCFCFB}"/>
    <cellStyle name="20% - Accent4 2 3 2 4 2 3 2" xfId="7938" xr:uid="{133C5F12-4F69-4460-BAB3-03631FDB906D}"/>
    <cellStyle name="20% - Accent4 2 3 2 4 2 4" xfId="6779" xr:uid="{8CC0FA17-F549-4735-877C-5126ADE0BE32}"/>
    <cellStyle name="20% - Accent4 2 3 2 4 3" xfId="3877" xr:uid="{D881B5D2-116C-44BD-B201-294E19405958}"/>
    <cellStyle name="20% - Accent4 2 3 2 4 3 2" xfId="8326" xr:uid="{CF2ED263-AEA3-49E2-92B7-2D9A312C34E6}"/>
    <cellStyle name="20% - Accent4 2 3 2 4 4" xfId="4555" xr:uid="{9407F6D8-5554-4092-A120-48721F3C1EDF}"/>
    <cellStyle name="20% - Accent4 2 3 2 4 4 2" xfId="8811" xr:uid="{EBB1804F-9F2F-422A-8479-F61DA0EA0BD1}"/>
    <cellStyle name="20% - Accent4 2 3 2 4 5" xfId="3040" xr:uid="{96725764-6001-4AE3-9595-CAE53273B35A}"/>
    <cellStyle name="20% - Accent4 2 3 2 4 5 2" xfId="7550" xr:uid="{BDDC5CA6-E0B8-43EA-B15E-FDBFC47F0934}"/>
    <cellStyle name="20% - Accent4 2 3 2 4 6" xfId="5800" xr:uid="{FE2ADAB0-5F46-4BB1-93A4-D4040FB4E317}"/>
    <cellStyle name="20% - Accent4 2 3 2 5" xfId="1468" xr:uid="{2B95FE85-C22F-4CBE-8535-5D24B8A9804D}"/>
    <cellStyle name="20% - Accent4 2 3 2 5 2" xfId="2448" xr:uid="{1A165321-FFA5-4535-843D-C1C22471DECB}"/>
    <cellStyle name="20% - Accent4 2 3 2 5 2 2" xfId="4596" xr:uid="{1DAD294A-F820-4DF0-B58A-C85E2DB58C69}"/>
    <cellStyle name="20% - Accent4 2 3 2 5 2 2 2" xfId="8849" xr:uid="{C0B5F0A6-D35C-4225-AEFE-339E7D962B60}"/>
    <cellStyle name="20% - Accent4 2 3 2 5 2 3" xfId="7013" xr:uid="{C243ACC0-CB70-4EB1-9AD0-F8DEE2C6A245}"/>
    <cellStyle name="20% - Accent4 2 3 2 5 3" xfId="3397" xr:uid="{7B1E4B27-C74C-47C1-8004-4BA364B86F43}"/>
    <cellStyle name="20% - Accent4 2 3 2 5 3 2" xfId="7865" xr:uid="{A71E5A9E-B41C-49BD-B4A0-1BDE55EBDBE9}"/>
    <cellStyle name="20% - Accent4 2 3 2 5 4" xfId="6034" xr:uid="{C526ED43-36B8-4CA6-8AB6-426CD2E6160B}"/>
    <cellStyle name="20% - Accent4 2 3 2 6" xfId="1673" xr:uid="{43452BFC-0C1D-42D1-B373-38EFAD08950C}"/>
    <cellStyle name="20% - Accent4 2 3 2 6 2" xfId="2653" xr:uid="{8D20C8B9-6AAE-4F25-AB09-53E41FB72A8D}"/>
    <cellStyle name="20% - Accent4 2 3 2 6 2 2" xfId="4932" xr:uid="{7FFA9606-D44E-4F53-9FB0-6509884DB4A2}"/>
    <cellStyle name="20% - Accent4 2 3 2 6 2 2 2" xfId="9162" xr:uid="{C85E7D94-8752-41CC-9566-6E9B2991D255}"/>
    <cellStyle name="20% - Accent4 2 3 2 6 2 3" xfId="7218" xr:uid="{05E3580A-D48A-4934-B203-81E364763627}"/>
    <cellStyle name="20% - Accent4 2 3 2 6 3" xfId="3804" xr:uid="{4CF08DDF-B29B-4970-BC99-54431D33F1F2}"/>
    <cellStyle name="20% - Accent4 2 3 2 6 3 2" xfId="8253" xr:uid="{5133A573-2651-4151-B912-ADD97EDD968B}"/>
    <cellStyle name="20% - Accent4 2 3 2 6 4" xfId="6239" xr:uid="{FFCD550F-2A7C-435A-BDA4-E6D7BFB0D95F}"/>
    <cellStyle name="20% - Accent4 2 3 2 7" xfId="1939" xr:uid="{F288C91B-136F-4F0F-BF87-D2BFDD90E15D}"/>
    <cellStyle name="20% - Accent4 2 3 2 7 2" xfId="4854" xr:uid="{08652B25-31EB-42A0-A6E7-E2294E3863F5}"/>
    <cellStyle name="20% - Accent4 2 3 2 7 2 2" xfId="9089" xr:uid="{459AC13C-2EF5-4A84-B118-B2197D432A0B}"/>
    <cellStyle name="20% - Accent4 2 3 2 7 3" xfId="6504" xr:uid="{414FF2F0-2FCA-4FBB-84A0-73043C0B1B41}"/>
    <cellStyle name="20% - Accent4 2 3 2 8" xfId="4285" xr:uid="{235D460C-4C08-408E-8BFF-F0F40A48D7AC}"/>
    <cellStyle name="20% - Accent4 2 3 2 8 2" xfId="8638" xr:uid="{DC162922-1C0B-443C-A304-434866ED4EFA}"/>
    <cellStyle name="20% - Accent4 2 3 2 9" xfId="2915" xr:uid="{E72F2B59-33F5-4C6C-9805-3A2F55B7C8C1}"/>
    <cellStyle name="20% - Accent4 2 3 2 9 2" xfId="7477" xr:uid="{AB365810-0E88-4D4D-A2B2-1BFA2092B42D}"/>
    <cellStyle name="20% - Accent4 2 3 3" xfId="867" xr:uid="{841814F3-97FE-4524-8F16-4BC2858C558B}"/>
    <cellStyle name="20% - Accent4 2 3 3 2" xfId="1267" xr:uid="{9A82640D-E72A-4E04-B32C-92E6D2455BC8}"/>
    <cellStyle name="20% - Accent4 2 3 3 2 2" xfId="2249" xr:uid="{2ED90990-85AA-4488-8895-15FFF58F19DB}"/>
    <cellStyle name="20% - Accent4 2 3 3 2 2 2" xfId="4734" xr:uid="{DDDC7DC9-D400-4072-8883-0AC7E1EE7E4D}"/>
    <cellStyle name="20% - Accent4 2 3 3 2 2 2 2" xfId="8980" xr:uid="{062C1C2A-9DE2-4A8B-842A-6AEA18F76915}"/>
    <cellStyle name="20% - Accent4 2 3 3 2 2 3" xfId="3610" xr:uid="{9923DED6-AE76-489B-8347-E139FC39AD8F}"/>
    <cellStyle name="20% - Accent4 2 3 3 2 2 3 2" xfId="8077" xr:uid="{D33B1F45-27B1-46EA-9B2D-6E29B5F03286}"/>
    <cellStyle name="20% - Accent4 2 3 3 2 2 4" xfId="6814" xr:uid="{47175F62-88F0-49F1-A373-A68241630571}"/>
    <cellStyle name="20% - Accent4 2 3 3 2 3" xfId="4016" xr:uid="{B490D6C7-3147-46C4-A42B-CC0210E77890}"/>
    <cellStyle name="20% - Accent4 2 3 3 2 3 2" xfId="5118" xr:uid="{B3A48855-36A3-4F29-BB46-728F1E66690E}"/>
    <cellStyle name="20% - Accent4 2 3 3 2 3 2 2" xfId="9343" xr:uid="{AD6CBB3B-6663-48DD-944F-C40562E8B384}"/>
    <cellStyle name="20% - Accent4 2 3 3 2 3 3" xfId="8465" xr:uid="{46EEFA92-A9FC-47BD-8B13-925D945EE764}"/>
    <cellStyle name="20% - Accent4 2 3 3 2 4" xfId="4458" xr:uid="{B021B19C-2A10-4E87-BDAB-9CE849270C6E}"/>
    <cellStyle name="20% - Accent4 2 3 3 2 4 2" xfId="8735" xr:uid="{326D7304-5138-4351-BFCF-B357AFF97082}"/>
    <cellStyle name="20% - Accent4 2 3 3 2 5" xfId="3194" xr:uid="{A916E673-C115-4EBB-9762-1F51A5205A8A}"/>
    <cellStyle name="20% - Accent4 2 3 3 2 5 2" xfId="7689" xr:uid="{FC567896-44D6-43CC-918C-7535CF6B9121}"/>
    <cellStyle name="20% - Accent4 2 3 3 2 6" xfId="5835" xr:uid="{318C9377-D272-41B2-9DE1-995CC70A2EAF}"/>
    <cellStyle name="20% - Accent4 2 3 3 3" xfId="1503" xr:uid="{E7D5D1D9-3332-4717-84E3-C948ABAF1274}"/>
    <cellStyle name="20% - Accent4 2 3 3 3 2" xfId="2483" xr:uid="{17EFB5B3-4BA2-4FA8-AC6B-6F8D6312807B}"/>
    <cellStyle name="20% - Accent4 2 3 3 3 2 2" xfId="5223" xr:uid="{735D2652-0E70-4B15-A3A2-FB07F40543B5}"/>
    <cellStyle name="20% - Accent4 2 3 3 3 2 2 2" xfId="9448" xr:uid="{8ACC11B4-3995-409E-B825-1A68225B2822}"/>
    <cellStyle name="20% - Accent4 2 3 3 3 2 3" xfId="3715" xr:uid="{B7190D7A-ACBC-41F7-9777-67B324273381}"/>
    <cellStyle name="20% - Accent4 2 3 3 3 2 3 2" xfId="8182" xr:uid="{920309F0-6952-42E3-929B-024927E8E9E4}"/>
    <cellStyle name="20% - Accent4 2 3 3 3 2 4" xfId="7048" xr:uid="{2B1AB548-C5DE-4600-A617-09469DF9E0DF}"/>
    <cellStyle name="20% - Accent4 2 3 3 3 3" xfId="4121" xr:uid="{E2BDEDD9-30FC-49F2-A6D5-A5A92A647947}"/>
    <cellStyle name="20% - Accent4 2 3 3 3 3 2" xfId="8570" xr:uid="{ECCF81D5-2D25-4282-81A5-605AF00C691A}"/>
    <cellStyle name="20% - Accent4 2 3 3 3 4" xfId="4592" xr:uid="{C0470A35-D922-4DA7-B9B9-8769A512BE7E}"/>
    <cellStyle name="20% - Accent4 2 3 3 3 4 2" xfId="8847" xr:uid="{74A235B4-36D9-4F56-BE8A-19BE3C24BEBD}"/>
    <cellStyle name="20% - Accent4 2 3 3 3 5" xfId="3305" xr:uid="{21226C2A-E6D6-41EC-9CCD-FB2A7FFBC388}"/>
    <cellStyle name="20% - Accent4 2 3 3 3 5 2" xfId="7794" xr:uid="{04794199-FA51-47CB-BC8A-FFF5AA3A37B5}"/>
    <cellStyle name="20% - Accent4 2 3 3 3 6" xfId="6069" xr:uid="{21D983A2-C55C-4CBA-9B00-8720AC99D63D}"/>
    <cellStyle name="20% - Accent4 2 3 3 4" xfId="1737" xr:uid="{08F3FF7B-EE6C-4B19-959A-5C6935399F00}"/>
    <cellStyle name="20% - Accent4 2 3 3 4 2" xfId="2716" xr:uid="{B32A78BA-06A0-49F5-9032-C719B65B074F}"/>
    <cellStyle name="20% - Accent4 2 3 3 4 2 2" xfId="4960" xr:uid="{07F1B3C3-E385-4A03-A238-2ACECEECD107}"/>
    <cellStyle name="20% - Accent4 2 3 3 4 2 2 2" xfId="9190" xr:uid="{41B01638-008F-4700-A278-DE799D5F4A89}"/>
    <cellStyle name="20% - Accent4 2 3 3 4 2 3" xfId="7281" xr:uid="{02151701-0945-4B6D-9B28-1DD4DB6D96C4}"/>
    <cellStyle name="20% - Accent4 2 3 3 4 3" xfId="3505" xr:uid="{A643940A-C395-4F28-A352-EFCB0C5D8AF8}"/>
    <cellStyle name="20% - Accent4 2 3 3 4 3 2" xfId="7972" xr:uid="{0A67B9E6-112B-4466-A866-54C2135E1A8F}"/>
    <cellStyle name="20% - Accent4 2 3 3 4 4" xfId="6302" xr:uid="{2891BF4C-B8E4-481D-8E1B-47F9471A49F3}"/>
    <cellStyle name="20% - Accent4 2 3 3 5" xfId="1974" xr:uid="{AB830B5D-588E-48C7-84F4-E33D55C96190}"/>
    <cellStyle name="20% - Accent4 2 3 3 5 2" xfId="3911" xr:uid="{EB613775-0D7E-4F2B-9C93-C18E055FD28A}"/>
    <cellStyle name="20% - Accent4 2 3 3 5 2 2" xfId="8360" xr:uid="{A50B8284-4CC6-4F62-8A7E-2E85F2893152}"/>
    <cellStyle name="20% - Accent4 2 3 3 5 3" xfId="6539" xr:uid="{27F73BDD-3C51-49BC-B247-13D24764B592}"/>
    <cellStyle name="20% - Accent4 2 3 3 6" xfId="4317" xr:uid="{1820A012-1CFE-4F82-832F-5F28DD048C28}"/>
    <cellStyle name="20% - Accent4 2 3 3 6 2" xfId="8663" xr:uid="{6656CC12-D51D-4EB5-9267-217B9BD58F82}"/>
    <cellStyle name="20% - Accent4 2 3 3 7" xfId="3078" xr:uid="{58C5FF35-4190-4FE1-8071-4F4BA9F9211E}"/>
    <cellStyle name="20% - Accent4 2 3 3 7 2" xfId="7584" xr:uid="{2067A8A6-5AF9-40DD-938D-6E27F09F3814}"/>
    <cellStyle name="20% - Accent4 2 3 3 8" xfId="5560" xr:uid="{A4F2BB23-B2AC-4F89-8025-2C4F43890282}"/>
    <cellStyle name="20% - Accent4 2 3 4" xfId="978" xr:uid="{A01053BD-5232-4469-AEEF-6ED332B18E16}"/>
    <cellStyle name="20% - Accent4 2 3 4 2" xfId="1346" xr:uid="{CE60E22C-C721-4C10-87A4-53C609C73354}"/>
    <cellStyle name="20% - Accent4 2 3 4 2 2" xfId="2326" xr:uid="{0A9B0A97-69EC-4644-A67C-463B9D1CC0EE}"/>
    <cellStyle name="20% - Accent4 2 3 4 2 2 2" xfId="4683" xr:uid="{AC93B868-FE35-4CE6-AC02-6C6BF0B4B05C}"/>
    <cellStyle name="20% - Accent4 2 3 4 2 2 2 2" xfId="8929" xr:uid="{C948FD85-F389-4CED-B26B-16841ACB0621}"/>
    <cellStyle name="20% - Accent4 2 3 4 2 2 3" xfId="6891" xr:uid="{3B5C0E49-BA0A-4874-B3AD-B0C7828A5878}"/>
    <cellStyle name="20% - Accent4 2 3 4 2 3" xfId="3547" xr:uid="{9CFD8983-7F63-4BE2-AB05-4A79233E49D0}"/>
    <cellStyle name="20% - Accent4 2 3 4 2 3 2" xfId="8014" xr:uid="{50A85BBB-E570-4DFE-8111-352AC3D53222}"/>
    <cellStyle name="20% - Accent4 2 3 4 2 4" xfId="5912" xr:uid="{1099E7B5-56F4-407A-99EA-D2D092DF80FE}"/>
    <cellStyle name="20% - Accent4 2 3 4 3" xfId="1580" xr:uid="{C6DA1951-7370-42CB-97C7-CBFDA19F2F0A}"/>
    <cellStyle name="20% - Accent4 2 3 4 3 2" xfId="2560" xr:uid="{C2E02A2E-22CA-4F5A-99F5-A6C23DEFCEA2}"/>
    <cellStyle name="20% - Accent4 2 3 4 3 2 2" xfId="5055" xr:uid="{EA6DB142-B521-4BCD-BA0D-2236A47BE64F}"/>
    <cellStyle name="20% - Accent4 2 3 4 3 2 2 2" xfId="9281" xr:uid="{1F64461B-6FDB-44E4-9E17-C8780E74C4E9}"/>
    <cellStyle name="20% - Accent4 2 3 4 3 2 3" xfId="7125" xr:uid="{11459AAE-98D7-4E11-8E6B-810B448E1570}"/>
    <cellStyle name="20% - Accent4 2 3 4 3 3" xfId="3953" xr:uid="{D5FC9C0A-BCD6-4D64-A133-0E6CED17FE35}"/>
    <cellStyle name="20% - Accent4 2 3 4 3 3 2" xfId="8402" xr:uid="{4BA152EB-C253-4CB5-9611-E9CEAF30E4A4}"/>
    <cellStyle name="20% - Accent4 2 3 4 3 4" xfId="6146" xr:uid="{1F8FDC98-973A-4961-BC43-7BA05D6AF504}"/>
    <cellStyle name="20% - Accent4 2 3 4 4" xfId="1814" xr:uid="{7D322442-BCFA-4861-BB39-DCE29CBBFCD1}"/>
    <cellStyle name="20% - Accent4 2 3 4 4 2" xfId="2793" xr:uid="{11BCBBCC-4357-4D56-B17E-CE6742F30B4D}"/>
    <cellStyle name="20% - Accent4 2 3 4 4 2 2" xfId="7358" xr:uid="{3FE7FD84-C845-4618-B19F-CC7F63D042BD}"/>
    <cellStyle name="20% - Accent4 2 3 4 4 3" xfId="4405" xr:uid="{36122301-6C2A-4ED7-9B16-7FC3FAD644C7}"/>
    <cellStyle name="20% - Accent4 2 3 4 4 3 2" xfId="8682" xr:uid="{B09C1274-64C9-43CD-9E95-470C6FB831CF}"/>
    <cellStyle name="20% - Accent4 2 3 4 4 4" xfId="5448" xr:uid="{46A1C253-E512-4554-A6F8-6A3A1B51A4E5}"/>
    <cellStyle name="20% - Accent4 2 3 4 4 4 2" xfId="9624" xr:uid="{3517C0B1-860C-4CE5-B0E6-6A676ED95141}"/>
    <cellStyle name="20% - Accent4 2 3 4 4 5" xfId="6379" xr:uid="{6F1EF700-81CA-48CA-A643-EBFEA3BA3DCA}"/>
    <cellStyle name="20% - Accent4 2 3 4 5" xfId="2051" xr:uid="{5A18B6C6-D16B-402C-B7BA-37232CF7E97F}"/>
    <cellStyle name="20% - Accent4 2 3 4 5 2" xfId="6616" xr:uid="{653B9235-B436-4DE7-A4EB-1970EC559D69}"/>
    <cellStyle name="20% - Accent4 2 3 4 6" xfId="3131" xr:uid="{0C3618F1-5917-4469-AD3E-42F0970EAA66}"/>
    <cellStyle name="20% - Accent4 2 3 4 6 2" xfId="7626" xr:uid="{E3DB7CD3-DBA8-40F2-8ABD-5B16394DB805}"/>
    <cellStyle name="20% - Accent4 2 3 4 7" xfId="5637" xr:uid="{4C6CABF9-7611-4E36-8278-97B2EE27C063}"/>
    <cellStyle name="20% - Accent4 2 3 5" xfId="1060" xr:uid="{6391DED8-0EFB-4B7D-A5A2-A761DBC47EEE}"/>
    <cellStyle name="20% - Accent4 2 3 5 2" xfId="2128" xr:uid="{7C3B853C-0EF2-4B80-8EBE-231942191B61}"/>
    <cellStyle name="20% - Accent4 2 3 5 2 2" xfId="4776" xr:uid="{B93C035B-F79E-4786-B320-CC89EEFB5588}"/>
    <cellStyle name="20% - Accent4 2 3 5 2 2 2" xfId="9022" xr:uid="{84AC66B9-4CBB-40F3-A92D-F732A357F5C7}"/>
    <cellStyle name="20% - Accent4 2 3 5 2 3" xfId="3652" xr:uid="{ED65E68C-D58B-43AF-9630-102B48295FAD}"/>
    <cellStyle name="20% - Accent4 2 3 5 2 3 2" xfId="8119" xr:uid="{0D0C6A81-D8F5-45D9-B916-7A85F8945154}"/>
    <cellStyle name="20% - Accent4 2 3 5 2 4" xfId="6693" xr:uid="{0B2B2B70-0A06-4764-80CF-3C30467E44A0}"/>
    <cellStyle name="20% - Accent4 2 3 5 3" xfId="4058" xr:uid="{21A7F4D1-E7ED-48CC-A06D-91C00D8CE127}"/>
    <cellStyle name="20% - Accent4 2 3 5 3 2" xfId="5160" xr:uid="{1338DE5F-AC67-41BA-ACD8-C00693F93037}"/>
    <cellStyle name="20% - Accent4 2 3 5 3 2 2" xfId="9385" xr:uid="{6619046B-676B-4CB5-AF23-95226FE8B611}"/>
    <cellStyle name="20% - Accent4 2 3 5 3 3" xfId="8507" xr:uid="{8B6B0564-35C5-4A79-A466-7915BFC9650B}"/>
    <cellStyle name="20% - Accent4 2 3 5 4" xfId="4480" xr:uid="{FC7B11E8-B954-43C8-B68C-E9375C23A42E}"/>
    <cellStyle name="20% - Accent4 2 3 5 4 2" xfId="8756" xr:uid="{4EC598A2-1F6C-4C32-82DB-33B257757733}"/>
    <cellStyle name="20% - Accent4 2 3 5 5" xfId="3236" xr:uid="{EE9DC74A-0C0C-4630-B515-4AE6CEFD68F5}"/>
    <cellStyle name="20% - Accent4 2 3 5 5 2" xfId="7731" xr:uid="{F81F1F43-AF02-401A-B76C-28E3AE85A78E}"/>
    <cellStyle name="20% - Accent4 2 3 5 6" xfId="5714" xr:uid="{3DD18210-7729-4522-B8AA-AECF0BC02B2A}"/>
    <cellStyle name="20% - Accent4 2 3 6" xfId="1186" xr:uid="{96200431-CFF7-4EEC-BDBD-5C4BC61C25B3}"/>
    <cellStyle name="20% - Accent4 2 3 6 2" xfId="2172" xr:uid="{83D64AA0-920E-43EF-9E31-7AA908BE06AB}"/>
    <cellStyle name="20% - Accent4 2 3 6 2 2" xfId="4988" xr:uid="{7FD86163-7642-426C-BDA3-0940E02EBDCE}"/>
    <cellStyle name="20% - Accent4 2 3 6 2 2 2" xfId="9216" xr:uid="{4DF50F7D-20ED-4845-BC68-45CF8D8E08CA}"/>
    <cellStyle name="20% - Accent4 2 3 6 2 3" xfId="3441" xr:uid="{3EF48917-F121-4711-BDF2-83CD70D7FC9C}"/>
    <cellStyle name="20% - Accent4 2 3 6 2 3 2" xfId="7909" xr:uid="{299AEA61-7006-4822-864C-4B6A1C9791A4}"/>
    <cellStyle name="20% - Accent4 2 3 6 2 4" xfId="6737" xr:uid="{2A2CDC59-7F9D-4CB6-A920-D4A5EFB6D2DA}"/>
    <cellStyle name="20% - Accent4 2 3 6 3" xfId="3848" xr:uid="{13697E6F-1B1F-45A9-85B7-33AEBF40FC3E}"/>
    <cellStyle name="20% - Accent4 2 3 6 3 2" xfId="8297" xr:uid="{CAB9D55F-1F2C-460D-ADDB-2F8CDA13EDFD}"/>
    <cellStyle name="20% - Accent4 2 3 6 4" xfId="4509" xr:uid="{4DB76263-F4EA-4DAA-97CF-B0705BD98D61}"/>
    <cellStyle name="20% - Accent4 2 3 6 4 2" xfId="8779" xr:uid="{38679180-DDE8-4320-A3AC-BFAA52AECD52}"/>
    <cellStyle name="20% - Accent4 2 3 6 5" xfId="2990" xr:uid="{F55807FE-4AC0-4766-BA2D-2C88983A52CC}"/>
    <cellStyle name="20% - Accent4 2 3 6 5 2" xfId="7521" xr:uid="{40FFB777-B530-4FCD-B2E1-4994EE54995D}"/>
    <cellStyle name="20% - Accent4 2 3 6 6" xfId="5758" xr:uid="{35E3C26F-DAAC-4E6B-ADED-7897435EA712}"/>
    <cellStyle name="20% - Accent4 2 3 7" xfId="1426" xr:uid="{90536FB9-222F-47AC-A0AB-283E957BBB4F}"/>
    <cellStyle name="20% - Accent4 2 3 7 2" xfId="2406" xr:uid="{00487408-2F30-4F6B-A741-9F5DA9DD091B}"/>
    <cellStyle name="20% - Accent4 2 3 7 2 2" xfId="4861" xr:uid="{F73A45E0-5DA5-43E0-8125-4154ABF90F64}"/>
    <cellStyle name="20% - Accent4 2 3 7 2 2 2" xfId="9096" xr:uid="{50A74AB3-6767-455B-B4A4-996D1F916BB3}"/>
    <cellStyle name="20% - Accent4 2 3 7 2 3" xfId="6971" xr:uid="{6F076C70-6DF3-4D1A-BF54-04E84AA657DB}"/>
    <cellStyle name="20% - Accent4 2 3 7 3" xfId="3342" xr:uid="{EAF7CC71-97AC-49BB-9DB7-7060598360F1}"/>
    <cellStyle name="20% - Accent4 2 3 7 3 2" xfId="7831" xr:uid="{B6E7FF85-B85C-4D0C-9BF9-740ABB2D0E02}"/>
    <cellStyle name="20% - Accent4 2 3 7 4" xfId="5992" xr:uid="{D0114246-88FA-49B2-AB21-818831CAC705}"/>
    <cellStyle name="20% - Accent4 2 3 8" xfId="1677" xr:uid="{D05CCC1D-7473-4063-AD61-8D011C667DBF}"/>
    <cellStyle name="20% - Accent4 2 3 8 2" xfId="2657" xr:uid="{2BCB71D0-759F-4F95-89C0-9D64687ED333}"/>
    <cellStyle name="20% - Accent4 2 3 8 2 2" xfId="7222" xr:uid="{2DD5B63F-1E72-4648-AFF0-888FB5F29692}"/>
    <cellStyle name="20% - Accent4 2 3 8 3" xfId="3766" xr:uid="{4236C7F4-8B97-44BA-9B8A-7FC8F9C0DE59}"/>
    <cellStyle name="20% - Accent4 2 3 8 3 2" xfId="8219" xr:uid="{A09714E6-7EEF-41C5-826E-4E3640FEA28E}"/>
    <cellStyle name="20% - Accent4 2 3 8 4" xfId="6243" xr:uid="{44F0C982-5FBD-4C5C-94E2-3B558EE0E80A}"/>
    <cellStyle name="20% - Accent4 2 3 9" xfId="1897" xr:uid="{A33FA003-33AD-42E5-81F4-25BAD56B436E}"/>
    <cellStyle name="20% - Accent4 2 3 9 2" xfId="4187" xr:uid="{0784CA02-B8EA-46C7-BC5A-68B02E91AE1D}"/>
    <cellStyle name="20% - Accent4 2 3 9 2 2" xfId="8610" xr:uid="{336816DC-CFEE-4714-950C-8F131FA70208}"/>
    <cellStyle name="20% - Accent4 2 3 9 3" xfId="6462" xr:uid="{33C0F726-2D3E-4BBB-AFE8-F54BE66F84EF}"/>
    <cellStyle name="20% - Accent4 2 4" xfId="755" xr:uid="{47349AE0-0400-4CAB-9D96-2178F2526FBB}"/>
    <cellStyle name="20% - Accent4 2 4 2" xfId="4318" xr:uid="{E153DF56-1756-4181-9F9A-F1142A919F93}"/>
    <cellStyle name="20% - Accent4 2 4 3" xfId="4188" xr:uid="{8F809ECF-E07E-4F32-B889-7E40DC8F6D44}"/>
    <cellStyle name="20% - Accent4 2 5" xfId="754" xr:uid="{C4B8986C-575A-493D-871C-A4E2429412F4}"/>
    <cellStyle name="20% - Accent4 2 5 2" xfId="4319" xr:uid="{C39FAC65-5A0E-44A4-B352-3601A5D7521F}"/>
    <cellStyle name="20% - Accent4 2 5 3" xfId="4189" xr:uid="{6859CB2C-6BA6-4851-9B55-16C012B4B213}"/>
    <cellStyle name="20% - Accent4 2 6" xfId="1061" xr:uid="{B936962F-AE19-4017-B426-23E074EBD2A8}"/>
    <cellStyle name="20% - Accent4 2 6 2" xfId="4320" xr:uid="{757D3229-735E-4AD2-9E98-77794C4C4DD7}"/>
    <cellStyle name="20% - Accent4 2 6 3" xfId="4495" xr:uid="{36B5071D-50F0-4748-8BBF-C9DF6447BC2F}"/>
    <cellStyle name="20% - Accent4 2 6 4" xfId="4270" xr:uid="{70AA276B-22C2-4997-8395-DC3D82391D67}"/>
    <cellStyle name="20% - Accent4 2 6 5" xfId="2960" xr:uid="{58A73D25-0B34-42C2-84ED-6063C3EB05C0}"/>
    <cellStyle name="20% - Accent4 3" xfId="49" xr:uid="{3E88FE9F-1CFF-4ED0-9E27-284351440939}"/>
    <cellStyle name="20% - Accent4 3 2" xfId="4321" xr:uid="{66E0E5EC-34BE-4B81-BC9C-4C24A4263617}"/>
    <cellStyle name="20% - Accent4 3 3" xfId="4190" xr:uid="{6321CA48-E4C8-4D0D-9002-D02D4BA7D4A2}"/>
    <cellStyle name="20% - Accent4 4" xfId="50" xr:uid="{237F0391-5DFF-40AF-A296-231C4B38B357}"/>
    <cellStyle name="20% - Accent4 4 2" xfId="4322" xr:uid="{0CE78DAC-59B8-444D-8D06-CB4CEC0A41FB}"/>
    <cellStyle name="20% - Accent4 4 3" xfId="4191" xr:uid="{54C49849-0D48-400C-94D2-5B3EE1C821DC}"/>
    <cellStyle name="20% - Accent5 2" xfId="51" xr:uid="{86C3C138-9E01-4ABA-9B02-30518DF0DA0B}"/>
    <cellStyle name="20% - Accent5 2 2" xfId="52" xr:uid="{F4857514-5043-41CD-9D7B-E5AB64654CDC}"/>
    <cellStyle name="20% - Accent5 2 3" xfId="53" xr:uid="{25EC2730-950E-4E08-A34F-95560B165016}"/>
    <cellStyle name="20% - Accent5 2 3 10" xfId="2879" xr:uid="{9B4ADDBB-C31C-4D63-9868-612EB5E13F01}"/>
    <cellStyle name="20% - Accent5 2 3 10 2" xfId="7444" xr:uid="{5EE3033C-20C6-4D9E-8A0E-74EA4EAAEB4F}"/>
    <cellStyle name="20% - Accent5 2 3 11" xfId="5484" xr:uid="{55F1ADBC-A1DA-4A28-BCFB-8C445B58AF71}"/>
    <cellStyle name="20% - Accent5 2 3 2" xfId="833" xr:uid="{9C2847D1-844E-4097-9375-2699652E98F3}"/>
    <cellStyle name="20% - Accent5 2 3 2 2" xfId="939" xr:uid="{055410C5-4BB2-4993-B9B1-1E8F37D68CE0}"/>
    <cellStyle name="20% - Accent5 2 3 2 2 2" xfId="1312" xr:uid="{7C67A7F7-CA84-41E2-835B-175A015F2E1C}"/>
    <cellStyle name="20% - Accent5 2 3 2 2 2 2" xfId="2292" xr:uid="{2EF3A427-BFE9-46C4-9FBD-00C6142FA589}"/>
    <cellStyle name="20% - Accent5 2 3 2 2 2 2 2" xfId="4702" xr:uid="{B19576B2-1183-4755-B27A-B9CDA95A02D6}"/>
    <cellStyle name="20% - Accent5 2 3 2 2 2 2 2 2" xfId="8948" xr:uid="{B9F7031F-1B5F-4193-87E5-474EECE86594}"/>
    <cellStyle name="20% - Accent5 2 3 2 2 2 2 3" xfId="6857" xr:uid="{571FDE7B-F0AE-49CA-A804-710675EBB3C1}"/>
    <cellStyle name="20% - Accent5 2 3 2 2 2 3" xfId="3577" xr:uid="{9E32A154-19B7-4FDA-89CC-46E862E1EF93}"/>
    <cellStyle name="20% - Accent5 2 3 2 2 2 3 2" xfId="8044" xr:uid="{C123BFC9-CF70-470F-A9A1-E59DD76B9BD3}"/>
    <cellStyle name="20% - Accent5 2 3 2 2 2 4" xfId="5878" xr:uid="{850D794D-376A-4F15-9135-30DC1797C78F}"/>
    <cellStyle name="20% - Accent5 2 3 2 2 3" xfId="1546" xr:uid="{23A3898F-A804-4B1E-A32B-8699F48AC8A0}"/>
    <cellStyle name="20% - Accent5 2 3 2 2 3 2" xfId="2526" xr:uid="{19AEA438-6995-45A0-8A43-B4E7A276EEA4}"/>
    <cellStyle name="20% - Accent5 2 3 2 2 3 2 2" xfId="5085" xr:uid="{0F11DAAD-3D9C-4EA9-BA46-E3944F89D913}"/>
    <cellStyle name="20% - Accent5 2 3 2 2 3 2 2 2" xfId="9310" xr:uid="{B058967E-B7C3-4AB8-9ED7-2D00AEC0A131}"/>
    <cellStyle name="20% - Accent5 2 3 2 2 3 2 3" xfId="7091" xr:uid="{F7F4E55E-F8FA-45AA-B1AA-5AB918CA603E}"/>
    <cellStyle name="20% - Accent5 2 3 2 2 3 3" xfId="3983" xr:uid="{1451F575-0F11-44B6-8BFE-E129CBE3CE7D}"/>
    <cellStyle name="20% - Accent5 2 3 2 2 3 3 2" xfId="8432" xr:uid="{F0F898C6-1E7A-488F-93EC-0D7B242AE984}"/>
    <cellStyle name="20% - Accent5 2 3 2 2 3 4" xfId="6112" xr:uid="{6BCA00FB-D3AD-42F0-BE59-A31B129CBCC8}"/>
    <cellStyle name="20% - Accent5 2 3 2 2 4" xfId="1780" xr:uid="{456DE260-5E40-4481-96FB-D6AE816E91F1}"/>
    <cellStyle name="20% - Accent5 2 3 2 2 4 2" xfId="2759" xr:uid="{5DCA9E07-2D78-4B82-A493-D6ADF9403F65}"/>
    <cellStyle name="20% - Accent5 2 3 2 2 4 2 2" xfId="7324" xr:uid="{ABB7BA11-30B1-4271-9F61-BA063F7D5AC5}"/>
    <cellStyle name="20% - Accent5 2 3 2 2 4 3" xfId="4434" xr:uid="{80912B26-97CD-4D21-98D7-01E8B2003D42}"/>
    <cellStyle name="20% - Accent5 2 3 2 2 4 3 2" xfId="8711" xr:uid="{8B495A71-3FD5-4B07-B838-0FAC96E70F72}"/>
    <cellStyle name="20% - Accent5 2 3 2 2 4 4" xfId="6345" xr:uid="{FB0485EE-B6C0-4EE2-A4DE-B26BD22D042D}"/>
    <cellStyle name="20% - Accent5 2 3 2 2 5" xfId="2017" xr:uid="{4D753BB7-9F85-4034-B16B-39FB50BA0BCF}"/>
    <cellStyle name="20% - Accent5 2 3 2 2 5 2" xfId="6582" xr:uid="{C28B4B17-E77C-423B-A92B-77FFEA345576}"/>
    <cellStyle name="20% - Accent5 2 3 2 2 6" xfId="3161" xr:uid="{9CFC3640-55BD-406B-A1C4-F7399351BCC7}"/>
    <cellStyle name="20% - Accent5 2 3 2 2 6 2" xfId="7656" xr:uid="{06EC8E1C-4051-499A-A1E2-5AF449D158CB}"/>
    <cellStyle name="20% - Accent5 2 3 2 2 7" xfId="5603" xr:uid="{8226C346-EAD2-489F-AF83-44D5EFA8D346}"/>
    <cellStyle name="20% - Accent5 2 3 2 3" xfId="1021" xr:uid="{F00A452D-DB23-436F-8C9D-B09DDDD015BF}"/>
    <cellStyle name="20% - Accent5 2 3 2 3 2" xfId="1389" xr:uid="{EBD1BBFC-29B4-4848-A7D7-5E83867AB13F}"/>
    <cellStyle name="20% - Accent5 2 3 2 3 2 2" xfId="2369" xr:uid="{87A1C410-3AC0-4AFF-8869-7A3BA2C64B17}"/>
    <cellStyle name="20% - Accent5 2 3 2 3 2 2 2" xfId="5190" xr:uid="{13D5C857-0790-4C95-BF74-61C59654D145}"/>
    <cellStyle name="20% - Accent5 2 3 2 3 2 2 2 2" xfId="9415" xr:uid="{385FD110-92E3-48EA-BCFE-A9FFF85DC830}"/>
    <cellStyle name="20% - Accent5 2 3 2 3 2 2 3" xfId="6934" xr:uid="{43A0BB79-EDF2-4AF5-B6CE-CF804D5C6EE6}"/>
    <cellStyle name="20% - Accent5 2 3 2 3 2 3" xfId="3682" xr:uid="{77F9DA7C-0A9D-4D93-9E0B-9A7324B7ABC4}"/>
    <cellStyle name="20% - Accent5 2 3 2 3 2 3 2" xfId="8149" xr:uid="{220FC520-98CE-4D0A-B7A0-CCF836946D52}"/>
    <cellStyle name="20% - Accent5 2 3 2 3 2 4" xfId="5955" xr:uid="{CB09464E-BFE2-4A61-9BD3-D6965AC64F45}"/>
    <cellStyle name="20% - Accent5 2 3 2 3 3" xfId="1623" xr:uid="{7669CAE7-6914-44BA-92DE-7CBBB5395582}"/>
    <cellStyle name="20% - Accent5 2 3 2 3 3 2" xfId="2603" xr:uid="{73647231-E03B-441A-B671-D7E8786A737B}"/>
    <cellStyle name="20% - Accent5 2 3 2 3 3 2 2" xfId="7168" xr:uid="{F8B34115-E3B6-49DA-B365-2F336A3504CD}"/>
    <cellStyle name="20% - Accent5 2 3 2 3 3 3" xfId="4088" xr:uid="{EA382E98-635B-4FEC-BB8E-402304DA9DE6}"/>
    <cellStyle name="20% - Accent5 2 3 2 3 3 3 2" xfId="8537" xr:uid="{94ECFF65-B93B-491D-96EF-0E18E74BA27B}"/>
    <cellStyle name="20% - Accent5 2 3 2 3 3 4" xfId="6189" xr:uid="{1D0A1555-82D1-4F68-9D14-094088EC50B2}"/>
    <cellStyle name="20% - Accent5 2 3 2 3 4" xfId="1857" xr:uid="{BF4632E9-06B6-422B-908A-8875BCCEC14B}"/>
    <cellStyle name="20% - Accent5 2 3 2 3 4 2" xfId="2836" xr:uid="{1018E0BC-83E2-4221-A33F-1B01E578FE33}"/>
    <cellStyle name="20% - Accent5 2 3 2 3 4 2 2" xfId="7401" xr:uid="{32CDB7BA-16AA-43AA-AD03-DE456A9E2DC1}"/>
    <cellStyle name="20% - Accent5 2 3 2 3 4 3" xfId="4568" xr:uid="{0A239197-DC62-41E9-BCB0-A4617C807BEF}"/>
    <cellStyle name="20% - Accent5 2 3 2 3 4 3 2" xfId="8823" xr:uid="{FE92D777-ADAE-4950-B8A4-A2FE8950C5F3}"/>
    <cellStyle name="20% - Accent5 2 3 2 3 4 4" xfId="6422" xr:uid="{09CCDFB9-A577-493D-9A4D-43D22F74E39D}"/>
    <cellStyle name="20% - Accent5 2 3 2 3 5" xfId="2094" xr:uid="{902EA711-66CD-45C7-9005-CC0B71DDF43D}"/>
    <cellStyle name="20% - Accent5 2 3 2 3 5 2" xfId="6659" xr:uid="{801D4458-076A-46C8-AD58-B4076F15B1F4}"/>
    <cellStyle name="20% - Accent5 2 3 2 3 6" xfId="3268" xr:uid="{A5291165-3F1E-45C1-9661-2030CA6F6E17}"/>
    <cellStyle name="20% - Accent5 2 3 2 3 6 2" xfId="7761" xr:uid="{AEFA3DAB-616A-4559-A89C-85DC1CF99C81}"/>
    <cellStyle name="20% - Accent5 2 3 2 3 7" xfId="5680" xr:uid="{35589EAD-80CF-43B3-9FB1-41FF4C90576D}"/>
    <cellStyle name="20% - Accent5 2 3 2 4" xfId="1233" xr:uid="{8F5B334B-E5EE-47B0-AD07-4968F6F14FA0}"/>
    <cellStyle name="20% - Accent5 2 3 2 4 2" xfId="2215" xr:uid="{02F14520-84CD-4729-A780-8E6ABA919D91}"/>
    <cellStyle name="20% - Accent5 2 3 2 4 2 2" xfId="4867" xr:uid="{3D62FA7E-E8E5-41D8-8090-F601334C3B02}"/>
    <cellStyle name="20% - Accent5 2 3 2 4 2 2 2" xfId="9102" xr:uid="{A80F1396-5AEB-4504-9C2A-499ECFBF7A68}"/>
    <cellStyle name="20% - Accent5 2 3 2 4 2 3" xfId="3472" xr:uid="{3A1FA00F-08D6-431E-91E2-AE50B7E26EA2}"/>
    <cellStyle name="20% - Accent5 2 3 2 4 2 3 2" xfId="7939" xr:uid="{CFD26244-4FC1-4C7E-925B-B8D9C78AEE75}"/>
    <cellStyle name="20% - Accent5 2 3 2 4 2 4" xfId="6780" xr:uid="{7FCC8CD6-EA90-4030-B618-AF191EB43B84}"/>
    <cellStyle name="20% - Accent5 2 3 2 4 3" xfId="3878" xr:uid="{BF7C1E50-E78F-4F44-BE46-E5CC2354BDD2}"/>
    <cellStyle name="20% - Accent5 2 3 2 4 3 2" xfId="8327" xr:uid="{193C2504-C398-41EC-BB33-B469DC34BE68}"/>
    <cellStyle name="20% - Accent5 2 3 2 4 4" xfId="4600" xr:uid="{5A1F764B-20C8-442F-A0BD-7B1B67FF90FD}"/>
    <cellStyle name="20% - Accent5 2 3 2 4 4 2" xfId="8852" xr:uid="{E88AA3C8-93A0-4ED3-A021-7CEA46179E8F}"/>
    <cellStyle name="20% - Accent5 2 3 2 4 5" xfId="3041" xr:uid="{97706DF9-0459-4E8F-8E89-917DBCE2293F}"/>
    <cellStyle name="20% - Accent5 2 3 2 4 5 2" xfId="7551" xr:uid="{A4FEB516-D2CF-4905-A32D-569E2E2FFE58}"/>
    <cellStyle name="20% - Accent5 2 3 2 4 6" xfId="5801" xr:uid="{4F1690F6-6B17-4715-BE0B-6CE9ED5883A1}"/>
    <cellStyle name="20% - Accent5 2 3 2 5" xfId="1469" xr:uid="{77AD9B6C-63AD-445C-9C73-4021ACA6F9EA}"/>
    <cellStyle name="20% - Accent5 2 3 2 5 2" xfId="2449" xr:uid="{7757417E-66BE-49E9-9FEF-7D2AEC3CDE40}"/>
    <cellStyle name="20% - Accent5 2 3 2 5 2 2" xfId="4933" xr:uid="{634EF401-97A9-4789-BBE5-201410F841E6}"/>
    <cellStyle name="20% - Accent5 2 3 2 5 2 2 2" xfId="9163" xr:uid="{1299D0A8-11B2-4947-A385-A969F5CD7A2D}"/>
    <cellStyle name="20% - Accent5 2 3 2 5 2 3" xfId="7014" xr:uid="{D9E81300-6157-4DA6-8AF8-87361E8C176E}"/>
    <cellStyle name="20% - Accent5 2 3 2 5 3" xfId="3398" xr:uid="{A66FAF8D-4AC6-4059-8FFB-BB87C2301EFD}"/>
    <cellStyle name="20% - Accent5 2 3 2 5 3 2" xfId="7866" xr:uid="{59E6F87F-7A54-461C-8634-97C2573CD123}"/>
    <cellStyle name="20% - Accent5 2 3 2 5 4" xfId="6035" xr:uid="{746D06AC-9662-4131-8DDA-DA0655C48E57}"/>
    <cellStyle name="20% - Accent5 2 3 2 6" xfId="1671" xr:uid="{CC2E503F-1CB2-4349-B0C0-573F9F9494BA}"/>
    <cellStyle name="20% - Accent5 2 3 2 6 2" xfId="2651" xr:uid="{220A8DFA-8C34-45B8-A079-3052264547E2}"/>
    <cellStyle name="20% - Accent5 2 3 2 6 2 2" xfId="7216" xr:uid="{422CC4F2-BFC0-4760-A0D4-73F6C199B448}"/>
    <cellStyle name="20% - Accent5 2 3 2 6 3" xfId="3805" xr:uid="{98CE6140-8085-4492-B9E6-DAC2489845B4}"/>
    <cellStyle name="20% - Accent5 2 3 2 6 3 2" xfId="8254" xr:uid="{90AD608C-7D7A-48B1-9FCC-F662A3445643}"/>
    <cellStyle name="20% - Accent5 2 3 2 6 4" xfId="6237" xr:uid="{49DEAB63-EBD2-4456-AB62-006BBBE802FB}"/>
    <cellStyle name="20% - Accent5 2 3 2 7" xfId="1940" xr:uid="{2488F790-B8FA-45AC-9CBF-4408F18DC84C}"/>
    <cellStyle name="20% - Accent5 2 3 2 7 2" xfId="4286" xr:uid="{B6558C17-14DC-423A-8711-022D0EEBEB96}"/>
    <cellStyle name="20% - Accent5 2 3 2 7 2 2" xfId="8639" xr:uid="{A372C0C4-F76E-465A-B5F9-BC0E25AA4B98}"/>
    <cellStyle name="20% - Accent5 2 3 2 7 3" xfId="6505" xr:uid="{BA506929-B7D5-4B89-AC16-2F9DE355D78D}"/>
    <cellStyle name="20% - Accent5 2 3 2 8" xfId="2916" xr:uid="{F1DA4B77-B81E-45DD-9150-B84979A543EA}"/>
    <cellStyle name="20% - Accent5 2 3 2 8 2" xfId="7478" xr:uid="{E7214549-E321-4D56-BC31-A7E6CD4A5EE3}"/>
    <cellStyle name="20% - Accent5 2 3 2 9" xfId="5526" xr:uid="{0C73519F-93C6-4CF9-9D0B-34A786802F9C}"/>
    <cellStyle name="20% - Accent5 2 3 3" xfId="868" xr:uid="{225BF8F4-C94D-4E65-9804-633527A07339}"/>
    <cellStyle name="20% - Accent5 2 3 3 2" xfId="1268" xr:uid="{44E4445A-2FFE-44B0-9796-7BC270761A2E}"/>
    <cellStyle name="20% - Accent5 2 3 3 2 2" xfId="2250" xr:uid="{2E03C59F-0D97-4A88-BAB4-55C74E80726D}"/>
    <cellStyle name="20% - Accent5 2 3 3 2 2 2" xfId="5119" xr:uid="{A3908669-75FA-4F33-B5E9-4BB8878CADC3}"/>
    <cellStyle name="20% - Accent5 2 3 3 2 2 2 2" xfId="9344" xr:uid="{D5388BE6-4D33-4122-B51C-D0253CC7CF00}"/>
    <cellStyle name="20% - Accent5 2 3 3 2 2 3" xfId="3611" xr:uid="{79BF9684-5C7E-440E-931B-4341144EE9F2}"/>
    <cellStyle name="20% - Accent5 2 3 3 2 2 3 2" xfId="8078" xr:uid="{F3D5FD3F-1E00-4992-B389-20C9D0563972}"/>
    <cellStyle name="20% - Accent5 2 3 3 2 2 4" xfId="6815" xr:uid="{E3C60362-16C6-495E-A58A-1D83A9EE4080}"/>
    <cellStyle name="20% - Accent5 2 3 3 2 3" xfId="4017" xr:uid="{8DD88210-E835-4341-B3C6-0BCBF667331D}"/>
    <cellStyle name="20% - Accent5 2 3 3 2 3 2" xfId="8466" xr:uid="{29431CFC-E098-4F57-8715-307333F2AB68}"/>
    <cellStyle name="20% - Accent5 2 3 3 2 4" xfId="4735" xr:uid="{D8F253FD-8905-4A0C-97F9-210DBBD88936}"/>
    <cellStyle name="20% - Accent5 2 3 3 2 4 2" xfId="8981" xr:uid="{58192BBF-22A8-4620-80FE-632F1B72929E}"/>
    <cellStyle name="20% - Accent5 2 3 3 2 5" xfId="3195" xr:uid="{6441E005-7AE8-4114-8294-BA9835773FB4}"/>
    <cellStyle name="20% - Accent5 2 3 3 2 5 2" xfId="7690" xr:uid="{8A7EAFFB-8620-42F6-B2BB-3FEB81EF35B3}"/>
    <cellStyle name="20% - Accent5 2 3 3 2 6" xfId="5836" xr:uid="{342BC27E-E334-4CC5-96D6-03527FBB56BF}"/>
    <cellStyle name="20% - Accent5 2 3 3 3" xfId="1504" xr:uid="{8CA7D090-8761-477D-B608-1E8553CC6DC4}"/>
    <cellStyle name="20% - Accent5 2 3 3 3 2" xfId="2484" xr:uid="{61EB33CA-6625-4D75-A021-B054025C0A83}"/>
    <cellStyle name="20% - Accent5 2 3 3 3 2 2" xfId="5224" xr:uid="{9BDA17E6-4D64-41AD-A5BB-AFAB9F8F8231}"/>
    <cellStyle name="20% - Accent5 2 3 3 3 2 2 2" xfId="9449" xr:uid="{67D13882-A3F1-4F49-9E17-AD442C986A85}"/>
    <cellStyle name="20% - Accent5 2 3 3 3 2 3" xfId="3716" xr:uid="{74CB6238-5682-467C-9A3E-AA5541C30CF1}"/>
    <cellStyle name="20% - Accent5 2 3 3 3 2 3 2" xfId="8183" xr:uid="{D57FCBB3-6CE9-43AF-811F-E929AE7B6EEE}"/>
    <cellStyle name="20% - Accent5 2 3 3 3 2 4" xfId="7049" xr:uid="{997EAC57-A246-4BAB-A22F-EE0902AEB575}"/>
    <cellStyle name="20% - Accent5 2 3 3 3 3" xfId="4122" xr:uid="{A43DE6B2-7AC6-4F61-88B9-57524766A793}"/>
    <cellStyle name="20% - Accent5 2 3 3 3 3 2" xfId="8571" xr:uid="{48DD409B-888E-4832-870D-8F300E6A4353}"/>
    <cellStyle name="20% - Accent5 2 3 3 3 4" xfId="4812" xr:uid="{2EAA2C6D-12F5-4909-9074-EF5F88FD8A5C}"/>
    <cellStyle name="20% - Accent5 2 3 3 3 4 2" xfId="9058" xr:uid="{7E4819CC-34BD-478D-9AA8-7875FEE32906}"/>
    <cellStyle name="20% - Accent5 2 3 3 3 5" xfId="3306" xr:uid="{51D7BC82-4611-4AEE-A782-4E1697973F84}"/>
    <cellStyle name="20% - Accent5 2 3 3 3 5 2" xfId="7795" xr:uid="{7EC9D4A3-3737-4921-9F6D-1A6F86A6A28B}"/>
    <cellStyle name="20% - Accent5 2 3 3 3 6" xfId="6070" xr:uid="{CE27CC6F-CB13-4229-8CFC-29B5532083B4}"/>
    <cellStyle name="20% - Accent5 2 3 3 4" xfId="1738" xr:uid="{E9F667A4-565A-4A6B-B907-6B4C41DC4ABD}"/>
    <cellStyle name="20% - Accent5 2 3 3 4 2" xfId="2717" xr:uid="{57AD16EE-CF8D-429B-9D81-797D740F608E}"/>
    <cellStyle name="20% - Accent5 2 3 3 4 2 2" xfId="4656" xr:uid="{68DCE626-B0B8-4F8F-9389-C739F3196166}"/>
    <cellStyle name="20% - Accent5 2 3 3 4 2 2 2" xfId="8902" xr:uid="{8C48DCDA-B563-41F0-A204-B586EB84B6C8}"/>
    <cellStyle name="20% - Accent5 2 3 3 4 2 3" xfId="7282" xr:uid="{68CA314C-A0AF-475E-A069-76AC9AEE0759}"/>
    <cellStyle name="20% - Accent5 2 3 3 4 3" xfId="3506" xr:uid="{C9336639-5658-4145-A8A8-11E55720B0BD}"/>
    <cellStyle name="20% - Accent5 2 3 3 4 3 2" xfId="7973" xr:uid="{68FA3F4B-013A-4BCF-A0FA-DA77ECA692A9}"/>
    <cellStyle name="20% - Accent5 2 3 3 4 4" xfId="6303" xr:uid="{619FBA55-A44D-4556-BEE6-E16460222749}"/>
    <cellStyle name="20% - Accent5 2 3 3 5" xfId="1975" xr:uid="{EF14E70D-F621-4932-B558-F4B047ABE0E8}"/>
    <cellStyle name="20% - Accent5 2 3 3 5 2" xfId="5016" xr:uid="{BF97725E-5BEE-4830-8D2D-3338C020F5C0}"/>
    <cellStyle name="20% - Accent5 2 3 3 5 2 2" xfId="9242" xr:uid="{DFAE1668-A575-4C83-B5E2-F9FA85FF250B}"/>
    <cellStyle name="20% - Accent5 2 3 3 5 3" xfId="3912" xr:uid="{E84AD058-09D4-4150-BCB8-99CA71F11DCF}"/>
    <cellStyle name="20% - Accent5 2 3 3 5 3 2" xfId="8361" xr:uid="{CAA88B96-315E-4682-8C9C-2C4DC63A6125}"/>
    <cellStyle name="20% - Accent5 2 3 3 5 4" xfId="6540" xr:uid="{AFB04F7A-F51D-42C8-90F7-8A9C0DF9CE7C}"/>
    <cellStyle name="20% - Accent5 2 3 3 6" xfId="4406" xr:uid="{4253F41E-702C-4DC6-8273-E07483612184}"/>
    <cellStyle name="20% - Accent5 2 3 3 6 2" xfId="8683" xr:uid="{0B27AD0C-566A-4004-8F9A-3F65FAD82FC6}"/>
    <cellStyle name="20% - Accent5 2 3 3 7" xfId="3079" xr:uid="{9A56BA8F-2C9F-41D9-8E90-92F7A61D6FDB}"/>
    <cellStyle name="20% - Accent5 2 3 3 7 2" xfId="7585" xr:uid="{CB59A6FB-61F3-4A1B-B32A-CF5C3F1C13EF}"/>
    <cellStyle name="20% - Accent5 2 3 3 8" xfId="5561" xr:uid="{B126C7F1-CAF8-4F6D-9790-18D266D56E3C}"/>
    <cellStyle name="20% - Accent5 2 3 4" xfId="979" xr:uid="{0FEE588F-6256-4ADB-B35E-6547C693430A}"/>
    <cellStyle name="20% - Accent5 2 3 4 2" xfId="1347" xr:uid="{9A4B85C7-BA3C-46AA-9548-334618BBA40D}"/>
    <cellStyle name="20% - Accent5 2 3 4 2 2" xfId="2327" xr:uid="{5CDC3EBB-6E11-4E7A-8218-716330A36B91}"/>
    <cellStyle name="20% - Accent5 2 3 4 2 2 2" xfId="5052" xr:uid="{CBF50307-D3D0-4C42-B129-F08A189F71A1}"/>
    <cellStyle name="20% - Accent5 2 3 4 2 2 2 2" xfId="9278" xr:uid="{98FFE426-BE24-43EE-BF90-D857DB4F2DFF}"/>
    <cellStyle name="20% - Accent5 2 3 4 2 2 3" xfId="6892" xr:uid="{2864F43C-45AD-4620-91BA-73989E464BDE}"/>
    <cellStyle name="20% - Accent5 2 3 4 2 3" xfId="3544" xr:uid="{EF493053-3616-4A6A-9DDC-F374A6A49543}"/>
    <cellStyle name="20% - Accent5 2 3 4 2 3 2" xfId="8011" xr:uid="{9CA53AE6-8778-4B3C-8A13-9416B4EE2EC9}"/>
    <cellStyle name="20% - Accent5 2 3 4 2 4" xfId="5913" xr:uid="{75500135-32BC-485B-AC53-4FA65AAE68CB}"/>
    <cellStyle name="20% - Accent5 2 3 4 3" xfId="1581" xr:uid="{6415D77F-1C52-4E55-BADC-67A8F7548D0B}"/>
    <cellStyle name="20% - Accent5 2 3 4 3 2" xfId="2561" xr:uid="{0FA46ABD-8E83-4913-A84E-7F688AC36FFE}"/>
    <cellStyle name="20% - Accent5 2 3 4 3 2 2" xfId="7126" xr:uid="{9E0D2FD4-3CA6-4367-9CBE-20536C4CDDF9}"/>
    <cellStyle name="20% - Accent5 2 3 4 3 3" xfId="3950" xr:uid="{0ED0F4FA-C288-47A0-BF1B-81FB563D6BED}"/>
    <cellStyle name="20% - Accent5 2 3 4 3 3 2" xfId="8399" xr:uid="{F98E55F9-BCDC-45E2-804F-3330756354D0}"/>
    <cellStyle name="20% - Accent5 2 3 4 3 4" xfId="6147" xr:uid="{90B97724-3034-4D41-8EBF-9668B9D3F8C9}"/>
    <cellStyle name="20% - Accent5 2 3 4 4" xfId="1815" xr:uid="{8258B491-CE4F-4651-997F-0AA538ABD38C}"/>
    <cellStyle name="20% - Accent5 2 3 4 4 2" xfId="2794" xr:uid="{59ED4C44-435A-4847-994C-F74D7361304C}"/>
    <cellStyle name="20% - Accent5 2 3 4 4 2 2" xfId="7359" xr:uid="{65D213FA-ED90-4A02-B179-73B7674411C5}"/>
    <cellStyle name="20% - Accent5 2 3 4 4 3" xfId="4481" xr:uid="{D7A89E8D-4721-4C7F-A101-962736640D8F}"/>
    <cellStyle name="20% - Accent5 2 3 4 4 3 2" xfId="8757" xr:uid="{458F50B4-FB30-4095-B9D7-A28570959E43}"/>
    <cellStyle name="20% - Accent5 2 3 4 4 4" xfId="6380" xr:uid="{E93BCF76-0400-47A1-937C-952189488A0C}"/>
    <cellStyle name="20% - Accent5 2 3 4 5" xfId="2052" xr:uid="{34B7D416-2C6D-40A9-8630-CF47A5228ED2}"/>
    <cellStyle name="20% - Accent5 2 3 4 5 2" xfId="6617" xr:uid="{1EE6A909-ABA8-4860-974B-51BFF3FCE0AD}"/>
    <cellStyle name="20% - Accent5 2 3 4 6" xfId="3128" xr:uid="{E6E170AC-C33E-43DC-A702-2A9698708940}"/>
    <cellStyle name="20% - Accent5 2 3 4 6 2" xfId="7623" xr:uid="{337C1545-0484-40E4-915D-61B40C856D87}"/>
    <cellStyle name="20% - Accent5 2 3 4 7" xfId="5638" xr:uid="{97D30380-CBBA-471D-BD82-28CAA7DDDB1F}"/>
    <cellStyle name="20% - Accent5 2 3 5" xfId="1062" xr:uid="{21000315-48B2-4CF9-B92B-BF0513FC9189}"/>
    <cellStyle name="20% - Accent5 2 3 5 2" xfId="2129" xr:uid="{A1001D2B-2651-451A-B252-225E646DB5E7}"/>
    <cellStyle name="20% - Accent5 2 3 5 2 2" xfId="5157" xr:uid="{8B6A02EE-5B20-4F81-935C-B011E8740448}"/>
    <cellStyle name="20% - Accent5 2 3 5 2 2 2" xfId="9382" xr:uid="{8E98DF68-1340-438C-8749-29F80C81686F}"/>
    <cellStyle name="20% - Accent5 2 3 5 2 3" xfId="3649" xr:uid="{6DCBEA95-EEC1-4357-B609-7019F7D0C5F5}"/>
    <cellStyle name="20% - Accent5 2 3 5 2 3 2" xfId="8116" xr:uid="{9AA5D5A5-F053-47DA-B24A-7ED21AB01886}"/>
    <cellStyle name="20% - Accent5 2 3 5 2 4" xfId="6694" xr:uid="{E95AFDB3-B3CC-4360-80C7-294AAE467354}"/>
    <cellStyle name="20% - Accent5 2 3 5 3" xfId="4055" xr:uid="{D57B02A3-4A17-4C46-8270-1A524B07698D}"/>
    <cellStyle name="20% - Accent5 2 3 5 3 2" xfId="8504" xr:uid="{CB526655-7E75-4DAC-B0E7-40FCEDA5F7BB}"/>
    <cellStyle name="20% - Accent5 2 3 5 4" xfId="4773" xr:uid="{47A99BB5-4C12-4A4F-A018-E7675408C2B4}"/>
    <cellStyle name="20% - Accent5 2 3 5 4 2" xfId="9019" xr:uid="{B2E55AFA-0034-49F5-9FE1-107517EF1D7B}"/>
    <cellStyle name="20% - Accent5 2 3 5 5" xfId="3233" xr:uid="{E6C5ED03-F881-4B61-A62E-47E14F0AFD81}"/>
    <cellStyle name="20% - Accent5 2 3 5 5 2" xfId="7728" xr:uid="{4BBB98C8-6A0B-47FD-91DE-88594D68EEA8}"/>
    <cellStyle name="20% - Accent5 2 3 5 6" xfId="5715" xr:uid="{C668A0C7-38EA-479F-855B-BBA6FE5AD9E7}"/>
    <cellStyle name="20% - Accent5 2 3 6" xfId="1187" xr:uid="{56414F07-2FE9-4973-98CD-8079614B77D8}"/>
    <cellStyle name="20% - Accent5 2 3 6 2" xfId="2173" xr:uid="{6BA56E24-0577-421A-A773-D5660B8DD21C}"/>
    <cellStyle name="20% - Accent5 2 3 6 2 2" xfId="4989" xr:uid="{F286A9AF-864A-4F7D-9109-CCA185B7BAAC}"/>
    <cellStyle name="20% - Accent5 2 3 6 2 2 2" xfId="9217" xr:uid="{B43BF188-74F3-4693-AC3A-DF9AFBFD5C0E}"/>
    <cellStyle name="20% - Accent5 2 3 6 2 3" xfId="3438" xr:uid="{AE075830-76D6-42FE-A506-ECE5C4E09110}"/>
    <cellStyle name="20% - Accent5 2 3 6 2 3 2" xfId="7906" xr:uid="{A72C1BDB-4259-4027-85D7-6BA668EF52B9}"/>
    <cellStyle name="20% - Accent5 2 3 6 2 4" xfId="6738" xr:uid="{C14A5F97-B6D7-4E42-A465-A742EDCD65EC}"/>
    <cellStyle name="20% - Accent5 2 3 6 3" xfId="3845" xr:uid="{5F33410E-FAF5-4839-AADB-FC16E5A1D4BC}"/>
    <cellStyle name="20% - Accent5 2 3 6 3 2" xfId="8294" xr:uid="{4098AFAA-D31D-4B6E-A960-2E5F8C19DEF3}"/>
    <cellStyle name="20% - Accent5 2 3 6 4" xfId="4544" xr:uid="{64BBFDEE-D866-4F34-9F85-A53407E0D218}"/>
    <cellStyle name="20% - Accent5 2 3 6 4 2" xfId="8802" xr:uid="{285AADD6-B496-4788-9211-A72C3067EB1F}"/>
    <cellStyle name="20% - Accent5 2 3 6 5" xfId="2984" xr:uid="{9D6D9399-D987-4293-93AC-F95A96A044FB}"/>
    <cellStyle name="20% - Accent5 2 3 6 5 2" xfId="7518" xr:uid="{C315DADA-2E7E-461D-ABEE-731B15C57D7C}"/>
    <cellStyle name="20% - Accent5 2 3 6 6" xfId="5759" xr:uid="{41717F80-F1DE-4820-B179-599066C40C08}"/>
    <cellStyle name="20% - Accent5 2 3 7" xfId="1427" xr:uid="{322723EA-1BF0-46FD-84E5-94EEFF0D3C20}"/>
    <cellStyle name="20% - Accent5 2 3 7 2" xfId="2407" xr:uid="{8AC521E8-FECD-45BF-9495-48002A89C35C}"/>
    <cellStyle name="20% - Accent5 2 3 7 2 2" xfId="4862" xr:uid="{48E2F0DF-91C8-493C-AD79-98C3862ED40A}"/>
    <cellStyle name="20% - Accent5 2 3 7 2 2 2" xfId="9097" xr:uid="{B07C8F94-ECA6-41B6-BE99-028073AD2CE4}"/>
    <cellStyle name="20% - Accent5 2 3 7 2 3" xfId="6972" xr:uid="{BEB3FF61-3DF5-41DE-A030-8721A7DBC28B}"/>
    <cellStyle name="20% - Accent5 2 3 7 3" xfId="3343" xr:uid="{5B24A427-F0A1-483E-A981-4EAED5BDEA5A}"/>
    <cellStyle name="20% - Accent5 2 3 7 3 2" xfId="7832" xr:uid="{654FBF2A-5BB4-48B1-B75E-4AA22A7121F6}"/>
    <cellStyle name="20% - Accent5 2 3 7 4" xfId="5993" xr:uid="{81B0EE34-43B4-4122-845B-4FBF31791545}"/>
    <cellStyle name="20% - Accent5 2 3 8" xfId="1678" xr:uid="{D8119F07-8ED6-43FF-A137-D884EBBB387F}"/>
    <cellStyle name="20% - Accent5 2 3 8 2" xfId="2658" xr:uid="{872B16B5-C6A8-4B88-869D-C99950F51100}"/>
    <cellStyle name="20% - Accent5 2 3 8 2 2" xfId="7223" xr:uid="{3900B2D5-5A36-4123-A8B7-FAC0FBA6EEB9}"/>
    <cellStyle name="20% - Accent5 2 3 8 3" xfId="3767" xr:uid="{765F2847-145A-4105-ABE5-EEA7DA437A4C}"/>
    <cellStyle name="20% - Accent5 2 3 8 3 2" xfId="8220" xr:uid="{86FFBF2E-C0FD-4065-88A3-ACDA5B57E285}"/>
    <cellStyle name="20% - Accent5 2 3 8 4" xfId="6244" xr:uid="{99F42FFA-7F54-439B-B4CD-38580E8926CA}"/>
    <cellStyle name="20% - Accent5 2 3 9" xfId="1898" xr:uid="{D8585E08-CA83-4C45-8488-63AD91962E09}"/>
    <cellStyle name="20% - Accent5 2 3 9 2" xfId="4192" xr:uid="{CBD5671B-5A8A-4D90-B5C5-9A35F130E08A}"/>
    <cellStyle name="20% - Accent5 2 3 9 2 2" xfId="8611" xr:uid="{2D08C900-4700-4A68-ABCE-4961BD77547B}"/>
    <cellStyle name="20% - Accent5 2 3 9 3" xfId="6463" xr:uid="{1A13E7CB-6848-49EC-928B-CFE70531DF85}"/>
    <cellStyle name="20% - Accent5 3" xfId="54" xr:uid="{7AE99099-D20A-442B-A681-B6656879C9C8}"/>
    <cellStyle name="20% - Accent5 4" xfId="55" xr:uid="{536B04ED-73F9-4C7B-86A9-D10DC3008D22}"/>
    <cellStyle name="20% - Accent6 2" xfId="56" xr:uid="{E764BEDF-96D8-4CB9-AACE-2039569543A7}"/>
    <cellStyle name="20% - Accent6 2 2" xfId="57" xr:uid="{7F99E538-E4DF-4972-99C8-D50C95F0C640}"/>
    <cellStyle name="20% - Accent6 2 3" xfId="58" xr:uid="{7D8FED8D-3A68-454C-9DBB-D82B7114374D}"/>
    <cellStyle name="20% - Accent6 2 3 10" xfId="2880" xr:uid="{4DCED5C7-F645-4D46-A2AD-B390C39B5802}"/>
    <cellStyle name="20% - Accent6 2 3 10 2" xfId="7445" xr:uid="{1E5842DE-F1EC-45C1-B25E-FB17368369F2}"/>
    <cellStyle name="20% - Accent6 2 3 11" xfId="5485" xr:uid="{5F1709B0-8DB8-4F00-A4AD-97912A8AFF6C}"/>
    <cellStyle name="20% - Accent6 2 3 2" xfId="834" xr:uid="{2ED3E504-F93E-4B50-8A01-0740C96EA28F}"/>
    <cellStyle name="20% - Accent6 2 3 2 2" xfId="940" xr:uid="{040ADF49-457F-4C96-9A9C-45926550DD2A}"/>
    <cellStyle name="20% - Accent6 2 3 2 2 2" xfId="1313" xr:uid="{6BD8D555-2BA4-4AAA-8096-D1166E80355F}"/>
    <cellStyle name="20% - Accent6 2 3 2 2 2 2" xfId="2293" xr:uid="{1B117E8F-3FCD-4A44-9B92-09FF4684157D}"/>
    <cellStyle name="20% - Accent6 2 3 2 2 2 2 2" xfId="4703" xr:uid="{738F53D6-3003-45B0-8BB0-C9E2ED27A0A8}"/>
    <cellStyle name="20% - Accent6 2 3 2 2 2 2 2 2" xfId="8949" xr:uid="{CFD1FA6F-E32E-484B-9792-86BF49F008EC}"/>
    <cellStyle name="20% - Accent6 2 3 2 2 2 2 3" xfId="6858" xr:uid="{04E7DC0E-7F10-4BFD-920D-37075642A77C}"/>
    <cellStyle name="20% - Accent6 2 3 2 2 2 3" xfId="3578" xr:uid="{CD129404-E362-4404-9FEE-5C02164EC242}"/>
    <cellStyle name="20% - Accent6 2 3 2 2 2 3 2" xfId="8045" xr:uid="{CAD8AB40-1476-408C-A3D8-78A4DB302FC9}"/>
    <cellStyle name="20% - Accent6 2 3 2 2 2 4" xfId="5879" xr:uid="{E094A869-2169-4F4F-AC39-D34A1BE9C740}"/>
    <cellStyle name="20% - Accent6 2 3 2 2 3" xfId="1547" xr:uid="{54E39ADB-C671-4BFB-8482-9810E6D8818E}"/>
    <cellStyle name="20% - Accent6 2 3 2 2 3 2" xfId="2527" xr:uid="{DDC88AB1-4ABC-4665-B14C-E9C6C139F0DB}"/>
    <cellStyle name="20% - Accent6 2 3 2 2 3 2 2" xfId="5086" xr:uid="{55401C10-13F0-47C7-B5B3-701C656C0AB8}"/>
    <cellStyle name="20% - Accent6 2 3 2 2 3 2 2 2" xfId="9311" xr:uid="{979D05A2-E415-4B18-9943-E66B0EDE4C06}"/>
    <cellStyle name="20% - Accent6 2 3 2 2 3 2 3" xfId="7092" xr:uid="{6CFA6062-1878-4DC8-A462-9933D49D9FB4}"/>
    <cellStyle name="20% - Accent6 2 3 2 2 3 3" xfId="3984" xr:uid="{1C29BB3B-90E1-4C37-B993-844CBBF9C224}"/>
    <cellStyle name="20% - Accent6 2 3 2 2 3 3 2" xfId="8433" xr:uid="{9DCFA1F3-D59A-4AB2-B20C-A800B81C8C4E}"/>
    <cellStyle name="20% - Accent6 2 3 2 2 3 4" xfId="6113" xr:uid="{C273F744-1EF2-43B7-ACC2-47FBB71176CE}"/>
    <cellStyle name="20% - Accent6 2 3 2 2 4" xfId="1781" xr:uid="{EB6E455B-3B4E-4A14-8E9A-FDD30E770FA2}"/>
    <cellStyle name="20% - Accent6 2 3 2 2 4 2" xfId="2760" xr:uid="{422EF4D7-A7B5-4667-B553-35039F484C35}"/>
    <cellStyle name="20% - Accent6 2 3 2 2 4 2 2" xfId="7325" xr:uid="{027F1046-7942-4E7E-AE4A-C03CEE64902F}"/>
    <cellStyle name="20% - Accent6 2 3 2 2 4 3" xfId="4435" xr:uid="{17E9C652-19C0-4A7F-80B8-49E8C52E2604}"/>
    <cellStyle name="20% - Accent6 2 3 2 2 4 3 2" xfId="8712" xr:uid="{FF4AD14D-7B87-467B-B7E4-E87D283A40C6}"/>
    <cellStyle name="20% - Accent6 2 3 2 2 4 4" xfId="6346" xr:uid="{835E44F4-C2DF-4440-9B47-7FE9EDEACF8F}"/>
    <cellStyle name="20% - Accent6 2 3 2 2 5" xfId="2018" xr:uid="{ECBB6498-B2D6-42E2-88D5-534FC904631E}"/>
    <cellStyle name="20% - Accent6 2 3 2 2 5 2" xfId="6583" xr:uid="{AF5DBF1A-0045-47BC-8E85-BDB4A6767D1F}"/>
    <cellStyle name="20% - Accent6 2 3 2 2 6" xfId="3162" xr:uid="{176C7D92-784E-4B52-8957-18263DCC4369}"/>
    <cellStyle name="20% - Accent6 2 3 2 2 6 2" xfId="7657" xr:uid="{4F318232-2DB9-4C94-9383-4260D7143105}"/>
    <cellStyle name="20% - Accent6 2 3 2 2 7" xfId="5604" xr:uid="{70CCF31A-6385-4F44-AA29-A15A77231EDE}"/>
    <cellStyle name="20% - Accent6 2 3 2 3" xfId="1022" xr:uid="{B5C81325-5BD3-43D1-B0B0-0CE867E1F6FA}"/>
    <cellStyle name="20% - Accent6 2 3 2 3 2" xfId="1390" xr:uid="{24A2A32E-B545-428E-B00F-264459963E90}"/>
    <cellStyle name="20% - Accent6 2 3 2 3 2 2" xfId="2370" xr:uid="{245944AC-52A2-4BE3-A6AB-A4E132CAAAB7}"/>
    <cellStyle name="20% - Accent6 2 3 2 3 2 2 2" xfId="5191" xr:uid="{E51A76C3-E0E4-468F-8A0B-E6D8B9F8B287}"/>
    <cellStyle name="20% - Accent6 2 3 2 3 2 2 2 2" xfId="9416" xr:uid="{F762591B-B5CF-465D-B025-89448E24EA65}"/>
    <cellStyle name="20% - Accent6 2 3 2 3 2 2 3" xfId="6935" xr:uid="{D24944E6-68F9-4C62-959D-928E99FFBF28}"/>
    <cellStyle name="20% - Accent6 2 3 2 3 2 3" xfId="3683" xr:uid="{C39099F9-7021-4A0A-8E73-5731BCD006F0}"/>
    <cellStyle name="20% - Accent6 2 3 2 3 2 3 2" xfId="8150" xr:uid="{BB4A01C9-88D8-4E9F-B555-0C4133EB37D8}"/>
    <cellStyle name="20% - Accent6 2 3 2 3 2 4" xfId="5956" xr:uid="{50DE0E28-BC3A-4519-90CE-5192212C0600}"/>
    <cellStyle name="20% - Accent6 2 3 2 3 3" xfId="1624" xr:uid="{78EBE2B4-14E4-435B-957C-928051978838}"/>
    <cellStyle name="20% - Accent6 2 3 2 3 3 2" xfId="2604" xr:uid="{C5BF3F7D-D83A-4867-ABCA-C2D86FE1EF36}"/>
    <cellStyle name="20% - Accent6 2 3 2 3 3 2 2" xfId="7169" xr:uid="{613C839B-41EF-4484-A766-8C2C17384D05}"/>
    <cellStyle name="20% - Accent6 2 3 2 3 3 3" xfId="4089" xr:uid="{0F7CA750-06DF-4092-B465-48AE83C54935}"/>
    <cellStyle name="20% - Accent6 2 3 2 3 3 3 2" xfId="8538" xr:uid="{F991DBF6-0459-4CDD-823C-8FF390C5F02E}"/>
    <cellStyle name="20% - Accent6 2 3 2 3 3 4" xfId="6190" xr:uid="{40F9A064-2F05-489B-B877-9D7B82B83028}"/>
    <cellStyle name="20% - Accent6 2 3 2 3 4" xfId="1858" xr:uid="{B4D09DD6-293B-4062-972F-3536592E97CA}"/>
    <cellStyle name="20% - Accent6 2 3 2 3 4 2" xfId="2837" xr:uid="{32FBBA7D-E599-4C5A-90C8-87AF01F547C7}"/>
    <cellStyle name="20% - Accent6 2 3 2 3 4 2 2" xfId="7402" xr:uid="{C100F1EA-DE8B-4501-BF31-0E61C547BE2D}"/>
    <cellStyle name="20% - Accent6 2 3 2 3 4 3" xfId="4569" xr:uid="{B564E60B-A4D1-4A60-8D1F-AA51AF0A4B00}"/>
    <cellStyle name="20% - Accent6 2 3 2 3 4 3 2" xfId="8824" xr:uid="{D387DFB5-DC21-4E99-AA52-503F36C514E7}"/>
    <cellStyle name="20% - Accent6 2 3 2 3 4 4" xfId="6423" xr:uid="{DEEBE402-A30E-4065-8B5A-16154BB11DEF}"/>
    <cellStyle name="20% - Accent6 2 3 2 3 5" xfId="2095" xr:uid="{0F0F78CF-B17E-439C-90C1-11428B2F1862}"/>
    <cellStyle name="20% - Accent6 2 3 2 3 5 2" xfId="6660" xr:uid="{2B9EEC06-F0DF-42D8-9F0F-3EB648399A10}"/>
    <cellStyle name="20% - Accent6 2 3 2 3 6" xfId="3269" xr:uid="{EA6AF927-3994-47C0-955B-6789CC3385F9}"/>
    <cellStyle name="20% - Accent6 2 3 2 3 6 2" xfId="7762" xr:uid="{CC40CD96-71F5-446A-8B0A-79F36FD80540}"/>
    <cellStyle name="20% - Accent6 2 3 2 3 7" xfId="5681" xr:uid="{16E42837-6C44-4DD3-93B6-AC653F778707}"/>
    <cellStyle name="20% - Accent6 2 3 2 4" xfId="1234" xr:uid="{11D3B925-C474-4293-AFA4-BAB7FDF50A84}"/>
    <cellStyle name="20% - Accent6 2 3 2 4 2" xfId="2216" xr:uid="{F4176F3C-7B0F-4145-BEC4-99AD16615990}"/>
    <cellStyle name="20% - Accent6 2 3 2 4 2 2" xfId="4902" xr:uid="{B8B77F7B-3556-4F67-BDC8-3D18498C639F}"/>
    <cellStyle name="20% - Accent6 2 3 2 4 2 2 2" xfId="9132" xr:uid="{65CA0DEC-CA39-43A6-AFB9-A1D87F855944}"/>
    <cellStyle name="20% - Accent6 2 3 2 4 2 3" xfId="3473" xr:uid="{60CD0EF9-6D64-4EEE-8C46-E50515D4030A}"/>
    <cellStyle name="20% - Accent6 2 3 2 4 2 3 2" xfId="7940" xr:uid="{862268EC-323B-4221-82CF-9E7080ADFC14}"/>
    <cellStyle name="20% - Accent6 2 3 2 4 2 4" xfId="6781" xr:uid="{C50AB1F9-CDED-40D7-BD4E-5318E14AB010}"/>
    <cellStyle name="20% - Accent6 2 3 2 4 3" xfId="3879" xr:uid="{4B076D22-C53A-4A5B-B436-D0C5910B6626}"/>
    <cellStyle name="20% - Accent6 2 3 2 4 3 2" xfId="8328" xr:uid="{46C29550-E621-4ECA-B9F4-EA8AFAF89324}"/>
    <cellStyle name="20% - Accent6 2 3 2 4 4" xfId="4512" xr:uid="{F128F75B-677B-441F-B69B-0D8AB7A7EDE4}"/>
    <cellStyle name="20% - Accent6 2 3 2 4 4 2" xfId="8781" xr:uid="{41BCA45A-5D6F-4A57-94FF-B01B750BBCA8}"/>
    <cellStyle name="20% - Accent6 2 3 2 4 5" xfId="3042" xr:uid="{4B21842B-4F35-49C7-9EB3-3B2380407B1F}"/>
    <cellStyle name="20% - Accent6 2 3 2 4 5 2" xfId="7552" xr:uid="{F602A1AE-97CD-4729-8F12-1DBE496F435D}"/>
    <cellStyle name="20% - Accent6 2 3 2 4 6" xfId="5802" xr:uid="{B65D682E-BC45-41ED-ACCA-05D3A60BE80C}"/>
    <cellStyle name="20% - Accent6 2 3 2 5" xfId="1470" xr:uid="{B1255737-C8EE-4D23-A465-23CE627011F2}"/>
    <cellStyle name="20% - Accent6 2 3 2 5 2" xfId="2450" xr:uid="{F9CC1F9E-D33D-4880-84AA-358FA5D7C96C}"/>
    <cellStyle name="20% - Accent6 2 3 2 5 2 2" xfId="4934" xr:uid="{0B1B4B1C-D99C-4A78-A5D2-13BBBC19B51C}"/>
    <cellStyle name="20% - Accent6 2 3 2 5 2 2 2" xfId="9164" xr:uid="{17E13391-1CDB-47C9-B414-DD51A15F2BDB}"/>
    <cellStyle name="20% - Accent6 2 3 2 5 2 3" xfId="7015" xr:uid="{57367112-1BA4-45E0-A193-E93934EE2560}"/>
    <cellStyle name="20% - Accent6 2 3 2 5 3" xfId="3399" xr:uid="{17F4D6A8-D8A4-4E4C-AB5E-D7956926B83A}"/>
    <cellStyle name="20% - Accent6 2 3 2 5 3 2" xfId="7867" xr:uid="{3AE4FF8A-7C36-4C61-9CB5-DEDA6558951F}"/>
    <cellStyle name="20% - Accent6 2 3 2 5 4" xfId="6036" xr:uid="{28CE68B9-3872-4C56-99CD-1522511A9B38}"/>
    <cellStyle name="20% - Accent6 2 3 2 6" xfId="1670" xr:uid="{C5C0DFBF-1DD2-4EDB-9959-4FF8ECBE2097}"/>
    <cellStyle name="20% - Accent6 2 3 2 6 2" xfId="2650" xr:uid="{4CF855A3-D81A-4A53-AE6F-F945064D4A8F}"/>
    <cellStyle name="20% - Accent6 2 3 2 6 2 2" xfId="7215" xr:uid="{7FD449B4-C89C-4DAB-95FD-D4ABF94C1D27}"/>
    <cellStyle name="20% - Accent6 2 3 2 6 3" xfId="3806" xr:uid="{61F372C3-E88E-48B7-B261-B130D591EEA6}"/>
    <cellStyle name="20% - Accent6 2 3 2 6 3 2" xfId="8255" xr:uid="{44E848FE-7251-41C7-B56F-0FCF3765A7A1}"/>
    <cellStyle name="20% - Accent6 2 3 2 6 4" xfId="6236" xr:uid="{7EA6504B-7A6F-4A4E-AC7A-04B5CA2BE85D}"/>
    <cellStyle name="20% - Accent6 2 3 2 7" xfId="1941" xr:uid="{44971191-BD9E-4AE7-9C6F-96632131D06B}"/>
    <cellStyle name="20% - Accent6 2 3 2 7 2" xfId="4287" xr:uid="{8CCC88AC-919C-4467-845D-12E320942B3B}"/>
    <cellStyle name="20% - Accent6 2 3 2 7 2 2" xfId="8640" xr:uid="{F6703583-21CC-4BFB-B225-41A7633D903F}"/>
    <cellStyle name="20% - Accent6 2 3 2 7 3" xfId="6506" xr:uid="{62F81E91-CF39-4D46-AA12-881D79257E2C}"/>
    <cellStyle name="20% - Accent6 2 3 2 8" xfId="2917" xr:uid="{A66B434F-510B-4A5C-92AB-3904B6F98374}"/>
    <cellStyle name="20% - Accent6 2 3 2 8 2" xfId="7479" xr:uid="{C6136037-B12B-43B2-9E0B-367AB35C88F5}"/>
    <cellStyle name="20% - Accent6 2 3 2 9" xfId="5527" xr:uid="{2DFB533C-5358-4626-A1DB-4953C433F5CE}"/>
    <cellStyle name="20% - Accent6 2 3 3" xfId="869" xr:uid="{50FDD84C-3449-43B5-9E74-69BBE46F7304}"/>
    <cellStyle name="20% - Accent6 2 3 3 2" xfId="1269" xr:uid="{17191B2F-D08E-445A-B4AF-CB917CA23EE2}"/>
    <cellStyle name="20% - Accent6 2 3 3 2 2" xfId="2251" xr:uid="{13F072AE-4B40-4E91-ADFD-BA3B089D55E3}"/>
    <cellStyle name="20% - Accent6 2 3 3 2 2 2" xfId="5120" xr:uid="{9B577E22-3BD4-4568-AF3D-3A231EC63400}"/>
    <cellStyle name="20% - Accent6 2 3 3 2 2 2 2" xfId="9345" xr:uid="{B466007C-3F05-4270-9F85-AFFD4BDDFAD7}"/>
    <cellStyle name="20% - Accent6 2 3 3 2 2 3" xfId="3612" xr:uid="{D736B3FB-06B1-43D4-8CD8-5FC2A9447119}"/>
    <cellStyle name="20% - Accent6 2 3 3 2 2 3 2" xfId="8079" xr:uid="{B13D604E-9259-41A6-9A4A-8581A0296542}"/>
    <cellStyle name="20% - Accent6 2 3 3 2 2 4" xfId="6816" xr:uid="{DF0826C2-6D7E-4D83-9FCB-2C40391B78B1}"/>
    <cellStyle name="20% - Accent6 2 3 3 2 3" xfId="4018" xr:uid="{53C29D50-A99C-4811-95C3-34BDDFA66EB9}"/>
    <cellStyle name="20% - Accent6 2 3 3 2 3 2" xfId="8467" xr:uid="{29E87EE2-82C7-4D6C-BDC2-954CE34FA046}"/>
    <cellStyle name="20% - Accent6 2 3 3 2 4" xfId="4736" xr:uid="{91390075-5C55-44E7-A15A-6BA597A83119}"/>
    <cellStyle name="20% - Accent6 2 3 3 2 4 2" xfId="8982" xr:uid="{AD20F30F-52EB-43C6-8E33-73D2862C8A9E}"/>
    <cellStyle name="20% - Accent6 2 3 3 2 5" xfId="3196" xr:uid="{E6AB22CB-CF58-409D-A2B9-90831A9ABBDE}"/>
    <cellStyle name="20% - Accent6 2 3 3 2 5 2" xfId="7691" xr:uid="{07B6CA89-9CF9-4EC5-BABA-5A7802A38238}"/>
    <cellStyle name="20% - Accent6 2 3 3 2 6" xfId="5837" xr:uid="{8AEEA21D-BEDD-4DAF-A201-80859240AAE5}"/>
    <cellStyle name="20% - Accent6 2 3 3 3" xfId="1505" xr:uid="{2F4F6F2D-290D-486D-8D86-76264625E559}"/>
    <cellStyle name="20% - Accent6 2 3 3 3 2" xfId="2485" xr:uid="{8872504B-F050-4E5F-B4FD-A218D15466E5}"/>
    <cellStyle name="20% - Accent6 2 3 3 3 2 2" xfId="5225" xr:uid="{AC7AA199-7EA2-4B45-84C8-7E4BB6C54589}"/>
    <cellStyle name="20% - Accent6 2 3 3 3 2 2 2" xfId="9450" xr:uid="{53EB3D88-0B66-493D-9996-6F5C14909F56}"/>
    <cellStyle name="20% - Accent6 2 3 3 3 2 3" xfId="3717" xr:uid="{B928CE13-D75E-483C-81C4-7ED61F2F3DAA}"/>
    <cellStyle name="20% - Accent6 2 3 3 3 2 3 2" xfId="8184" xr:uid="{601E467B-B0F0-450A-8524-775F113B0D07}"/>
    <cellStyle name="20% - Accent6 2 3 3 3 2 4" xfId="7050" xr:uid="{C2AC5622-09C3-47CA-8964-8594B1DDB907}"/>
    <cellStyle name="20% - Accent6 2 3 3 3 3" xfId="4123" xr:uid="{417ABD2E-9C70-4EAC-ADB1-3A24306D378D}"/>
    <cellStyle name="20% - Accent6 2 3 3 3 3 2" xfId="8572" xr:uid="{24BEE52A-C3BF-4B3B-A8E3-D3DD0744D835}"/>
    <cellStyle name="20% - Accent6 2 3 3 3 4" xfId="4813" xr:uid="{BF395644-235C-495C-85BB-82644F86B27F}"/>
    <cellStyle name="20% - Accent6 2 3 3 3 4 2" xfId="9059" xr:uid="{044D315D-DCA4-49FE-A7F0-02BF60FF45F7}"/>
    <cellStyle name="20% - Accent6 2 3 3 3 5" xfId="3307" xr:uid="{9C8B73AA-6BAB-486C-AC4E-33FB66A74E61}"/>
    <cellStyle name="20% - Accent6 2 3 3 3 5 2" xfId="7796" xr:uid="{8CCD49E3-8534-4EE1-AF41-8D5E9CBC97E2}"/>
    <cellStyle name="20% - Accent6 2 3 3 3 6" xfId="6071" xr:uid="{E398FB4A-2481-4096-A618-859B81FB1776}"/>
    <cellStyle name="20% - Accent6 2 3 3 4" xfId="1739" xr:uid="{99B2F5AE-9B97-4348-876A-2553F5A38EC1}"/>
    <cellStyle name="20% - Accent6 2 3 3 4 2" xfId="2718" xr:uid="{6B71CDAC-D183-4BB7-A386-14CE204C6A29}"/>
    <cellStyle name="20% - Accent6 2 3 3 4 2 2" xfId="4657" xr:uid="{24A0A17B-8124-49BD-B3AF-B17F1EC51B4A}"/>
    <cellStyle name="20% - Accent6 2 3 3 4 2 2 2" xfId="8903" xr:uid="{B056977C-792E-493B-A374-A520A1C47589}"/>
    <cellStyle name="20% - Accent6 2 3 3 4 2 3" xfId="7283" xr:uid="{D3D0F083-0436-470A-ACCA-296AEA932FCB}"/>
    <cellStyle name="20% - Accent6 2 3 3 4 3" xfId="3507" xr:uid="{BE481705-A879-44BF-94C0-662318F24B9D}"/>
    <cellStyle name="20% - Accent6 2 3 3 4 3 2" xfId="7974" xr:uid="{ADFD797D-0445-4B60-B38B-1F1FF64FA307}"/>
    <cellStyle name="20% - Accent6 2 3 3 4 4" xfId="6304" xr:uid="{D74F2929-6622-4919-A352-4522E846BDC8}"/>
    <cellStyle name="20% - Accent6 2 3 3 5" xfId="1976" xr:uid="{EBB3B9D5-F4BB-4F1D-BE6F-C3ADBB1AB5CE}"/>
    <cellStyle name="20% - Accent6 2 3 3 5 2" xfId="5017" xr:uid="{DC3184BD-2DEA-4AF5-84F2-9097F6AF0E57}"/>
    <cellStyle name="20% - Accent6 2 3 3 5 2 2" xfId="9243" xr:uid="{CCA30F10-51C8-41D6-9A89-9A0474FBB0BC}"/>
    <cellStyle name="20% - Accent6 2 3 3 5 3" xfId="3913" xr:uid="{F4AD354D-7203-456D-A3DC-9C0BCCF94D91}"/>
    <cellStyle name="20% - Accent6 2 3 3 5 3 2" xfId="8362" xr:uid="{12EC484B-B755-42BB-9D38-7FF016D22245}"/>
    <cellStyle name="20% - Accent6 2 3 3 5 4" xfId="6541" xr:uid="{15A86491-5630-4691-A8B7-11568EE26F3C}"/>
    <cellStyle name="20% - Accent6 2 3 3 6" xfId="4407" xr:uid="{278FDCA7-E236-4BC6-853D-9CA6A7938CF5}"/>
    <cellStyle name="20% - Accent6 2 3 3 6 2" xfId="8684" xr:uid="{285777D3-A660-4160-A30D-2A4ADEB5C504}"/>
    <cellStyle name="20% - Accent6 2 3 3 7" xfId="3080" xr:uid="{BBED402F-FFEE-4F5D-85B1-34EA2CA6E04F}"/>
    <cellStyle name="20% - Accent6 2 3 3 7 2" xfId="7586" xr:uid="{B7D4872E-A46A-40FC-BDF7-106F282DF274}"/>
    <cellStyle name="20% - Accent6 2 3 3 8" xfId="5562" xr:uid="{979110EB-58B5-4CE6-864B-9648CC95A3CC}"/>
    <cellStyle name="20% - Accent6 2 3 4" xfId="980" xr:uid="{C33B9F0F-4D73-45B3-B2B7-F334A8CADB1F}"/>
    <cellStyle name="20% - Accent6 2 3 4 2" xfId="1348" xr:uid="{9E6357AA-A0DA-470C-A9D5-AA851F31ACE6}"/>
    <cellStyle name="20% - Accent6 2 3 4 2 2" xfId="2328" xr:uid="{217E910B-3C73-400A-B904-C21592338DD5}"/>
    <cellStyle name="20% - Accent6 2 3 4 2 2 2" xfId="5053" xr:uid="{11E069A0-1F88-4EBC-9EA0-581C83BCD626}"/>
    <cellStyle name="20% - Accent6 2 3 4 2 2 2 2" xfId="9279" xr:uid="{F9EA88B2-10C1-4F40-AE42-6ABBDB8B36D5}"/>
    <cellStyle name="20% - Accent6 2 3 4 2 2 3" xfId="6893" xr:uid="{770237A1-C7A8-471A-A063-9DCB0A976950}"/>
    <cellStyle name="20% - Accent6 2 3 4 2 3" xfId="3545" xr:uid="{3F61AC15-5901-422F-A430-C7681453C8DC}"/>
    <cellStyle name="20% - Accent6 2 3 4 2 3 2" xfId="8012" xr:uid="{2C19A4E7-23E6-42B8-A563-0B992A69FFBC}"/>
    <cellStyle name="20% - Accent6 2 3 4 2 4" xfId="5914" xr:uid="{B38754BB-855B-476F-A09F-CCFB3D7E2D98}"/>
    <cellStyle name="20% - Accent6 2 3 4 3" xfId="1582" xr:uid="{0FB29762-A150-4B8E-A359-5CDBBCDB92EC}"/>
    <cellStyle name="20% - Accent6 2 3 4 3 2" xfId="2562" xr:uid="{1C8DEB64-B67E-4916-8B31-B071D59E2DDF}"/>
    <cellStyle name="20% - Accent6 2 3 4 3 2 2" xfId="7127" xr:uid="{3595ED59-CAB9-438B-AE0B-9C464F1356AC}"/>
    <cellStyle name="20% - Accent6 2 3 4 3 3" xfId="3951" xr:uid="{53E6DCFD-56D3-4C7C-8E08-58A5E3B487B2}"/>
    <cellStyle name="20% - Accent6 2 3 4 3 3 2" xfId="8400" xr:uid="{6F1D62AC-7106-4A24-BDEF-2C9B18D0B17A}"/>
    <cellStyle name="20% - Accent6 2 3 4 3 4" xfId="6148" xr:uid="{66C28FBC-A877-4F04-BE4D-2FED44493F87}"/>
    <cellStyle name="20% - Accent6 2 3 4 4" xfId="1816" xr:uid="{01754B46-544B-47D5-9359-7EF26B68B70F}"/>
    <cellStyle name="20% - Accent6 2 3 4 4 2" xfId="2795" xr:uid="{779734E2-361A-4000-90EC-870ED234FEDA}"/>
    <cellStyle name="20% - Accent6 2 3 4 4 2 2" xfId="7360" xr:uid="{DC448B80-AB0B-4D88-A746-F5705D9F69B9}"/>
    <cellStyle name="20% - Accent6 2 3 4 4 3" xfId="4482" xr:uid="{C92CD06A-298F-44A3-BAFD-8A51DC523941}"/>
    <cellStyle name="20% - Accent6 2 3 4 4 3 2" xfId="8758" xr:uid="{7C4D38AA-A46B-4F73-9A03-4F68E416168E}"/>
    <cellStyle name="20% - Accent6 2 3 4 4 4" xfId="6381" xr:uid="{B31BB238-A281-4513-8BF9-F453CD140AF9}"/>
    <cellStyle name="20% - Accent6 2 3 4 5" xfId="2053" xr:uid="{6B752729-4CE1-46C9-8795-42000B3523FF}"/>
    <cellStyle name="20% - Accent6 2 3 4 5 2" xfId="6618" xr:uid="{665DB150-8F9A-43FF-B54C-57AAD899BEDC}"/>
    <cellStyle name="20% - Accent6 2 3 4 6" xfId="3129" xr:uid="{7250C4E2-1F47-4588-BF53-5005968B8399}"/>
    <cellStyle name="20% - Accent6 2 3 4 6 2" xfId="7624" xr:uid="{EE8B699A-011B-4AD8-A05F-4644B1D27458}"/>
    <cellStyle name="20% - Accent6 2 3 4 7" xfId="5639" xr:uid="{D2345175-AA9D-421C-84C3-D2EAD01D4103}"/>
    <cellStyle name="20% - Accent6 2 3 5" xfId="1063" xr:uid="{63AE5111-3BE3-4F4F-B17A-1F79365BDCDB}"/>
    <cellStyle name="20% - Accent6 2 3 5 2" xfId="2130" xr:uid="{3993E25B-221E-4A36-88F3-5301684A0FD6}"/>
    <cellStyle name="20% - Accent6 2 3 5 2 2" xfId="5158" xr:uid="{51C5332E-A1BE-40DA-B19C-F5FF4AF07E5F}"/>
    <cellStyle name="20% - Accent6 2 3 5 2 2 2" xfId="9383" xr:uid="{11795B70-C4B6-4E5D-B823-8DCB98BE0971}"/>
    <cellStyle name="20% - Accent6 2 3 5 2 3" xfId="3650" xr:uid="{F0B774C9-7F1E-4684-B423-A5809911C079}"/>
    <cellStyle name="20% - Accent6 2 3 5 2 3 2" xfId="8117" xr:uid="{560E0228-4DFC-4E65-BFFC-DD6338AB0C11}"/>
    <cellStyle name="20% - Accent6 2 3 5 2 4" xfId="6695" xr:uid="{03AA7A4A-A5E5-4BDF-A875-33D44B0C5B29}"/>
    <cellStyle name="20% - Accent6 2 3 5 3" xfId="4056" xr:uid="{D2E9BB97-46A5-4490-B6C0-04437219D317}"/>
    <cellStyle name="20% - Accent6 2 3 5 3 2" xfId="8505" xr:uid="{1577BD54-AE2F-45E6-A0AC-F28DF5E26E79}"/>
    <cellStyle name="20% - Accent6 2 3 5 4" xfId="4774" xr:uid="{A66CFA25-4189-4CB5-B2AC-7AB9B37177A2}"/>
    <cellStyle name="20% - Accent6 2 3 5 4 2" xfId="9020" xr:uid="{3FE227A9-7938-4889-8874-CFF6E6611E3F}"/>
    <cellStyle name="20% - Accent6 2 3 5 5" xfId="3234" xr:uid="{49BA99E6-C4C2-4099-85D6-55C7C4F15EBF}"/>
    <cellStyle name="20% - Accent6 2 3 5 5 2" xfId="7729" xr:uid="{7D963386-D3AF-44A0-95AC-E7E9B5A2B798}"/>
    <cellStyle name="20% - Accent6 2 3 5 6" xfId="5716" xr:uid="{1247330A-86F7-45D2-9BAD-F443F5F6B11D}"/>
    <cellStyle name="20% - Accent6 2 3 6" xfId="1188" xr:uid="{A4A27DF1-0E37-4C71-A672-90FD40B88AE1}"/>
    <cellStyle name="20% - Accent6 2 3 6 2" xfId="2174" xr:uid="{3767FF37-F70B-4CC9-88FD-8480E22B0CBD}"/>
    <cellStyle name="20% - Accent6 2 3 6 2 2" xfId="4980" xr:uid="{B3A3E775-D8D5-4A7A-985A-C5F3109EFCC5}"/>
    <cellStyle name="20% - Accent6 2 3 6 2 2 2" xfId="9209" xr:uid="{998C56C0-4CDE-43B3-B06D-611C5F1788A9}"/>
    <cellStyle name="20% - Accent6 2 3 6 2 3" xfId="3439" xr:uid="{5202F2CB-BFC8-491C-8AE7-246C691AD531}"/>
    <cellStyle name="20% - Accent6 2 3 6 2 3 2" xfId="7907" xr:uid="{261603E1-17CC-48F1-B8D2-23921101E824}"/>
    <cellStyle name="20% - Accent6 2 3 6 2 4" xfId="6739" xr:uid="{A4B23383-3953-4C3F-B47B-2A6E23BDAF8A}"/>
    <cellStyle name="20% - Accent6 2 3 6 3" xfId="3846" xr:uid="{30B184B7-55EE-475E-8E63-0C4D5B4F5D78}"/>
    <cellStyle name="20% - Accent6 2 3 6 3 2" xfId="8295" xr:uid="{40ABB20A-3007-43C4-AAA3-8CCA17011CE1}"/>
    <cellStyle name="20% - Accent6 2 3 6 4" xfId="4497" xr:uid="{32A8E991-A5BD-46B3-8DE6-6DE2EBF677CB}"/>
    <cellStyle name="20% - Accent6 2 3 6 4 2" xfId="8768" xr:uid="{C70624A0-3C11-488F-8DDB-AAA759897EC8}"/>
    <cellStyle name="20% - Accent6 2 3 6 5" xfId="2987" xr:uid="{AD247674-34ED-4138-901D-3FD13295B75A}"/>
    <cellStyle name="20% - Accent6 2 3 6 5 2" xfId="7519" xr:uid="{2AAE1D34-5507-44FF-8E51-6DF7B49195B9}"/>
    <cellStyle name="20% - Accent6 2 3 6 6" xfId="5760" xr:uid="{12086387-9103-46EB-8BA4-0120396B1AC3}"/>
    <cellStyle name="20% - Accent6 2 3 7" xfId="1428" xr:uid="{BC88DEB4-FBE1-43FA-B7B5-F60891881EA7}"/>
    <cellStyle name="20% - Accent6 2 3 7 2" xfId="2408" xr:uid="{FA0BF6EF-EDC0-460E-B083-BD3D324F504E}"/>
    <cellStyle name="20% - Accent6 2 3 7 2 2" xfId="4863" xr:uid="{629B7C70-2ACF-490B-BA4A-E1D6E890ED15}"/>
    <cellStyle name="20% - Accent6 2 3 7 2 2 2" xfId="9098" xr:uid="{0B31029B-EB4B-4C31-A90E-1D3FA43863E8}"/>
    <cellStyle name="20% - Accent6 2 3 7 2 3" xfId="6973" xr:uid="{14792425-B17D-49F1-B830-7A4B55F60625}"/>
    <cellStyle name="20% - Accent6 2 3 7 3" xfId="3344" xr:uid="{782D5E30-87A3-4F7C-A46C-36C74D43E01D}"/>
    <cellStyle name="20% - Accent6 2 3 7 3 2" xfId="7833" xr:uid="{0B7E6A46-7025-4A60-B859-8F49A9EEBDA2}"/>
    <cellStyle name="20% - Accent6 2 3 7 4" xfId="5994" xr:uid="{FAA5EDB8-24B0-478D-AACB-463861E24D8E}"/>
    <cellStyle name="20% - Accent6 2 3 8" xfId="1679" xr:uid="{BE05A19B-E7C2-4430-B84D-82D58ED0523C}"/>
    <cellStyle name="20% - Accent6 2 3 8 2" xfId="2659" xr:uid="{04E796A8-B74D-4248-BCA9-10142CA37F71}"/>
    <cellStyle name="20% - Accent6 2 3 8 2 2" xfId="7224" xr:uid="{9DBFEAFB-492F-4106-B33D-E9BA25A4E889}"/>
    <cellStyle name="20% - Accent6 2 3 8 3" xfId="3768" xr:uid="{86E9BD1E-0ACA-4E46-A65F-55B2E7D888EA}"/>
    <cellStyle name="20% - Accent6 2 3 8 3 2" xfId="8221" xr:uid="{4ED1A86C-17E4-45F8-93ED-95B99CB12619}"/>
    <cellStyle name="20% - Accent6 2 3 8 4" xfId="6245" xr:uid="{07ABE2E6-9CAC-4C65-B7CE-FB251A9412DC}"/>
    <cellStyle name="20% - Accent6 2 3 9" xfId="1899" xr:uid="{EF102679-980D-478B-83D2-B9C6C9EC6432}"/>
    <cellStyle name="20% - Accent6 2 3 9 2" xfId="4193" xr:uid="{046B3943-7C97-4E8A-B45E-9C437E422BA4}"/>
    <cellStyle name="20% - Accent6 2 3 9 2 2" xfId="8612" xr:uid="{9B656C0F-5ECD-42C5-83F4-79A5A87D4B76}"/>
    <cellStyle name="20% - Accent6 2 3 9 3" xfId="6464" xr:uid="{66C97572-386B-430E-AF5B-3BDE7BB00C82}"/>
    <cellStyle name="20% - Accent6 2 4" xfId="753" xr:uid="{1255E106-2306-4A7E-AA31-F3E3830E161F}"/>
    <cellStyle name="20% - Accent6 2 5" xfId="752" xr:uid="{9B2C5067-C5A5-45EA-AC89-3EB324CC534F}"/>
    <cellStyle name="20% - Accent6 2 6" xfId="1064" xr:uid="{3DB7F792-10AE-4B66-9C11-2A9D0E3733C0}"/>
    <cellStyle name="20% - Accent6 3" xfId="59" xr:uid="{E188839A-C94A-4A48-B2C3-B426757DCB04}"/>
    <cellStyle name="20% - Accent6 4" xfId="60" xr:uid="{76F6E507-1B29-4DF6-937B-9B827D75A130}"/>
    <cellStyle name="40% - Accent1 2" xfId="61" xr:uid="{3989FD1F-09EF-4720-9A1E-C6926AC4E571}"/>
    <cellStyle name="40% - Accent1 2 2" xfId="62" xr:uid="{C25ACA7D-28F9-4015-8BBC-62D03D7F44AD}"/>
    <cellStyle name="40% - Accent1 2 3" xfId="63" xr:uid="{BD79734C-34C1-4476-921C-2F725A498D75}"/>
    <cellStyle name="40% - Accent1 2 3 10" xfId="2881" xr:uid="{42B5C014-F3D5-44C1-B2B9-5AC174598CD3}"/>
    <cellStyle name="40% - Accent1 2 3 10 2" xfId="7446" xr:uid="{72BE5595-8579-42BE-8524-151E30772972}"/>
    <cellStyle name="40% - Accent1 2 3 11" xfId="5486" xr:uid="{AD9BE6D2-0198-4DDB-94E2-A48EB998110A}"/>
    <cellStyle name="40% - Accent1 2 3 2" xfId="835" xr:uid="{8EE1E3E3-507B-4804-9793-61A16F98C6E1}"/>
    <cellStyle name="40% - Accent1 2 3 2 2" xfId="941" xr:uid="{48EAA86B-01FB-437E-B3F1-0ED1E37D77FC}"/>
    <cellStyle name="40% - Accent1 2 3 2 2 2" xfId="1314" xr:uid="{0686B4E3-E987-4B3A-91B3-51FE0937DA70}"/>
    <cellStyle name="40% - Accent1 2 3 2 2 2 2" xfId="2294" xr:uid="{3DF0FABB-6246-4104-B55A-F22D600BC55D}"/>
    <cellStyle name="40% - Accent1 2 3 2 2 2 2 2" xfId="4704" xr:uid="{423CFB24-026B-4BB3-A90A-80D64825066C}"/>
    <cellStyle name="40% - Accent1 2 3 2 2 2 2 2 2" xfId="8950" xr:uid="{2BF26D81-7B45-40EA-B9A4-B8070AEDF616}"/>
    <cellStyle name="40% - Accent1 2 3 2 2 2 2 3" xfId="6859" xr:uid="{0B7BBBFF-0AA0-4D99-A3AD-75863BF071A3}"/>
    <cellStyle name="40% - Accent1 2 3 2 2 2 3" xfId="3579" xr:uid="{8FF3DF10-1BFE-4E47-8FC8-00997C9F24FD}"/>
    <cellStyle name="40% - Accent1 2 3 2 2 2 3 2" xfId="8046" xr:uid="{65E64812-89A0-4FE8-BC92-8F60273B4CE4}"/>
    <cellStyle name="40% - Accent1 2 3 2 2 2 4" xfId="5880" xr:uid="{3901CF9C-11D2-4358-84DD-A0E65E650CBB}"/>
    <cellStyle name="40% - Accent1 2 3 2 2 3" xfId="1548" xr:uid="{BB4AC468-705D-4AFE-BDE8-A0CC83677A48}"/>
    <cellStyle name="40% - Accent1 2 3 2 2 3 2" xfId="2528" xr:uid="{C92B2CA0-F598-43FF-A8FE-1FC8B454AB8A}"/>
    <cellStyle name="40% - Accent1 2 3 2 2 3 2 2" xfId="5087" xr:uid="{2B4CABFC-932E-4E9E-A7D6-415548166F3E}"/>
    <cellStyle name="40% - Accent1 2 3 2 2 3 2 2 2" xfId="9312" xr:uid="{9EF1EB3B-C14A-4B15-BDB8-380A0C6B57C9}"/>
    <cellStyle name="40% - Accent1 2 3 2 2 3 2 3" xfId="7093" xr:uid="{54712A10-2258-4C73-80B6-EBA606AEA68E}"/>
    <cellStyle name="40% - Accent1 2 3 2 2 3 3" xfId="3985" xr:uid="{326357B2-E004-4C26-BC3B-F279E18C0887}"/>
    <cellStyle name="40% - Accent1 2 3 2 2 3 3 2" xfId="8434" xr:uid="{26A4F49F-5D03-437E-ABE3-0D75CFFB1823}"/>
    <cellStyle name="40% - Accent1 2 3 2 2 3 4" xfId="6114" xr:uid="{9FFDD921-1250-4167-9DD7-D671C295D608}"/>
    <cellStyle name="40% - Accent1 2 3 2 2 4" xfId="1782" xr:uid="{E0D995E6-C6C7-43A1-9E34-C98D510DFCE3}"/>
    <cellStyle name="40% - Accent1 2 3 2 2 4 2" xfId="2761" xr:uid="{A046DCBD-E305-4EEE-AD45-4D6CE9EFE6D6}"/>
    <cellStyle name="40% - Accent1 2 3 2 2 4 2 2" xfId="7326" xr:uid="{50577C8F-405A-49DA-83B3-F40A95DB331D}"/>
    <cellStyle name="40% - Accent1 2 3 2 2 4 3" xfId="4436" xr:uid="{89A71601-8FB9-4341-BB3A-DD7262E3AEAF}"/>
    <cellStyle name="40% - Accent1 2 3 2 2 4 3 2" xfId="8713" xr:uid="{B050FDF9-D247-43EA-A390-1B6EAF53854E}"/>
    <cellStyle name="40% - Accent1 2 3 2 2 4 4" xfId="6347" xr:uid="{3078ABAF-AF8C-4B27-96CF-D0D7E1AB3765}"/>
    <cellStyle name="40% - Accent1 2 3 2 2 5" xfId="2019" xr:uid="{53B3C90F-6A0E-458B-BDAC-15EEAA6544DF}"/>
    <cellStyle name="40% - Accent1 2 3 2 2 5 2" xfId="6584" xr:uid="{727A4437-BA12-4183-A669-E86CC62AE5EC}"/>
    <cellStyle name="40% - Accent1 2 3 2 2 6" xfId="3163" xr:uid="{2EA622D3-8EEA-47E6-BB0B-997D3F4E36CD}"/>
    <cellStyle name="40% - Accent1 2 3 2 2 6 2" xfId="7658" xr:uid="{0B439134-A014-4DAA-8E8A-8C8AFF00D53C}"/>
    <cellStyle name="40% - Accent1 2 3 2 2 7" xfId="5605" xr:uid="{07B319CA-3901-4EA3-9519-962D326EF391}"/>
    <cellStyle name="40% - Accent1 2 3 2 3" xfId="1023" xr:uid="{05809D67-8DAA-4BC6-A68C-87441A98B1BA}"/>
    <cellStyle name="40% - Accent1 2 3 2 3 2" xfId="1391" xr:uid="{7B440149-BCB8-4F91-98AF-32B7D8427631}"/>
    <cellStyle name="40% - Accent1 2 3 2 3 2 2" xfId="2371" xr:uid="{19B3EAB1-3E98-4164-AA98-807F4FDCBDBB}"/>
    <cellStyle name="40% - Accent1 2 3 2 3 2 2 2" xfId="5192" xr:uid="{29D87B0A-2619-41B6-B0A4-59DB836EB0E1}"/>
    <cellStyle name="40% - Accent1 2 3 2 3 2 2 2 2" xfId="9417" xr:uid="{71AC7DB8-515D-4F7B-9624-EBEBCA936111}"/>
    <cellStyle name="40% - Accent1 2 3 2 3 2 2 3" xfId="6936" xr:uid="{04743A7C-4B58-4960-A6EF-3D07144E1983}"/>
    <cellStyle name="40% - Accent1 2 3 2 3 2 3" xfId="3684" xr:uid="{B3775F52-EC8E-4F3C-98B3-832181309F8D}"/>
    <cellStyle name="40% - Accent1 2 3 2 3 2 3 2" xfId="8151" xr:uid="{8132FDF2-DBE8-4468-97CD-5B1C39BD2053}"/>
    <cellStyle name="40% - Accent1 2 3 2 3 2 4" xfId="5957" xr:uid="{940367AB-B10D-4967-8CD9-CF65BE6EDF64}"/>
    <cellStyle name="40% - Accent1 2 3 2 3 3" xfId="1625" xr:uid="{E545A649-BD87-4A6A-8A57-F9BBBE54D99C}"/>
    <cellStyle name="40% - Accent1 2 3 2 3 3 2" xfId="2605" xr:uid="{251B1FF3-D0B6-4FD2-8F1A-1991196CD63A}"/>
    <cellStyle name="40% - Accent1 2 3 2 3 3 2 2" xfId="7170" xr:uid="{18552893-0F90-4E60-BFE0-459BB2D00B5C}"/>
    <cellStyle name="40% - Accent1 2 3 2 3 3 3" xfId="4090" xr:uid="{764CDC36-E78A-4AD6-833F-B2DFC9FD0091}"/>
    <cellStyle name="40% - Accent1 2 3 2 3 3 3 2" xfId="8539" xr:uid="{E834C347-3135-4DCA-B177-2ACEACECB4D7}"/>
    <cellStyle name="40% - Accent1 2 3 2 3 3 4" xfId="6191" xr:uid="{6F7A90C2-04D7-4D5C-937D-0AB2E20B13E5}"/>
    <cellStyle name="40% - Accent1 2 3 2 3 4" xfId="1859" xr:uid="{8A6A4B61-FA5E-4E77-9D07-DFFDB9F61D89}"/>
    <cellStyle name="40% - Accent1 2 3 2 3 4 2" xfId="2838" xr:uid="{7FC18CF9-5ADC-4218-8BF9-E6054663BD18}"/>
    <cellStyle name="40% - Accent1 2 3 2 3 4 2 2" xfId="7403" xr:uid="{0493D704-E06F-4E28-921A-156380E37310}"/>
    <cellStyle name="40% - Accent1 2 3 2 3 4 3" xfId="4570" xr:uid="{C0334810-B674-4098-BB60-903505AF2F0B}"/>
    <cellStyle name="40% - Accent1 2 3 2 3 4 3 2" xfId="8825" xr:uid="{946070B4-B895-4D6D-AE6F-3CBEA3E7F5D8}"/>
    <cellStyle name="40% - Accent1 2 3 2 3 4 4" xfId="6424" xr:uid="{3501CB1F-BE5F-4B3A-8539-7E0359D3D19C}"/>
    <cellStyle name="40% - Accent1 2 3 2 3 5" xfId="2096" xr:uid="{18350A62-7E99-4042-8BEB-4F7A0F06AA36}"/>
    <cellStyle name="40% - Accent1 2 3 2 3 5 2" xfId="6661" xr:uid="{245815D5-335E-4CEF-A95B-030096D3349D}"/>
    <cellStyle name="40% - Accent1 2 3 2 3 6" xfId="3270" xr:uid="{D782236B-F0CF-4B6D-B60D-08DA8FC382E3}"/>
    <cellStyle name="40% - Accent1 2 3 2 3 6 2" xfId="7763" xr:uid="{5A154F5E-25EB-4B45-AB83-1096F57DD500}"/>
    <cellStyle name="40% - Accent1 2 3 2 3 7" xfId="5682" xr:uid="{548F4C99-906A-458D-9413-BB740F327614}"/>
    <cellStyle name="40% - Accent1 2 3 2 4" xfId="1235" xr:uid="{2987F988-1AF5-4D74-958A-6E70BAEC2E3A}"/>
    <cellStyle name="40% - Accent1 2 3 2 4 2" xfId="2217" xr:uid="{0655CD89-0D53-4F07-B3A1-CE180CD1DBDE}"/>
    <cellStyle name="40% - Accent1 2 3 2 4 2 2" xfId="4920" xr:uid="{D2F6C2E5-EC22-4F1B-9CB5-00AD648A8D18}"/>
    <cellStyle name="40% - Accent1 2 3 2 4 2 2 2" xfId="9150" xr:uid="{41D1ED74-1EDE-45DF-9BEC-A521406DA621}"/>
    <cellStyle name="40% - Accent1 2 3 2 4 2 3" xfId="3474" xr:uid="{D415A9C1-86C6-43FD-AEE8-89117D65D946}"/>
    <cellStyle name="40% - Accent1 2 3 2 4 2 3 2" xfId="7941" xr:uid="{75C407E1-EE4B-4673-9FCC-C98442664686}"/>
    <cellStyle name="40% - Accent1 2 3 2 4 2 4" xfId="6782" xr:uid="{2CB1D745-1264-4D96-9DD7-11025B1D8914}"/>
    <cellStyle name="40% - Accent1 2 3 2 4 3" xfId="3880" xr:uid="{33F6A08B-9CD6-461F-AB43-64B33E04FC29}"/>
    <cellStyle name="40% - Accent1 2 3 2 4 3 2" xfId="8329" xr:uid="{D98A0421-6D22-43A8-A875-330B8202DEBD}"/>
    <cellStyle name="40% - Accent1 2 3 2 4 4" xfId="4556" xr:uid="{7A1FAEAF-C3C4-4232-A7F6-DEFFB7C5ADCD}"/>
    <cellStyle name="40% - Accent1 2 3 2 4 4 2" xfId="8812" xr:uid="{0D287D3B-67F0-41B6-A692-1A914474B28E}"/>
    <cellStyle name="40% - Accent1 2 3 2 4 5" xfId="3043" xr:uid="{5FCBCA29-1E63-4DD7-B97F-44066DB7ECD3}"/>
    <cellStyle name="40% - Accent1 2 3 2 4 5 2" xfId="7553" xr:uid="{0148EFD3-5A20-4AED-ADC9-460F0FAE76B6}"/>
    <cellStyle name="40% - Accent1 2 3 2 4 6" xfId="5803" xr:uid="{0640AE35-B8AF-4EB9-8C08-34F06FF16149}"/>
    <cellStyle name="40% - Accent1 2 3 2 5" xfId="1471" xr:uid="{3BED77AE-3C55-4A2C-A881-895339AA61F0}"/>
    <cellStyle name="40% - Accent1 2 3 2 5 2" xfId="2451" xr:uid="{4DAA33D4-3D9C-44C7-ABC3-EBE4E755021B}"/>
    <cellStyle name="40% - Accent1 2 3 2 5 2 2" xfId="4935" xr:uid="{324D7022-114F-4CE5-989A-CBA9F6CD1922}"/>
    <cellStyle name="40% - Accent1 2 3 2 5 2 2 2" xfId="9165" xr:uid="{48BB512F-67B8-4970-8C3D-C255CEE4E4FB}"/>
    <cellStyle name="40% - Accent1 2 3 2 5 2 3" xfId="7016" xr:uid="{D4E1E267-9156-4973-9FC0-5DFA7E354600}"/>
    <cellStyle name="40% - Accent1 2 3 2 5 3" xfId="3400" xr:uid="{A04110D7-D288-49CA-AB4E-1351010E1438}"/>
    <cellStyle name="40% - Accent1 2 3 2 5 3 2" xfId="7868" xr:uid="{0D41C60C-C8CF-4C7E-B566-990CADB5D3FF}"/>
    <cellStyle name="40% - Accent1 2 3 2 5 4" xfId="6037" xr:uid="{E9E882D8-D8B7-4BB1-B18A-717DB239B60B}"/>
    <cellStyle name="40% - Accent1 2 3 2 6" xfId="1669" xr:uid="{14E62864-2EF0-4DCA-B12B-F985443826C7}"/>
    <cellStyle name="40% - Accent1 2 3 2 6 2" xfId="2649" xr:uid="{19FD1665-2EE5-4AF9-8F48-47590A8F4DAB}"/>
    <cellStyle name="40% - Accent1 2 3 2 6 2 2" xfId="7214" xr:uid="{1B05EEEB-F930-41AE-9373-F8AB3D382559}"/>
    <cellStyle name="40% - Accent1 2 3 2 6 3" xfId="3807" xr:uid="{0E9908F9-CADD-4162-B3C9-C050E946A7FF}"/>
    <cellStyle name="40% - Accent1 2 3 2 6 3 2" xfId="8256" xr:uid="{4D63B7A7-5764-49DA-904D-059B288F09C2}"/>
    <cellStyle name="40% - Accent1 2 3 2 6 4" xfId="6235" xr:uid="{3180B2F8-6F27-41F8-ABA2-5A55AE2E1AB6}"/>
    <cellStyle name="40% - Accent1 2 3 2 7" xfId="1942" xr:uid="{3EB85937-D982-469B-B6B1-81E68368A675}"/>
    <cellStyle name="40% - Accent1 2 3 2 7 2" xfId="4288" xr:uid="{08AC0C09-1BB9-4057-B86D-8AB6C5137EAB}"/>
    <cellStyle name="40% - Accent1 2 3 2 7 2 2" xfId="8641" xr:uid="{9EC01C3C-9F01-49EF-9789-B8D47448A854}"/>
    <cellStyle name="40% - Accent1 2 3 2 7 3" xfId="6507" xr:uid="{A6EE8118-1A87-4A4A-BBC3-7F982BB5D829}"/>
    <cellStyle name="40% - Accent1 2 3 2 8" xfId="2918" xr:uid="{A36FD538-CF06-4400-9582-E5227324FE3C}"/>
    <cellStyle name="40% - Accent1 2 3 2 8 2" xfId="7480" xr:uid="{4C5AD7DA-9591-4E25-9CDD-78B5B4F216A2}"/>
    <cellStyle name="40% - Accent1 2 3 2 9" xfId="5528" xr:uid="{CCA3AFC1-3325-4E82-9F19-628AF5D30EBD}"/>
    <cellStyle name="40% - Accent1 2 3 3" xfId="870" xr:uid="{3FB8EB95-258D-4E91-B396-574A19631C69}"/>
    <cellStyle name="40% - Accent1 2 3 3 2" xfId="1270" xr:uid="{6452D2BC-6B30-458E-825C-D52452B28B51}"/>
    <cellStyle name="40% - Accent1 2 3 3 2 2" xfId="2252" xr:uid="{AB742840-C0B0-4E06-93F3-751EA07F6F13}"/>
    <cellStyle name="40% - Accent1 2 3 3 2 2 2" xfId="5121" xr:uid="{BF795377-65A1-4020-B33E-FA70C9A31ED8}"/>
    <cellStyle name="40% - Accent1 2 3 3 2 2 2 2" xfId="9346" xr:uid="{13F03D4E-8626-4789-A3F9-BB053C9D9ECB}"/>
    <cellStyle name="40% - Accent1 2 3 3 2 2 3" xfId="3613" xr:uid="{E1523112-85B2-4840-9E02-68009BB626E9}"/>
    <cellStyle name="40% - Accent1 2 3 3 2 2 3 2" xfId="8080" xr:uid="{656650DD-762A-4534-A0DE-90D86EF8A952}"/>
    <cellStyle name="40% - Accent1 2 3 3 2 2 4" xfId="6817" xr:uid="{FBB25353-9724-4DB9-959B-5AD3F1CA0546}"/>
    <cellStyle name="40% - Accent1 2 3 3 2 3" xfId="4019" xr:uid="{5DC28898-A419-49EF-8D26-E2AF0A1461B5}"/>
    <cellStyle name="40% - Accent1 2 3 3 2 3 2" xfId="8468" xr:uid="{1A72015B-4E31-49FC-B2FA-6957D69B1BF3}"/>
    <cellStyle name="40% - Accent1 2 3 3 2 4" xfId="4737" xr:uid="{FB3F6313-42C2-4749-95EA-49F40F34D3B3}"/>
    <cellStyle name="40% - Accent1 2 3 3 2 4 2" xfId="8983" xr:uid="{66E87352-7D07-459D-8032-5DED9880A0A5}"/>
    <cellStyle name="40% - Accent1 2 3 3 2 5" xfId="3197" xr:uid="{469A235F-0EEC-427B-B9C2-9C07517AA099}"/>
    <cellStyle name="40% - Accent1 2 3 3 2 5 2" xfId="7692" xr:uid="{1BE4051A-88C7-4E49-ADE8-D8E6958AD4FB}"/>
    <cellStyle name="40% - Accent1 2 3 3 2 6" xfId="5838" xr:uid="{32E1CE89-0D0A-4B65-B034-F758136B6982}"/>
    <cellStyle name="40% - Accent1 2 3 3 3" xfId="1506" xr:uid="{4B4B57E4-5EEB-4DF3-90CC-9066FEFB3E77}"/>
    <cellStyle name="40% - Accent1 2 3 3 3 2" xfId="2486" xr:uid="{503ADA8B-F3DB-46BA-8CF3-F6EB6825A061}"/>
    <cellStyle name="40% - Accent1 2 3 3 3 2 2" xfId="5226" xr:uid="{0CDB6299-73CF-484F-B9BC-888C0A538A58}"/>
    <cellStyle name="40% - Accent1 2 3 3 3 2 2 2" xfId="9451" xr:uid="{5FBC6DB1-EB17-4703-ABB0-6F73358995D7}"/>
    <cellStyle name="40% - Accent1 2 3 3 3 2 3" xfId="3718" xr:uid="{5E7202B5-2F86-473B-9669-44B7D25346EB}"/>
    <cellStyle name="40% - Accent1 2 3 3 3 2 3 2" xfId="8185" xr:uid="{A253E25D-401D-49C3-A39D-EA2136712276}"/>
    <cellStyle name="40% - Accent1 2 3 3 3 2 4" xfId="7051" xr:uid="{EDA2516C-0507-41FC-B69C-8290F3F11684}"/>
    <cellStyle name="40% - Accent1 2 3 3 3 3" xfId="4124" xr:uid="{E8311B3E-25DC-4314-AE73-CE37A9EC50C5}"/>
    <cellStyle name="40% - Accent1 2 3 3 3 3 2" xfId="8573" xr:uid="{4F665CDF-9AB0-4877-89EF-AFD975DB3212}"/>
    <cellStyle name="40% - Accent1 2 3 3 3 4" xfId="4814" xr:uid="{4292E1BB-7EC3-4D08-A737-0D1314B54550}"/>
    <cellStyle name="40% - Accent1 2 3 3 3 4 2" xfId="9060" xr:uid="{367E8B37-35A6-46B7-A58D-753925686953}"/>
    <cellStyle name="40% - Accent1 2 3 3 3 5" xfId="3308" xr:uid="{53FA6C9E-F46E-4286-91B0-1E8C24DCA28E}"/>
    <cellStyle name="40% - Accent1 2 3 3 3 5 2" xfId="7797" xr:uid="{0131D323-0612-4B04-9255-602C8146CE50}"/>
    <cellStyle name="40% - Accent1 2 3 3 3 6" xfId="6072" xr:uid="{CDCCBD86-1F0F-4373-BC45-F67D30848B67}"/>
    <cellStyle name="40% - Accent1 2 3 3 4" xfId="1740" xr:uid="{5DA8C638-EE40-4C8E-B07F-276E343527D2}"/>
    <cellStyle name="40% - Accent1 2 3 3 4 2" xfId="2719" xr:uid="{D60D9A8E-7AB5-424E-B6FE-45100F515CA6}"/>
    <cellStyle name="40% - Accent1 2 3 3 4 2 2" xfId="4658" xr:uid="{99EF962B-4CB1-4EF2-8A32-6B953A841944}"/>
    <cellStyle name="40% - Accent1 2 3 3 4 2 2 2" xfId="8904" xr:uid="{84ECBBEB-0A54-4E7F-B613-E3BA24D4C348}"/>
    <cellStyle name="40% - Accent1 2 3 3 4 2 3" xfId="7284" xr:uid="{545C4901-36D2-456B-8F11-90F06F8C86A8}"/>
    <cellStyle name="40% - Accent1 2 3 3 4 3" xfId="3508" xr:uid="{AC75650D-E975-47EB-B9F0-0C7F271ADEC7}"/>
    <cellStyle name="40% - Accent1 2 3 3 4 3 2" xfId="7975" xr:uid="{DD2258C2-5DB5-4943-A6AA-ADBE6F77E662}"/>
    <cellStyle name="40% - Accent1 2 3 3 4 4" xfId="6305" xr:uid="{1BBAD439-CDEA-4E5B-AA5F-E2C0B8011911}"/>
    <cellStyle name="40% - Accent1 2 3 3 5" xfId="1977" xr:uid="{CFFE882A-8B3F-4B7D-A359-C03EC7559EB0}"/>
    <cellStyle name="40% - Accent1 2 3 3 5 2" xfId="5018" xr:uid="{B943738C-FAD8-465E-AFD2-613CC4E9AFC0}"/>
    <cellStyle name="40% - Accent1 2 3 3 5 2 2" xfId="9244" xr:uid="{EB7C6A7C-0A22-4821-892F-CF53A418676A}"/>
    <cellStyle name="40% - Accent1 2 3 3 5 3" xfId="3914" xr:uid="{43D57D88-5E7D-4ED1-986B-FF84EF3EA4D5}"/>
    <cellStyle name="40% - Accent1 2 3 3 5 3 2" xfId="8363" xr:uid="{2684B5FE-4787-4884-AF49-5BC986531F2E}"/>
    <cellStyle name="40% - Accent1 2 3 3 5 4" xfId="6542" xr:uid="{4B3966BF-3107-45FF-8CD3-129A8EC41105}"/>
    <cellStyle name="40% - Accent1 2 3 3 6" xfId="4408" xr:uid="{9F115B0B-D7B5-4C7A-A833-2A3AFD02C0E6}"/>
    <cellStyle name="40% - Accent1 2 3 3 6 2" xfId="8685" xr:uid="{F80E7600-5B61-479B-87C6-83587780852E}"/>
    <cellStyle name="40% - Accent1 2 3 3 7" xfId="3081" xr:uid="{422099F1-4306-42F8-BF69-CDAD35075188}"/>
    <cellStyle name="40% - Accent1 2 3 3 7 2" xfId="7587" xr:uid="{D6688036-C61C-4D9A-AD62-96CEAEC46731}"/>
    <cellStyle name="40% - Accent1 2 3 3 8" xfId="5563" xr:uid="{865345C4-BA00-44E2-A7C5-8189748B4ED7}"/>
    <cellStyle name="40% - Accent1 2 3 4" xfId="981" xr:uid="{E380B157-9E2C-4768-B24B-69DD815A705D}"/>
    <cellStyle name="40% - Accent1 2 3 4 2" xfId="1349" xr:uid="{F84A3C80-9E8D-4D30-81A2-6EC74FEF29BF}"/>
    <cellStyle name="40% - Accent1 2 3 4 2 2" xfId="2329" xr:uid="{AB4380A4-BB6D-4585-8836-69BE49404AA7}"/>
    <cellStyle name="40% - Accent1 2 3 4 2 2 2" xfId="5054" xr:uid="{6E61F7EB-BCC1-4E64-BC63-F7943CF2F95A}"/>
    <cellStyle name="40% - Accent1 2 3 4 2 2 2 2" xfId="9280" xr:uid="{FA778361-2CE1-4C0C-8B40-416C04ABA4CD}"/>
    <cellStyle name="40% - Accent1 2 3 4 2 2 3" xfId="6894" xr:uid="{5C875B9B-2B33-4727-A4A8-EC0CBCF419A3}"/>
    <cellStyle name="40% - Accent1 2 3 4 2 3" xfId="3546" xr:uid="{1BAB0280-C33D-4651-AB5F-A36F6F2E175A}"/>
    <cellStyle name="40% - Accent1 2 3 4 2 3 2" xfId="8013" xr:uid="{8725D08A-E6AD-414B-BEC6-5052DE045FDE}"/>
    <cellStyle name="40% - Accent1 2 3 4 2 4" xfId="5915" xr:uid="{2AA0F162-DD1D-4DE4-A471-F2DB66C3FB9C}"/>
    <cellStyle name="40% - Accent1 2 3 4 3" xfId="1583" xr:uid="{084D5C09-4164-4751-A262-1478D35A8C39}"/>
    <cellStyle name="40% - Accent1 2 3 4 3 2" xfId="2563" xr:uid="{CAAE661B-3EC2-4B42-9F62-341AA85F3FF9}"/>
    <cellStyle name="40% - Accent1 2 3 4 3 2 2" xfId="7128" xr:uid="{F6233DC3-C2D7-46A7-A91E-BDD1AB232B1C}"/>
    <cellStyle name="40% - Accent1 2 3 4 3 3" xfId="3952" xr:uid="{155F6B2F-F418-42D9-A62B-EDB6F93DBF91}"/>
    <cellStyle name="40% - Accent1 2 3 4 3 3 2" xfId="8401" xr:uid="{3EBFB2D0-7CB8-4F05-BB30-3EFFEE52EF48}"/>
    <cellStyle name="40% - Accent1 2 3 4 3 4" xfId="6149" xr:uid="{77720230-A290-4823-813A-9F05431D7B73}"/>
    <cellStyle name="40% - Accent1 2 3 4 4" xfId="1817" xr:uid="{C738D841-F2E2-40CA-8660-A428C64AEDEE}"/>
    <cellStyle name="40% - Accent1 2 3 4 4 2" xfId="2796" xr:uid="{0C18F97B-8E7F-4116-9524-A09DD9E004E1}"/>
    <cellStyle name="40% - Accent1 2 3 4 4 2 2" xfId="7361" xr:uid="{BD1097F1-9867-4450-A3CF-6F5DA6E0F128}"/>
    <cellStyle name="40% - Accent1 2 3 4 4 3" xfId="4483" xr:uid="{23B11BC2-FA2A-4D49-A941-5BD1E096107C}"/>
    <cellStyle name="40% - Accent1 2 3 4 4 3 2" xfId="8759" xr:uid="{7CD14A47-B07C-4A95-8B71-4582E016DFD9}"/>
    <cellStyle name="40% - Accent1 2 3 4 4 4" xfId="6382" xr:uid="{8C69DF10-9947-40BC-809E-0016235798F8}"/>
    <cellStyle name="40% - Accent1 2 3 4 5" xfId="2054" xr:uid="{11139B5A-3650-46F1-8F22-B48CD7BDEA83}"/>
    <cellStyle name="40% - Accent1 2 3 4 5 2" xfId="6619" xr:uid="{88D674AE-8ED4-4510-A4A3-073EF4B9EE30}"/>
    <cellStyle name="40% - Accent1 2 3 4 6" xfId="3130" xr:uid="{05A5672C-AAE5-4637-A152-5855C43686A1}"/>
    <cellStyle name="40% - Accent1 2 3 4 6 2" xfId="7625" xr:uid="{ABA17DC7-BBF9-47A5-8AE5-0F19F0316E6E}"/>
    <cellStyle name="40% - Accent1 2 3 4 7" xfId="5640" xr:uid="{0EA48C00-FF33-4745-9D66-42FF30B5E8A9}"/>
    <cellStyle name="40% - Accent1 2 3 5" xfId="1065" xr:uid="{97917032-7624-433A-A34B-A8486390730D}"/>
    <cellStyle name="40% - Accent1 2 3 5 2" xfId="2131" xr:uid="{63D28162-719D-4A76-88EA-D370EB585B0E}"/>
    <cellStyle name="40% - Accent1 2 3 5 2 2" xfId="5159" xr:uid="{754F4BC6-4380-48D8-897D-3B5C2D214C57}"/>
    <cellStyle name="40% - Accent1 2 3 5 2 2 2" xfId="9384" xr:uid="{28196FD5-3FB7-4CED-AAA4-8DD0ED0789A8}"/>
    <cellStyle name="40% - Accent1 2 3 5 2 3" xfId="3651" xr:uid="{1B65D4A6-CE26-480B-B34A-0B72B3A3AFBE}"/>
    <cellStyle name="40% - Accent1 2 3 5 2 3 2" xfId="8118" xr:uid="{87EB3832-43F9-4344-A849-DEEF7A1C6B23}"/>
    <cellStyle name="40% - Accent1 2 3 5 2 4" xfId="6696" xr:uid="{3E9955C8-AA19-42E0-8968-3E43DAF93A9B}"/>
    <cellStyle name="40% - Accent1 2 3 5 3" xfId="4057" xr:uid="{D684D78F-0A99-4F18-B02D-B8F5D00B03F5}"/>
    <cellStyle name="40% - Accent1 2 3 5 3 2" xfId="8506" xr:uid="{7E01D173-8CF7-4F2C-90C8-3B65AAE40418}"/>
    <cellStyle name="40% - Accent1 2 3 5 4" xfId="4775" xr:uid="{08A16923-2EB4-4F97-8A3F-5F01FAC453BC}"/>
    <cellStyle name="40% - Accent1 2 3 5 4 2" xfId="9021" xr:uid="{86386B27-D4EF-44A9-A75F-26E863756360}"/>
    <cellStyle name="40% - Accent1 2 3 5 5" xfId="3235" xr:uid="{16295931-51B7-4D2E-9D82-EDFC27B40452}"/>
    <cellStyle name="40% - Accent1 2 3 5 5 2" xfId="7730" xr:uid="{60AD3582-D1DC-4947-819E-AF4D4C90437C}"/>
    <cellStyle name="40% - Accent1 2 3 5 6" xfId="5717" xr:uid="{FC794199-1E21-40A4-9657-08C8416B361D}"/>
    <cellStyle name="40% - Accent1 2 3 6" xfId="1189" xr:uid="{836426DC-D2C2-4EC4-8601-69556006DC33}"/>
    <cellStyle name="40% - Accent1 2 3 6 2" xfId="2175" xr:uid="{F639B69C-D8B9-47C2-8F3E-022C41C336B2}"/>
    <cellStyle name="40% - Accent1 2 3 6 2 2" xfId="4992" xr:uid="{B6CDDA13-D882-4FA7-9305-2A2D8BF9C72E}"/>
    <cellStyle name="40% - Accent1 2 3 6 2 2 2" xfId="9219" xr:uid="{79F4C736-98E8-4CF1-A47C-0A085E2003DE}"/>
    <cellStyle name="40% - Accent1 2 3 6 2 3" xfId="3440" xr:uid="{8987AA11-C8F6-4E23-A866-F57E39DBB48F}"/>
    <cellStyle name="40% - Accent1 2 3 6 2 3 2" xfId="7908" xr:uid="{7A57FB70-30C6-4784-A0BF-49DFABD6F88A}"/>
    <cellStyle name="40% - Accent1 2 3 6 2 4" xfId="6740" xr:uid="{F6A0A7FC-1BFA-46DE-9D74-B184B3E56193}"/>
    <cellStyle name="40% - Accent1 2 3 6 3" xfId="3847" xr:uid="{0CC519C7-1DEE-463C-9168-50529C3F8129}"/>
    <cellStyle name="40% - Accent1 2 3 6 3 2" xfId="8296" xr:uid="{070A2F62-1041-4250-ACC7-9F8FC911E2E6}"/>
    <cellStyle name="40% - Accent1 2 3 6 4" xfId="4498" xr:uid="{6C01733A-8F28-4420-90AF-B53B7405499C}"/>
    <cellStyle name="40% - Accent1 2 3 6 4 2" xfId="8769" xr:uid="{7B88743F-C3AB-4ECB-A1EA-3ED77CE6DBD9}"/>
    <cellStyle name="40% - Accent1 2 3 6 5" xfId="2988" xr:uid="{27BE8012-60B7-48E3-A84A-A0E60B7941A3}"/>
    <cellStyle name="40% - Accent1 2 3 6 5 2" xfId="7520" xr:uid="{4BB3CED4-0ECF-40FF-B6B2-0A0F55A98F0F}"/>
    <cellStyle name="40% - Accent1 2 3 6 6" xfId="5761" xr:uid="{A0FDE9EE-9596-4CF5-8F6B-EBFFBDB267F7}"/>
    <cellStyle name="40% - Accent1 2 3 7" xfId="1429" xr:uid="{C5311175-B6E8-424F-8B8E-C74B66F70EC3}"/>
    <cellStyle name="40% - Accent1 2 3 7 2" xfId="2409" xr:uid="{5395ABCB-5A0C-4372-8B9F-6CD9109555B7}"/>
    <cellStyle name="40% - Accent1 2 3 7 2 2" xfId="4864" xr:uid="{D669BA79-C3FE-4B0B-99BD-02680A02F269}"/>
    <cellStyle name="40% - Accent1 2 3 7 2 2 2" xfId="9099" xr:uid="{D9E2E01F-55E1-4676-A41C-B5391169D2EA}"/>
    <cellStyle name="40% - Accent1 2 3 7 2 3" xfId="6974" xr:uid="{D013BFDE-30E1-4E16-B753-A8BCF27E7C09}"/>
    <cellStyle name="40% - Accent1 2 3 7 3" xfId="3345" xr:uid="{2EE7AF8C-F5B0-4548-A3A7-059E922BB308}"/>
    <cellStyle name="40% - Accent1 2 3 7 3 2" xfId="7834" xr:uid="{B3A41D0C-F878-45C6-A595-F2E2214B0A9E}"/>
    <cellStyle name="40% - Accent1 2 3 7 4" xfId="5995" xr:uid="{6826D67D-4E1E-48B1-98F1-C51D4661A9BA}"/>
    <cellStyle name="40% - Accent1 2 3 8" xfId="1680" xr:uid="{F5A25827-B975-4AE9-9BA6-5E7E9782B1EC}"/>
    <cellStyle name="40% - Accent1 2 3 8 2" xfId="2660" xr:uid="{28D45E79-8D2A-4C4B-B642-E2A040CAD3F4}"/>
    <cellStyle name="40% - Accent1 2 3 8 2 2" xfId="7225" xr:uid="{E8B86B56-6DA2-4543-B453-D6DB667EBA09}"/>
    <cellStyle name="40% - Accent1 2 3 8 3" xfId="3769" xr:uid="{41221DB4-5BC3-4F6E-A3D5-2474281C1276}"/>
    <cellStyle name="40% - Accent1 2 3 8 3 2" xfId="8222" xr:uid="{AA10CA2C-9BA8-4563-8BC7-AD13AC746FA2}"/>
    <cellStyle name="40% - Accent1 2 3 8 4" xfId="6246" xr:uid="{37A13A8B-7766-472A-9365-FD3B4199193E}"/>
    <cellStyle name="40% - Accent1 2 3 9" xfId="1900" xr:uid="{438F273A-75F5-4914-A716-8A33963A3599}"/>
    <cellStyle name="40% - Accent1 2 3 9 2" xfId="4194" xr:uid="{D5D5DEC6-1B1F-4C51-88B4-717143257FA1}"/>
    <cellStyle name="40% - Accent1 2 3 9 2 2" xfId="8613" xr:uid="{6723C176-19EA-4EAF-A628-BA2D44A6995F}"/>
    <cellStyle name="40% - Accent1 2 3 9 3" xfId="6465" xr:uid="{1658A4BB-F32E-4734-9217-3DE528228986}"/>
    <cellStyle name="40% - Accent1 2 4" xfId="751" xr:uid="{96D00A06-A1B3-4CDC-A589-FF224D8370C5}"/>
    <cellStyle name="40% - Accent1 2 5" xfId="750" xr:uid="{9A20C0C7-FAD4-49C6-A948-BBE0EB04CD08}"/>
    <cellStyle name="40% - Accent1 2 6" xfId="1066" xr:uid="{41EFB8E0-F60B-4A7C-8B43-E58399900DC9}"/>
    <cellStyle name="40% - Accent1 3" xfId="64" xr:uid="{0C3F4F97-A61A-407F-87FD-D09C9724F386}"/>
    <cellStyle name="40% - Accent1 4" xfId="65" xr:uid="{959173A8-EE78-4ED5-9449-FAFF3D2DB766}"/>
    <cellStyle name="40% - Accent2 2" xfId="66" xr:uid="{E68FB6C6-76CC-45BA-A085-9C2503F12E5B}"/>
    <cellStyle name="40% - Accent2 2 2" xfId="67" xr:uid="{CA3DB2E2-8DC3-4486-87F1-E63E3F507EE2}"/>
    <cellStyle name="40% - Accent2 2 3" xfId="68" xr:uid="{77D9B269-B276-4057-B732-E29B61C64D55}"/>
    <cellStyle name="40% - Accent2 2 3 10" xfId="2882" xr:uid="{1E0F2384-0C8B-481E-ACA2-CC3939AA0415}"/>
    <cellStyle name="40% - Accent2 2 3 10 2" xfId="7447" xr:uid="{A380A18A-0596-429A-9FF2-374B8710B8B3}"/>
    <cellStyle name="40% - Accent2 2 3 11" xfId="5487" xr:uid="{1A22D171-3228-4F2A-9A1E-EF538FDCA7F6}"/>
    <cellStyle name="40% - Accent2 2 3 2" xfId="836" xr:uid="{73762EA8-46D1-4C04-9F48-81CCF8977346}"/>
    <cellStyle name="40% - Accent2 2 3 2 2" xfId="942" xr:uid="{1702D500-8A71-4E41-BA4C-3E3B29670C2F}"/>
    <cellStyle name="40% - Accent2 2 3 2 2 2" xfId="1315" xr:uid="{454FAEC0-7A74-41C9-81BA-9697D74CC713}"/>
    <cellStyle name="40% - Accent2 2 3 2 2 2 2" xfId="2295" xr:uid="{6553EEC6-6733-475F-8F45-DFDD394EB9FF}"/>
    <cellStyle name="40% - Accent2 2 3 2 2 2 2 2" xfId="4705" xr:uid="{5EEC03D5-8EAF-416B-8049-2DAA1BB0FD92}"/>
    <cellStyle name="40% - Accent2 2 3 2 2 2 2 2 2" xfId="8951" xr:uid="{A5725ECE-6F7B-404F-9D7C-E99E2DF0FA25}"/>
    <cellStyle name="40% - Accent2 2 3 2 2 2 2 3" xfId="6860" xr:uid="{CFD25387-A8DD-495B-AE19-B4CE9F13FA07}"/>
    <cellStyle name="40% - Accent2 2 3 2 2 2 3" xfId="3580" xr:uid="{93C8E2E7-B081-47B7-8A92-B878E6B81F7C}"/>
    <cellStyle name="40% - Accent2 2 3 2 2 2 3 2" xfId="8047" xr:uid="{B8CE07AE-2A4B-4FB8-AAD6-B105E14B562D}"/>
    <cellStyle name="40% - Accent2 2 3 2 2 2 4" xfId="5881" xr:uid="{BE2B5A27-0A00-409C-A67D-76FEC6587BC0}"/>
    <cellStyle name="40% - Accent2 2 3 2 2 3" xfId="1549" xr:uid="{001D7E19-6E7A-45AC-AA7A-B276F594384D}"/>
    <cellStyle name="40% - Accent2 2 3 2 2 3 2" xfId="2529" xr:uid="{7D3720F6-6136-4BCB-9062-C7FFEA06ED11}"/>
    <cellStyle name="40% - Accent2 2 3 2 2 3 2 2" xfId="5088" xr:uid="{A1B9C210-C9FC-4F09-B16E-91572444E6B4}"/>
    <cellStyle name="40% - Accent2 2 3 2 2 3 2 2 2" xfId="9313" xr:uid="{2760FC1C-5F5C-472F-A9AD-0DFEC2C87126}"/>
    <cellStyle name="40% - Accent2 2 3 2 2 3 2 3" xfId="7094" xr:uid="{1CB34415-782F-4B9C-AB30-6B35F15C27BC}"/>
    <cellStyle name="40% - Accent2 2 3 2 2 3 3" xfId="3986" xr:uid="{0BC67A2E-9B85-4C4D-8A2E-4A82645392AF}"/>
    <cellStyle name="40% - Accent2 2 3 2 2 3 3 2" xfId="8435" xr:uid="{3239CBF5-5AFC-426E-B173-A40DDEC80499}"/>
    <cellStyle name="40% - Accent2 2 3 2 2 3 4" xfId="6115" xr:uid="{B3212354-EE7B-4E6E-B7D8-5BF3CC520DA0}"/>
    <cellStyle name="40% - Accent2 2 3 2 2 4" xfId="1783" xr:uid="{99BCC104-FA85-472A-B68B-2E702FBD5E86}"/>
    <cellStyle name="40% - Accent2 2 3 2 2 4 2" xfId="2762" xr:uid="{FCC82883-6000-40A7-89FC-12D421B08407}"/>
    <cellStyle name="40% - Accent2 2 3 2 2 4 2 2" xfId="7327" xr:uid="{8BBA439C-DE66-4C6B-BD62-5163F9B154E4}"/>
    <cellStyle name="40% - Accent2 2 3 2 2 4 3" xfId="4437" xr:uid="{57B86D18-EDBA-47DA-BDD7-2E2336EBC746}"/>
    <cellStyle name="40% - Accent2 2 3 2 2 4 3 2" xfId="8714" xr:uid="{32F7186E-12FF-47DB-B841-BE5472151A36}"/>
    <cellStyle name="40% - Accent2 2 3 2 2 4 4" xfId="6348" xr:uid="{E5B819B9-C8C2-4CD4-91DB-0C98986327D6}"/>
    <cellStyle name="40% - Accent2 2 3 2 2 5" xfId="2020" xr:uid="{E658B5EC-5412-4E34-9238-642097600ECB}"/>
    <cellStyle name="40% - Accent2 2 3 2 2 5 2" xfId="6585" xr:uid="{A83C702F-DDE9-4866-B4E6-C31E64A2298A}"/>
    <cellStyle name="40% - Accent2 2 3 2 2 6" xfId="3164" xr:uid="{AE39993B-7C1E-4914-B36A-B9268B8D8291}"/>
    <cellStyle name="40% - Accent2 2 3 2 2 6 2" xfId="7659" xr:uid="{7827EFE4-4AA8-4F7B-8623-FFAE5E6AFCB6}"/>
    <cellStyle name="40% - Accent2 2 3 2 2 7" xfId="5606" xr:uid="{A77FCB43-1A9F-4D86-AA2B-DEC3A84B0B9C}"/>
    <cellStyle name="40% - Accent2 2 3 2 3" xfId="1024" xr:uid="{4EF3C5B1-E499-4D55-A7CE-43C1EEE7FB81}"/>
    <cellStyle name="40% - Accent2 2 3 2 3 2" xfId="1392" xr:uid="{2C15E7B2-9DAD-47A0-8713-57FB5C86ADBC}"/>
    <cellStyle name="40% - Accent2 2 3 2 3 2 2" xfId="2372" xr:uid="{968E95CF-DC9C-48F4-9C3C-B2DCB503AD49}"/>
    <cellStyle name="40% - Accent2 2 3 2 3 2 2 2" xfId="5193" xr:uid="{74E832F4-D904-4036-8A39-524993A2D8E6}"/>
    <cellStyle name="40% - Accent2 2 3 2 3 2 2 2 2" xfId="9418" xr:uid="{E766E46C-670D-401A-A3BA-EB3542A7AC15}"/>
    <cellStyle name="40% - Accent2 2 3 2 3 2 2 3" xfId="6937" xr:uid="{E5A5E0B7-02DB-4B6D-B4FA-8D2CF75DB413}"/>
    <cellStyle name="40% - Accent2 2 3 2 3 2 3" xfId="3685" xr:uid="{336C5E09-3046-4B13-9142-7CEFF62CE145}"/>
    <cellStyle name="40% - Accent2 2 3 2 3 2 3 2" xfId="8152" xr:uid="{5E286102-5EE8-43DF-AD3E-CF5835CB5DA0}"/>
    <cellStyle name="40% - Accent2 2 3 2 3 2 4" xfId="5958" xr:uid="{F8643738-F445-4EED-94ED-E95D5AB1D02F}"/>
    <cellStyle name="40% - Accent2 2 3 2 3 3" xfId="1626" xr:uid="{FED29788-2B5C-4986-883A-F994E3AD4670}"/>
    <cellStyle name="40% - Accent2 2 3 2 3 3 2" xfId="2606" xr:uid="{4E9103FD-A8AC-408C-9AFB-60E1FA310F3A}"/>
    <cellStyle name="40% - Accent2 2 3 2 3 3 2 2" xfId="7171" xr:uid="{6F68A4FC-DDAF-4F1C-9F3D-7D3782A733CD}"/>
    <cellStyle name="40% - Accent2 2 3 2 3 3 3" xfId="4091" xr:uid="{F311B9A6-9B88-4647-8CF9-A71583194DAE}"/>
    <cellStyle name="40% - Accent2 2 3 2 3 3 3 2" xfId="8540" xr:uid="{A82BE62E-0314-496B-98A7-6246E5154294}"/>
    <cellStyle name="40% - Accent2 2 3 2 3 3 4" xfId="6192" xr:uid="{B6533FF3-8F26-4EC3-91AD-D4AE897DA21D}"/>
    <cellStyle name="40% - Accent2 2 3 2 3 4" xfId="1860" xr:uid="{2FBD6CB0-822E-45C3-A255-083657CAFB26}"/>
    <cellStyle name="40% - Accent2 2 3 2 3 4 2" xfId="2839" xr:uid="{3FEC8947-C0EC-41C5-A201-64F4121486E2}"/>
    <cellStyle name="40% - Accent2 2 3 2 3 4 2 2" xfId="7404" xr:uid="{5E04CBCE-C920-44F0-9806-31F298701F73}"/>
    <cellStyle name="40% - Accent2 2 3 2 3 4 3" xfId="4571" xr:uid="{86FE8202-3D35-44A1-AB1F-E2DD29445D0F}"/>
    <cellStyle name="40% - Accent2 2 3 2 3 4 3 2" xfId="8826" xr:uid="{9D0BFCD6-8958-4839-8C67-F84B972EA186}"/>
    <cellStyle name="40% - Accent2 2 3 2 3 4 4" xfId="6425" xr:uid="{330D45E5-33BB-48D6-BF4D-BC6B1B191B02}"/>
    <cellStyle name="40% - Accent2 2 3 2 3 5" xfId="2097" xr:uid="{63002698-0A22-4A1E-8903-7E9261705330}"/>
    <cellStyle name="40% - Accent2 2 3 2 3 5 2" xfId="6662" xr:uid="{86C8D6DB-9A0A-48D2-89D6-FBB008E307C7}"/>
    <cellStyle name="40% - Accent2 2 3 2 3 6" xfId="3271" xr:uid="{CBD02D68-99DD-4636-A5FD-3DC68201525C}"/>
    <cellStyle name="40% - Accent2 2 3 2 3 6 2" xfId="7764" xr:uid="{7144AB48-D980-44FA-8E52-C652A48BA662}"/>
    <cellStyle name="40% - Accent2 2 3 2 3 7" xfId="5683" xr:uid="{39A60B5B-1471-4DD1-885D-C6C97007FD8C}"/>
    <cellStyle name="40% - Accent2 2 3 2 4" xfId="1236" xr:uid="{BBB7E963-7FBC-41F3-BC09-D086D6CEA2B2}"/>
    <cellStyle name="40% - Accent2 2 3 2 4 2" xfId="2218" xr:uid="{FFD7C681-F4B5-4F4F-9941-E86B6FA68C42}"/>
    <cellStyle name="40% - Accent2 2 3 2 4 2 2" xfId="4966" xr:uid="{2C2D85A8-1C03-483E-93D8-A8DFACE5CE2C}"/>
    <cellStyle name="40% - Accent2 2 3 2 4 2 2 2" xfId="9196" xr:uid="{DE5BD75A-2DE7-4300-9EAB-47E6DB1C689B}"/>
    <cellStyle name="40% - Accent2 2 3 2 4 2 3" xfId="3475" xr:uid="{28B3C21D-E6AE-45EF-984B-C734F8C4E27A}"/>
    <cellStyle name="40% - Accent2 2 3 2 4 2 3 2" xfId="7942" xr:uid="{C59DA1EA-9237-4A3A-A276-D281BB883F76}"/>
    <cellStyle name="40% - Accent2 2 3 2 4 2 4" xfId="6783" xr:uid="{3098FD48-63DD-406D-BE94-70B24D68FBDE}"/>
    <cellStyle name="40% - Accent2 2 3 2 4 3" xfId="3881" xr:uid="{B038DD57-254F-4ADF-ACA2-6C6DB41BCFA2}"/>
    <cellStyle name="40% - Accent2 2 3 2 4 3 2" xfId="8330" xr:uid="{7CE499A4-6703-4C42-820B-C2A2AB3C92B8}"/>
    <cellStyle name="40% - Accent2 2 3 2 4 4" xfId="4507" xr:uid="{79A505C8-E438-4161-B0E1-C62EFAF036FA}"/>
    <cellStyle name="40% - Accent2 2 3 2 4 4 2" xfId="8777" xr:uid="{878BDD95-990B-4C8A-9834-5E957359C26E}"/>
    <cellStyle name="40% - Accent2 2 3 2 4 5" xfId="3044" xr:uid="{21BA529F-F7BB-44A4-9223-FC9B67BEE312}"/>
    <cellStyle name="40% - Accent2 2 3 2 4 5 2" xfId="7554" xr:uid="{401D0EEC-971B-49D2-8100-AE9330F461A7}"/>
    <cellStyle name="40% - Accent2 2 3 2 4 6" xfId="5804" xr:uid="{1FC334A8-CDC1-4A26-B6A9-E329B9F6AC10}"/>
    <cellStyle name="40% - Accent2 2 3 2 5" xfId="1472" xr:uid="{8F8DB85C-5A35-48E4-94A8-25DAA46AA4E9}"/>
    <cellStyle name="40% - Accent2 2 3 2 5 2" xfId="2452" xr:uid="{39DF4B38-D5B7-49D3-B9B7-6E5BFB15948A}"/>
    <cellStyle name="40% - Accent2 2 3 2 5 2 2" xfId="4936" xr:uid="{A84EF8F9-41F9-4961-A698-A76EFA831BBE}"/>
    <cellStyle name="40% - Accent2 2 3 2 5 2 2 2" xfId="9166" xr:uid="{E1C6ABAA-C587-40B3-901A-7752374FC881}"/>
    <cellStyle name="40% - Accent2 2 3 2 5 2 3" xfId="7017" xr:uid="{FEEBD038-6657-4755-B561-E15E32557E56}"/>
    <cellStyle name="40% - Accent2 2 3 2 5 3" xfId="3401" xr:uid="{2FBB1CC7-1EB5-4DE7-8773-095A03A8C74A}"/>
    <cellStyle name="40% - Accent2 2 3 2 5 3 2" xfId="7869" xr:uid="{B9CF0C93-BBE8-41EF-9861-F6413344959F}"/>
    <cellStyle name="40% - Accent2 2 3 2 5 4" xfId="6038" xr:uid="{A3EA1834-9881-4A09-A60F-2625B27851B7}"/>
    <cellStyle name="40% - Accent2 2 3 2 6" xfId="1668" xr:uid="{4455DC5A-45CC-4783-BFD1-3C5BE3D23665}"/>
    <cellStyle name="40% - Accent2 2 3 2 6 2" xfId="2648" xr:uid="{7434F24E-3BC0-4F93-8103-2679745AE662}"/>
    <cellStyle name="40% - Accent2 2 3 2 6 2 2" xfId="7213" xr:uid="{AC91058D-A467-41A5-A023-A074592E10B8}"/>
    <cellStyle name="40% - Accent2 2 3 2 6 3" xfId="3808" xr:uid="{67FC7714-8E6C-4FCE-BA46-08E24C4C8371}"/>
    <cellStyle name="40% - Accent2 2 3 2 6 3 2" xfId="8257" xr:uid="{09F6A4B2-C830-4001-8D78-C10BC2E63A42}"/>
    <cellStyle name="40% - Accent2 2 3 2 6 4" xfId="6234" xr:uid="{A6D43360-F509-4872-A055-944C53252FFB}"/>
    <cellStyle name="40% - Accent2 2 3 2 7" xfId="1943" xr:uid="{E6AC45F4-9CAA-4C4B-8A58-4FC2498267EB}"/>
    <cellStyle name="40% - Accent2 2 3 2 7 2" xfId="4289" xr:uid="{795430BD-2848-44E6-A20E-E169379E2119}"/>
    <cellStyle name="40% - Accent2 2 3 2 7 2 2" xfId="8642" xr:uid="{30E0C109-3856-45C0-A7CD-C4CAF6864535}"/>
    <cellStyle name="40% - Accent2 2 3 2 7 3" xfId="6508" xr:uid="{647B35D1-8D5C-4CBB-816B-94F5298486D1}"/>
    <cellStyle name="40% - Accent2 2 3 2 8" xfId="2919" xr:uid="{53AA34CA-2C9C-4C96-8006-A8DFE649E099}"/>
    <cellStyle name="40% - Accent2 2 3 2 8 2" xfId="7481" xr:uid="{B5178A87-CF67-4AB0-9573-2FE817E8C615}"/>
    <cellStyle name="40% - Accent2 2 3 2 9" xfId="5529" xr:uid="{1CC8870B-C03F-43F6-B8E0-2DE87F7CF302}"/>
    <cellStyle name="40% - Accent2 2 3 3" xfId="871" xr:uid="{748B0E01-950E-4B0F-9CA0-0C48331CDF05}"/>
    <cellStyle name="40% - Accent2 2 3 3 2" xfId="1271" xr:uid="{B5A496ED-FE1E-40B9-95C0-8A524B8EA435}"/>
    <cellStyle name="40% - Accent2 2 3 3 2 2" xfId="2253" xr:uid="{98903D25-1DC9-41A5-808A-9E63F15BCF84}"/>
    <cellStyle name="40% - Accent2 2 3 3 2 2 2" xfId="5122" xr:uid="{C0A01294-F6AF-4329-9E7E-9BFE38193AE1}"/>
    <cellStyle name="40% - Accent2 2 3 3 2 2 2 2" xfId="9347" xr:uid="{A602A69D-55C5-4287-AE34-F02840C7CDBF}"/>
    <cellStyle name="40% - Accent2 2 3 3 2 2 3" xfId="3614" xr:uid="{31660136-0C5B-4D05-B0B3-CA5738FB547F}"/>
    <cellStyle name="40% - Accent2 2 3 3 2 2 3 2" xfId="8081" xr:uid="{FB3F3C30-BF62-4827-B4D8-7C6A70100779}"/>
    <cellStyle name="40% - Accent2 2 3 3 2 2 4" xfId="6818" xr:uid="{488A7E14-FEEE-450D-931F-04C520B3263B}"/>
    <cellStyle name="40% - Accent2 2 3 3 2 3" xfId="4020" xr:uid="{5D264A98-6C73-4667-A6A1-CE970FA94FE4}"/>
    <cellStyle name="40% - Accent2 2 3 3 2 3 2" xfId="8469" xr:uid="{6FE12413-AB07-4CCC-A62B-5AF0D36749CF}"/>
    <cellStyle name="40% - Accent2 2 3 3 2 4" xfId="4738" xr:uid="{CAA47E05-1FDD-4E23-8D03-D9DB9AFD7FB6}"/>
    <cellStyle name="40% - Accent2 2 3 3 2 4 2" xfId="8984" xr:uid="{25FDBB36-C448-4522-8149-6CA040E0346C}"/>
    <cellStyle name="40% - Accent2 2 3 3 2 5" xfId="3198" xr:uid="{C9D34B3A-5521-409F-85EF-1ECB92DFCACF}"/>
    <cellStyle name="40% - Accent2 2 3 3 2 5 2" xfId="7693" xr:uid="{3341B66B-42C9-45FB-A345-DB0A1479F81E}"/>
    <cellStyle name="40% - Accent2 2 3 3 2 6" xfId="5839" xr:uid="{14004167-8E76-495D-98B3-5B3A6A35E2CD}"/>
    <cellStyle name="40% - Accent2 2 3 3 3" xfId="1507" xr:uid="{2C57FC09-9F08-4038-9F15-0816D01A56C0}"/>
    <cellStyle name="40% - Accent2 2 3 3 3 2" xfId="2487" xr:uid="{DEAD60BE-D307-4CFB-980C-9184691CB6A1}"/>
    <cellStyle name="40% - Accent2 2 3 3 3 2 2" xfId="5227" xr:uid="{B080A257-000B-4125-8445-3B952BC07B68}"/>
    <cellStyle name="40% - Accent2 2 3 3 3 2 2 2" xfId="9452" xr:uid="{BF34A5C4-AD65-4A26-AFB8-3C49C5206E01}"/>
    <cellStyle name="40% - Accent2 2 3 3 3 2 3" xfId="3719" xr:uid="{A5A55273-C870-4AA9-A091-693018337E78}"/>
    <cellStyle name="40% - Accent2 2 3 3 3 2 3 2" xfId="8186" xr:uid="{7B8B81DD-ADC4-42A8-9301-B78BBA979627}"/>
    <cellStyle name="40% - Accent2 2 3 3 3 2 4" xfId="7052" xr:uid="{F1C83C4C-79E4-4FB4-B28D-D3DF014495FA}"/>
    <cellStyle name="40% - Accent2 2 3 3 3 3" xfId="4125" xr:uid="{779734DA-F98B-4BA7-AF3E-812D89D75F1E}"/>
    <cellStyle name="40% - Accent2 2 3 3 3 3 2" xfId="8574" xr:uid="{1A102579-7888-4BD1-AF84-C21B29DFC786}"/>
    <cellStyle name="40% - Accent2 2 3 3 3 4" xfId="4815" xr:uid="{6D7F5797-99C5-4CBE-BD18-FA4ED0469E40}"/>
    <cellStyle name="40% - Accent2 2 3 3 3 4 2" xfId="9061" xr:uid="{611C2EB3-DE2B-4A74-8940-7CCB0242238A}"/>
    <cellStyle name="40% - Accent2 2 3 3 3 5" xfId="3309" xr:uid="{CCFE7547-D0D4-4DB8-B1B2-1B45F3134D12}"/>
    <cellStyle name="40% - Accent2 2 3 3 3 5 2" xfId="7798" xr:uid="{CB8F857D-DD54-448D-92FC-B19F808AFBB3}"/>
    <cellStyle name="40% - Accent2 2 3 3 3 6" xfId="6073" xr:uid="{B1E5DD8D-CCDD-430A-8B14-7DAB54D1C3A1}"/>
    <cellStyle name="40% - Accent2 2 3 3 4" xfId="1741" xr:uid="{588119E8-70A8-4002-AE10-B84301304A45}"/>
    <cellStyle name="40% - Accent2 2 3 3 4 2" xfId="2720" xr:uid="{55985B99-75FC-447A-860B-DEBBE0259773}"/>
    <cellStyle name="40% - Accent2 2 3 3 4 2 2" xfId="4659" xr:uid="{7C11FBFC-E25A-462E-93CA-99004A0101B5}"/>
    <cellStyle name="40% - Accent2 2 3 3 4 2 2 2" xfId="8905" xr:uid="{65C1F25D-11C2-4F61-B92A-02CF92E94038}"/>
    <cellStyle name="40% - Accent2 2 3 3 4 2 3" xfId="7285" xr:uid="{49D0DFD1-D560-46C0-A1BE-185D44B4F38C}"/>
    <cellStyle name="40% - Accent2 2 3 3 4 3" xfId="3509" xr:uid="{D0C3DAB8-370B-424B-9FC3-F0E77AC8792F}"/>
    <cellStyle name="40% - Accent2 2 3 3 4 3 2" xfId="7976" xr:uid="{D4F064BB-03E4-4A9B-86F6-EA06DFB0B97A}"/>
    <cellStyle name="40% - Accent2 2 3 3 4 4" xfId="6306" xr:uid="{7B202CDF-AAA2-4210-A646-2548C6A8BE5F}"/>
    <cellStyle name="40% - Accent2 2 3 3 5" xfId="1978" xr:uid="{9DD1566A-4A35-4294-A25C-ACFBCC88F880}"/>
    <cellStyle name="40% - Accent2 2 3 3 5 2" xfId="5019" xr:uid="{4CFAED02-DE43-4F52-A40F-5649629A6BC6}"/>
    <cellStyle name="40% - Accent2 2 3 3 5 2 2" xfId="9245" xr:uid="{E20A5CD5-4868-4CF1-8B26-21627C77D563}"/>
    <cellStyle name="40% - Accent2 2 3 3 5 3" xfId="3915" xr:uid="{4C7C3416-604F-4A0B-82FC-E1152BBF5F90}"/>
    <cellStyle name="40% - Accent2 2 3 3 5 3 2" xfId="8364" xr:uid="{50D6863C-A27C-47B2-AE0C-76843A31EFB9}"/>
    <cellStyle name="40% - Accent2 2 3 3 5 4" xfId="6543" xr:uid="{F26D9D9C-3FB5-40E7-8DD2-0435EE1D505A}"/>
    <cellStyle name="40% - Accent2 2 3 3 6" xfId="4409" xr:uid="{998DAA56-5EE8-4572-B988-F497CD1A67FB}"/>
    <cellStyle name="40% - Accent2 2 3 3 6 2" xfId="8686" xr:uid="{2BD93D0C-80B8-4A7E-8A62-1147A63350C8}"/>
    <cellStyle name="40% - Accent2 2 3 3 7" xfId="3082" xr:uid="{8D5AB716-B788-4A2B-A259-B6176A20AA33}"/>
    <cellStyle name="40% - Accent2 2 3 3 7 2" xfId="7588" xr:uid="{D5547638-9372-471E-879A-81F290E0C815}"/>
    <cellStyle name="40% - Accent2 2 3 3 8" xfId="5564" xr:uid="{23622FF4-3FBD-40F6-AD78-529A67FC21D1}"/>
    <cellStyle name="40% - Accent2 2 3 4" xfId="982" xr:uid="{B71C9CFF-6FFE-4567-937C-AAB73653BF32}"/>
    <cellStyle name="40% - Accent2 2 3 4 2" xfId="1350" xr:uid="{BA930419-E1B2-4EFF-9AE5-0ED4ADF3E2BA}"/>
    <cellStyle name="40% - Accent2 2 3 4 2 2" xfId="2330" xr:uid="{AE6CA833-2B7B-44D2-B16E-FC1DEFE3E7A0}"/>
    <cellStyle name="40% - Accent2 2 3 4 2 2 2" xfId="5057" xr:uid="{578EF2D3-5518-4F1F-B9ED-EBDF188F6044}"/>
    <cellStyle name="40% - Accent2 2 3 4 2 2 2 2" xfId="9283" xr:uid="{54D28579-97FD-4BD4-A729-27898C3DCEC9}"/>
    <cellStyle name="40% - Accent2 2 3 4 2 2 3" xfId="6895" xr:uid="{92104318-10F7-4EB5-8213-F2C1E45C7166}"/>
    <cellStyle name="40% - Accent2 2 3 4 2 3" xfId="3549" xr:uid="{427211A6-E5B6-4561-A4EE-521D45AC8DC4}"/>
    <cellStyle name="40% - Accent2 2 3 4 2 3 2" xfId="8016" xr:uid="{EBB1A55D-6EDC-4986-B123-9673F4C1DED0}"/>
    <cellStyle name="40% - Accent2 2 3 4 2 4" xfId="5916" xr:uid="{56AB8762-684D-48C2-B342-CE4CEF085FC1}"/>
    <cellStyle name="40% - Accent2 2 3 4 3" xfId="1584" xr:uid="{27E3A24D-0584-493F-9FA1-82F6A2BE8204}"/>
    <cellStyle name="40% - Accent2 2 3 4 3 2" xfId="2564" xr:uid="{1B8778B9-FAF3-44DF-91DE-762A8FECC8B6}"/>
    <cellStyle name="40% - Accent2 2 3 4 3 2 2" xfId="7129" xr:uid="{B72B6828-F2A2-4335-8131-9C59E2E995EB}"/>
    <cellStyle name="40% - Accent2 2 3 4 3 3" xfId="3955" xr:uid="{E6C0E4EF-5F72-4CB4-8C4F-942098AA1E01}"/>
    <cellStyle name="40% - Accent2 2 3 4 3 3 2" xfId="8404" xr:uid="{34987582-07E5-43F9-BDC6-2B8AF2A3BD1A}"/>
    <cellStyle name="40% - Accent2 2 3 4 3 4" xfId="6150" xr:uid="{2C5955FD-99EC-417D-A996-4FF285461FBD}"/>
    <cellStyle name="40% - Accent2 2 3 4 4" xfId="1818" xr:uid="{53DF32D9-D667-44FE-B103-5A8119FEECFC}"/>
    <cellStyle name="40% - Accent2 2 3 4 4 2" xfId="2797" xr:uid="{FA2F2CF5-28B5-485E-BA08-F6A774C114EB}"/>
    <cellStyle name="40% - Accent2 2 3 4 4 2 2" xfId="7362" xr:uid="{A132AD0B-50C7-454F-B9E3-914E01CE4C25}"/>
    <cellStyle name="40% - Accent2 2 3 4 4 3" xfId="4485" xr:uid="{78893387-6F5C-45E1-A2E2-01CFE822A5C0}"/>
    <cellStyle name="40% - Accent2 2 3 4 4 3 2" xfId="8760" xr:uid="{1FEE80BE-7A05-4257-8D40-97A2687DA754}"/>
    <cellStyle name="40% - Accent2 2 3 4 4 4" xfId="6383" xr:uid="{D10CCA1E-3E85-43DA-AD9F-09A872240738}"/>
    <cellStyle name="40% - Accent2 2 3 4 5" xfId="2055" xr:uid="{53324DAA-32E7-4E45-89BF-FF8C7B538DD6}"/>
    <cellStyle name="40% - Accent2 2 3 4 5 2" xfId="6620" xr:uid="{E0AE8227-D58F-4371-9671-15C55BEE9C1E}"/>
    <cellStyle name="40% - Accent2 2 3 4 6" xfId="3133" xr:uid="{21C0F032-2A2B-46A3-BC93-7E7AE3C4EBC8}"/>
    <cellStyle name="40% - Accent2 2 3 4 6 2" xfId="7628" xr:uid="{B17EDCC4-24D5-4B69-9733-F738081A7B56}"/>
    <cellStyle name="40% - Accent2 2 3 4 7" xfId="5641" xr:uid="{A80156AA-469B-4262-83BE-E1B6C2382B45}"/>
    <cellStyle name="40% - Accent2 2 3 5" xfId="1067" xr:uid="{DA740C38-AEB4-4A7B-92CF-5A260CC3E287}"/>
    <cellStyle name="40% - Accent2 2 3 5 2" xfId="2132" xr:uid="{2948688F-13BE-45B1-9526-96CA28ED894C}"/>
    <cellStyle name="40% - Accent2 2 3 5 2 2" xfId="5162" xr:uid="{7E7E0598-184C-4768-8772-E54D95581203}"/>
    <cellStyle name="40% - Accent2 2 3 5 2 2 2" xfId="9387" xr:uid="{95B539E0-8EF9-47CB-BA7D-4A2EEC536C73}"/>
    <cellStyle name="40% - Accent2 2 3 5 2 3" xfId="3654" xr:uid="{E26D265E-CFB3-4463-956C-0ED74D578CC0}"/>
    <cellStyle name="40% - Accent2 2 3 5 2 3 2" xfId="8121" xr:uid="{7675DBE6-0F5F-4277-BBF0-8A15CFB05ABE}"/>
    <cellStyle name="40% - Accent2 2 3 5 2 4" xfId="6697" xr:uid="{BF38FB98-B258-4B1C-90DB-F7496A253617}"/>
    <cellStyle name="40% - Accent2 2 3 5 3" xfId="4060" xr:uid="{D949C51E-C28D-43FF-A980-A8AE67062DFE}"/>
    <cellStyle name="40% - Accent2 2 3 5 3 2" xfId="8509" xr:uid="{183DB4B9-4BCB-43DF-B4FF-5CB7A6E04103}"/>
    <cellStyle name="40% - Accent2 2 3 5 4" xfId="4778" xr:uid="{DD67472F-8FD1-4FD6-BFAE-60A8CD6F8ED4}"/>
    <cellStyle name="40% - Accent2 2 3 5 4 2" xfId="9024" xr:uid="{4764D21B-DC22-44BC-A9EF-D5047E000C24}"/>
    <cellStyle name="40% - Accent2 2 3 5 5" xfId="3239" xr:uid="{15C00721-41AF-4D06-9B38-4C967ADDD8D5}"/>
    <cellStyle name="40% - Accent2 2 3 5 5 2" xfId="7733" xr:uid="{4B1D5D57-7D40-47C1-B1FC-9560FFA1F4E2}"/>
    <cellStyle name="40% - Accent2 2 3 5 6" xfId="5718" xr:uid="{A8967DE0-006D-46EE-B9BA-044E36E3D49A}"/>
    <cellStyle name="40% - Accent2 2 3 6" xfId="1190" xr:uid="{DFFED305-4BA9-4B89-A4E6-5252263DDE24}"/>
    <cellStyle name="40% - Accent2 2 3 6 2" xfId="2176" xr:uid="{C3EC4906-CA3D-456B-BFAB-FCA8DC07E436}"/>
    <cellStyle name="40% - Accent2 2 3 6 2 2" xfId="4981" xr:uid="{2B1DC0D5-B58F-411A-9F91-0B3D9EA2FFB5}"/>
    <cellStyle name="40% - Accent2 2 3 6 2 2 2" xfId="9210" xr:uid="{D5BEC2C8-662D-4110-83D8-06729AF790DA}"/>
    <cellStyle name="40% - Accent2 2 3 6 2 3" xfId="3443" xr:uid="{F9D73379-D70E-417E-A80F-542E4E11B514}"/>
    <cellStyle name="40% - Accent2 2 3 6 2 3 2" xfId="7911" xr:uid="{18C46102-B3B3-44BB-A22E-8F8C4742E260}"/>
    <cellStyle name="40% - Accent2 2 3 6 2 4" xfId="6741" xr:uid="{0765E392-703E-4174-B65D-DD035D08DCAF}"/>
    <cellStyle name="40% - Accent2 2 3 6 3" xfId="3850" xr:uid="{E7CDF40E-119A-4864-8978-4414B38B4253}"/>
    <cellStyle name="40% - Accent2 2 3 6 3 2" xfId="8299" xr:uid="{D76027D8-1120-479A-BEBC-B3168419C9B8}"/>
    <cellStyle name="40% - Accent2 2 3 6 4" xfId="4546" xr:uid="{0E591E6C-46B8-42D5-A2F8-26F3C2F1D51F}"/>
    <cellStyle name="40% - Accent2 2 3 6 4 2" xfId="8803" xr:uid="{EDB7A351-8EED-4248-A280-B7557BCF4209}"/>
    <cellStyle name="40% - Accent2 2 3 6 5" xfId="2993" xr:uid="{BB7BCC64-4AE4-4ED6-B7F0-C10B929C2172}"/>
    <cellStyle name="40% - Accent2 2 3 6 5 2" xfId="7523" xr:uid="{8963D351-1B7D-4BCA-A36B-023A77453291}"/>
    <cellStyle name="40% - Accent2 2 3 6 6" xfId="5762" xr:uid="{1C473AE3-8C42-45EB-B31C-F57DB567D1B2}"/>
    <cellStyle name="40% - Accent2 2 3 7" xfId="1430" xr:uid="{E5525AE3-959A-4776-860C-A5CF7C693984}"/>
    <cellStyle name="40% - Accent2 2 3 7 2" xfId="2410" xr:uid="{1A79F61A-9FD5-4065-B3D6-03E5524E4A77}"/>
    <cellStyle name="40% - Accent2 2 3 7 2 2" xfId="4865" xr:uid="{92C65EF7-844B-4E66-8F93-BE68F0D7CB3D}"/>
    <cellStyle name="40% - Accent2 2 3 7 2 2 2" xfId="9100" xr:uid="{164C80DE-C607-410A-81F6-656008F93801}"/>
    <cellStyle name="40% - Accent2 2 3 7 2 3" xfId="6975" xr:uid="{5FB6F44A-668F-4433-BC9F-CFBA82B2558B}"/>
    <cellStyle name="40% - Accent2 2 3 7 3" xfId="3348" xr:uid="{80CD3DD9-7424-47FD-AE83-A8DD78AC6559}"/>
    <cellStyle name="40% - Accent2 2 3 7 3 2" xfId="7835" xr:uid="{8A4C29A3-EB22-4E9C-BB70-91D1C10D6F14}"/>
    <cellStyle name="40% - Accent2 2 3 7 4" xfId="5996" xr:uid="{7BCE8030-ED71-455C-89C2-6949168442CF}"/>
    <cellStyle name="40% - Accent2 2 3 8" xfId="1681" xr:uid="{D340D396-18EF-444D-9DF7-D1D1785A19FA}"/>
    <cellStyle name="40% - Accent2 2 3 8 2" xfId="2661" xr:uid="{6CE4DB3B-82C3-4367-82C2-AD1C9A884571}"/>
    <cellStyle name="40% - Accent2 2 3 8 2 2" xfId="7226" xr:uid="{48E5D425-AF58-4571-BDB9-C5BFB6C8405E}"/>
    <cellStyle name="40% - Accent2 2 3 8 3" xfId="3770" xr:uid="{9D7CC5EC-B71D-40AD-8EBE-210B76299DCD}"/>
    <cellStyle name="40% - Accent2 2 3 8 3 2" xfId="8223" xr:uid="{9F209519-682A-47B0-B125-AC1BD43C1F10}"/>
    <cellStyle name="40% - Accent2 2 3 8 4" xfId="6247" xr:uid="{E91EE1E2-F5B8-44B5-B461-0C1E01EC38E7}"/>
    <cellStyle name="40% - Accent2 2 3 9" xfId="1901" xr:uid="{94CA8733-681F-4449-A1F6-B86D408672CB}"/>
    <cellStyle name="40% - Accent2 2 3 9 2" xfId="4195" xr:uid="{77B6EECA-7E76-413A-B459-FE1C85097100}"/>
    <cellStyle name="40% - Accent2 2 3 9 2 2" xfId="8614" xr:uid="{E812FE6D-BA9D-4093-A01B-83FE962F717A}"/>
    <cellStyle name="40% - Accent2 2 3 9 3" xfId="6466" xr:uid="{5C276B6C-FB09-4AF6-9E9A-E2EC6A5A1B7C}"/>
    <cellStyle name="40% - Accent2 3" xfId="69" xr:uid="{FA126FB6-47D3-4EAC-812B-8E5A97B2CD65}"/>
    <cellStyle name="40% - Accent2 4" xfId="70" xr:uid="{1A235F14-D4C6-4261-A548-3C5AF05C1918}"/>
    <cellStyle name="40% - Accent3 2" xfId="71" xr:uid="{FBCD4D06-E34C-4FDE-BE42-86124EC85A88}"/>
    <cellStyle name="40% - Accent3 2 2" xfId="72" xr:uid="{CAD56611-C9DC-4924-B252-FDC9E5CDC1DE}"/>
    <cellStyle name="40% - Accent3 2 2 2" xfId="4323" xr:uid="{69E5E190-B2BD-4FA8-9173-7649D77F8573}"/>
    <cellStyle name="40% - Accent3 2 2 3" xfId="4196" xr:uid="{954AF8B0-A8E9-4580-AD31-A71F56A6B4A5}"/>
    <cellStyle name="40% - Accent3 2 3" xfId="73" xr:uid="{2818E7B3-D755-4ACE-9633-CADDBC555A22}"/>
    <cellStyle name="40% - Accent3 2 3 10" xfId="2883" xr:uid="{5BE1F870-EF4F-4C9A-BF93-D9977C93539B}"/>
    <cellStyle name="40% - Accent3 2 3 10 2" xfId="7448" xr:uid="{C072E4E2-C330-46A0-A310-BCDFF89CEF53}"/>
    <cellStyle name="40% - Accent3 2 3 11" xfId="5488" xr:uid="{72275417-FB88-44B3-954A-B6C92265C442}"/>
    <cellStyle name="40% - Accent3 2 3 2" xfId="837" xr:uid="{5AF1B5C6-0FD7-4E40-8C04-2BAEA939F90A}"/>
    <cellStyle name="40% - Accent3 2 3 2 10" xfId="5530" xr:uid="{44A09636-3325-4AFA-B165-BEA9AC928F81}"/>
    <cellStyle name="40% - Accent3 2 3 2 2" xfId="943" xr:uid="{26B7FE0F-3440-468C-AE8A-9D80DBCC023A}"/>
    <cellStyle name="40% - Accent3 2 3 2 2 2" xfId="1316" xr:uid="{FEB69FC3-10B5-44AA-9B12-78030506186C}"/>
    <cellStyle name="40% - Accent3 2 3 2 2 2 2" xfId="2296" xr:uid="{3179A5C2-1FB9-4515-B8A9-D3D3A045B0B1}"/>
    <cellStyle name="40% - Accent3 2 3 2 2 2 2 2" xfId="4706" xr:uid="{B695DE7E-F273-46D0-AA5B-F9F2E5C40B7D}"/>
    <cellStyle name="40% - Accent3 2 3 2 2 2 2 2 2" xfId="8952" xr:uid="{7FF4B42F-44AA-4A44-BF0F-05AF8727BAEA}"/>
    <cellStyle name="40% - Accent3 2 3 2 2 2 2 3" xfId="6861" xr:uid="{CB2F40E4-8CD9-4003-97A7-CB98E1DCE778}"/>
    <cellStyle name="40% - Accent3 2 3 2 2 2 3" xfId="3581" xr:uid="{9EF44994-D875-42DD-A726-3D586D9BF094}"/>
    <cellStyle name="40% - Accent3 2 3 2 2 2 3 2" xfId="8048" xr:uid="{B2B4DF90-226C-4BAA-98C2-A2E5D1800272}"/>
    <cellStyle name="40% - Accent3 2 3 2 2 2 4" xfId="5882" xr:uid="{2108D69F-E246-4ED9-ADA1-BDB5A62AEC91}"/>
    <cellStyle name="40% - Accent3 2 3 2 2 3" xfId="1550" xr:uid="{666B669C-1281-410C-BDC7-18DBAE55B4A5}"/>
    <cellStyle name="40% - Accent3 2 3 2 2 3 2" xfId="2530" xr:uid="{2A5A4277-A896-4392-BB85-8D73DBB78C4C}"/>
    <cellStyle name="40% - Accent3 2 3 2 2 3 2 2" xfId="5089" xr:uid="{D9A44241-D2C3-4EA1-8F94-9C081975F75D}"/>
    <cellStyle name="40% - Accent3 2 3 2 2 3 2 2 2" xfId="9314" xr:uid="{527180E8-5557-4E17-ABBA-052F609EFF9D}"/>
    <cellStyle name="40% - Accent3 2 3 2 2 3 2 3" xfId="7095" xr:uid="{1AF6C800-BE7F-4E12-926E-872A7AEBDB79}"/>
    <cellStyle name="40% - Accent3 2 3 2 2 3 3" xfId="3987" xr:uid="{A837AB85-A697-4739-ADFA-3F45859B33E1}"/>
    <cellStyle name="40% - Accent3 2 3 2 2 3 3 2" xfId="8436" xr:uid="{CC3A8CDD-D1D9-408E-AA41-7730083F515A}"/>
    <cellStyle name="40% - Accent3 2 3 2 2 3 4" xfId="6116" xr:uid="{1486364A-E60C-47C4-A011-DD30696E9788}"/>
    <cellStyle name="40% - Accent3 2 3 2 2 4" xfId="1784" xr:uid="{6AF95E16-9453-42DE-97DC-C6A3B17913C7}"/>
    <cellStyle name="40% - Accent3 2 3 2 2 4 2" xfId="2763" xr:uid="{3E71D58A-4751-4E74-BD03-EB4C27EBC111}"/>
    <cellStyle name="40% - Accent3 2 3 2 2 4 2 2" xfId="7328" xr:uid="{CF327249-4900-496D-954D-9E7712DEB899}"/>
    <cellStyle name="40% - Accent3 2 3 2 2 4 3" xfId="4438" xr:uid="{61BD5FC6-A401-4002-BB28-FC1DA6743E60}"/>
    <cellStyle name="40% - Accent3 2 3 2 2 4 3 2" xfId="8715" xr:uid="{D2F8D563-46EF-4995-93DA-8433E672C716}"/>
    <cellStyle name="40% - Accent3 2 3 2 2 4 4" xfId="5440" xr:uid="{40A6EB94-BFC4-4BDC-8ECE-F49448B5C83C}"/>
    <cellStyle name="40% - Accent3 2 3 2 2 4 4 2" xfId="9616" xr:uid="{02F98614-A614-4491-AEBB-92B3C94B980E}"/>
    <cellStyle name="40% - Accent3 2 3 2 2 4 5" xfId="6349" xr:uid="{085A1A93-C8BF-4489-A20A-C23F0D3FE4F0}"/>
    <cellStyle name="40% - Accent3 2 3 2 2 5" xfId="2021" xr:uid="{28E89917-4987-4F70-905E-C2BF928A6C14}"/>
    <cellStyle name="40% - Accent3 2 3 2 2 5 2" xfId="6586" xr:uid="{C9D4A899-16CD-4B50-BB24-FBB37253D9E9}"/>
    <cellStyle name="40% - Accent3 2 3 2 2 6" xfId="3165" xr:uid="{EE697AEF-3E6F-4AB5-89AE-3EE68A7A952D}"/>
    <cellStyle name="40% - Accent3 2 3 2 2 6 2" xfId="7660" xr:uid="{FB046122-6F69-4DDD-BA37-1DAEE457CD26}"/>
    <cellStyle name="40% - Accent3 2 3 2 2 7" xfId="5607" xr:uid="{B1652CF0-08D2-4FFF-8CB7-D7E32A4EDFCD}"/>
    <cellStyle name="40% - Accent3 2 3 2 3" xfId="1025" xr:uid="{A3C46481-0361-48C9-A3F4-8ADAFF9DFD4B}"/>
    <cellStyle name="40% - Accent3 2 3 2 3 2" xfId="1393" xr:uid="{07774EFE-92DF-47D6-B59C-35339B7C9367}"/>
    <cellStyle name="40% - Accent3 2 3 2 3 2 2" xfId="2373" xr:uid="{81BBB846-E722-4857-8F11-602D10BAA544}"/>
    <cellStyle name="40% - Accent3 2 3 2 3 2 2 2" xfId="4803" xr:uid="{6122CAFC-59E3-4933-9748-5DB1BFCDA62C}"/>
    <cellStyle name="40% - Accent3 2 3 2 3 2 2 2 2" xfId="9049" xr:uid="{8C7AFEC1-D95B-4CA4-868D-1241AB8A7445}"/>
    <cellStyle name="40% - Accent3 2 3 2 3 2 2 3" xfId="6938" xr:uid="{9B619950-D8FA-4C13-940D-EFB768EE29D9}"/>
    <cellStyle name="40% - Accent3 2 3 2 3 2 3" xfId="3686" xr:uid="{C801CE85-F4C0-4C8A-9C51-AA4FD8030A81}"/>
    <cellStyle name="40% - Accent3 2 3 2 3 2 3 2" xfId="8153" xr:uid="{FB89923D-9815-473B-908B-E4520AA82713}"/>
    <cellStyle name="40% - Accent3 2 3 2 3 2 4" xfId="5959" xr:uid="{D07C7147-BF09-48B2-B79B-2B4012CD90B3}"/>
    <cellStyle name="40% - Accent3 2 3 2 3 3" xfId="1627" xr:uid="{D46AE889-02D3-4472-B3BF-65912BF4C5F5}"/>
    <cellStyle name="40% - Accent3 2 3 2 3 3 2" xfId="2607" xr:uid="{21130869-0C57-4705-B1A7-9CE306810AE4}"/>
    <cellStyle name="40% - Accent3 2 3 2 3 3 2 2" xfId="5194" xr:uid="{F6766BD9-8E04-4829-8682-84E006F24A56}"/>
    <cellStyle name="40% - Accent3 2 3 2 3 3 2 2 2" xfId="9419" xr:uid="{5D46CF7C-A5E3-4641-AC98-1A1C2AAB06E3}"/>
    <cellStyle name="40% - Accent3 2 3 2 3 3 2 3" xfId="7172" xr:uid="{AE91C65E-BB8C-432E-B81E-E172041B0622}"/>
    <cellStyle name="40% - Accent3 2 3 2 3 3 3" xfId="4092" xr:uid="{184C226B-3E45-4526-A93D-A8B2922A4AFA}"/>
    <cellStyle name="40% - Accent3 2 3 2 3 3 3 2" xfId="8541" xr:uid="{42A8C9D5-1836-4483-A927-2E836B334FCA}"/>
    <cellStyle name="40% - Accent3 2 3 2 3 3 4" xfId="6193" xr:uid="{3411427E-AA36-44F1-9F00-F0263CC3CA90}"/>
    <cellStyle name="40% - Accent3 2 3 2 3 4" xfId="1861" xr:uid="{8E86995E-15CB-43C0-9538-AD462CC3DE90}"/>
    <cellStyle name="40% - Accent3 2 3 2 3 4 2" xfId="2840" xr:uid="{EA203A20-03C8-43EA-A10D-0C06AE6C0F07}"/>
    <cellStyle name="40% - Accent3 2 3 2 3 4 2 2" xfId="7405" xr:uid="{ECA6F1D1-F0AB-49CF-80A9-A8A635609E42}"/>
    <cellStyle name="40% - Accent3 2 3 2 3 4 3" xfId="4572" xr:uid="{9FC14EA3-B182-448D-B04F-CD130719ED56}"/>
    <cellStyle name="40% - Accent3 2 3 2 3 4 3 2" xfId="8827" xr:uid="{C0D17642-8480-4E90-8B3C-5A4DE93A4863}"/>
    <cellStyle name="40% - Accent3 2 3 2 3 4 4" xfId="5459" xr:uid="{096A5FAF-3EC8-4FFB-A897-57E6BE547CC4}"/>
    <cellStyle name="40% - Accent3 2 3 2 3 4 4 2" xfId="9635" xr:uid="{48FF7C0D-F5F9-4A65-86F1-1A00F8E03FED}"/>
    <cellStyle name="40% - Accent3 2 3 2 3 4 5" xfId="6426" xr:uid="{60596CAE-74B7-4AA4-AC8C-8FBA078D69FA}"/>
    <cellStyle name="40% - Accent3 2 3 2 3 5" xfId="2098" xr:uid="{F6AE4973-FE79-4887-9245-FA503B740139}"/>
    <cellStyle name="40% - Accent3 2 3 2 3 5 2" xfId="6663" xr:uid="{ACDBCFA7-699B-4C37-9B20-9F218D5DFB6D}"/>
    <cellStyle name="40% - Accent3 2 3 2 3 6" xfId="3272" xr:uid="{95104BDC-60B0-4C21-AA18-5FDF94013619}"/>
    <cellStyle name="40% - Accent3 2 3 2 3 6 2" xfId="7765" xr:uid="{DCEF5BF8-9792-4B4D-B440-6D5E4741EBC5}"/>
    <cellStyle name="40% - Accent3 2 3 2 3 7" xfId="5684" xr:uid="{7AA3BA15-47D0-4D49-9514-68639B2C40D7}"/>
    <cellStyle name="40% - Accent3 2 3 2 4" xfId="1237" xr:uid="{D967D7B6-E54B-43B1-945B-A6D45D63B7CE}"/>
    <cellStyle name="40% - Accent3 2 3 2 4 2" xfId="2219" xr:uid="{2F1D457F-F4CC-4B10-8FE1-1AE15D090ED5}"/>
    <cellStyle name="40% - Accent3 2 3 2 4 2 2" xfId="5004" xr:uid="{6C819316-DDC0-466B-B647-FBDD6ADE618F}"/>
    <cellStyle name="40% - Accent3 2 3 2 4 2 2 2" xfId="9230" xr:uid="{CEE91422-1777-4BA4-BE83-7307EEFD5A15}"/>
    <cellStyle name="40% - Accent3 2 3 2 4 2 3" xfId="3476" xr:uid="{7BB6CA43-9680-4B55-98AC-19137DDC5955}"/>
    <cellStyle name="40% - Accent3 2 3 2 4 2 3 2" xfId="7943" xr:uid="{775A7C2F-F8AE-4306-BFF6-702C97A7E10A}"/>
    <cellStyle name="40% - Accent3 2 3 2 4 2 4" xfId="6784" xr:uid="{918AE25B-6EC7-4FCD-AD50-4023A3542AC9}"/>
    <cellStyle name="40% - Accent3 2 3 2 4 3" xfId="3882" xr:uid="{D3DE4A4F-9F68-453E-BA54-3D66DC464EFD}"/>
    <cellStyle name="40% - Accent3 2 3 2 4 3 2" xfId="8331" xr:uid="{BDFEDE5D-9F25-4736-B968-DEABA79EDE9C}"/>
    <cellStyle name="40% - Accent3 2 3 2 4 4" xfId="4629" xr:uid="{3FD4D557-A6AD-45AC-B131-D88AFAEAA978}"/>
    <cellStyle name="40% - Accent3 2 3 2 4 4 2" xfId="8876" xr:uid="{693B76F3-BD34-4B8F-869E-0B1844D607FA}"/>
    <cellStyle name="40% - Accent3 2 3 2 4 5" xfId="3045" xr:uid="{18D6A4E0-1FCF-4BD7-AB79-FA44693A1BAA}"/>
    <cellStyle name="40% - Accent3 2 3 2 4 5 2" xfId="7555" xr:uid="{0CA71DAC-9900-4526-ACE8-BA004F5F178A}"/>
    <cellStyle name="40% - Accent3 2 3 2 4 6" xfId="5805" xr:uid="{A7856DB3-15D8-41CC-80C3-64A70A0DEC4B}"/>
    <cellStyle name="40% - Accent3 2 3 2 5" xfId="1473" xr:uid="{8EA41461-668B-45CD-9BC6-CDED76B326BE}"/>
    <cellStyle name="40% - Accent3 2 3 2 5 2" xfId="2453" xr:uid="{1D090FA8-C89D-46F8-871D-F0DB2629D323}"/>
    <cellStyle name="40% - Accent3 2 3 2 5 2 2" xfId="4513" xr:uid="{89B945A7-AA7D-4BAD-BE10-58825E02180C}"/>
    <cellStyle name="40% - Accent3 2 3 2 5 2 2 2" xfId="8782" xr:uid="{5B67E1F2-90C7-477B-AB3A-2D77BF760331}"/>
    <cellStyle name="40% - Accent3 2 3 2 5 2 3" xfId="7018" xr:uid="{96005DE3-05F8-4C2F-A293-505A360FEAA5}"/>
    <cellStyle name="40% - Accent3 2 3 2 5 3" xfId="3402" xr:uid="{9A8E7A2B-9C77-4A89-88A6-FE9FB842F38B}"/>
    <cellStyle name="40% - Accent3 2 3 2 5 3 2" xfId="7870" xr:uid="{BFF4E4DF-B8D6-4CAF-A141-6294949E3441}"/>
    <cellStyle name="40% - Accent3 2 3 2 5 4" xfId="6039" xr:uid="{31CBE96D-56DD-44AD-918A-1BA5044C3758}"/>
    <cellStyle name="40% - Accent3 2 3 2 6" xfId="1667" xr:uid="{CB493983-51DA-4DBE-BC55-7B6F078BC330}"/>
    <cellStyle name="40% - Accent3 2 3 2 6 2" xfId="2647" xr:uid="{B5A1D794-5222-44EC-B681-10661A565F7C}"/>
    <cellStyle name="40% - Accent3 2 3 2 6 2 2" xfId="4937" xr:uid="{BCA5A623-2578-4EE0-A915-C5441C722017}"/>
    <cellStyle name="40% - Accent3 2 3 2 6 2 2 2" xfId="9167" xr:uid="{E3E522A1-F960-4859-A986-6F3A3F0D62BC}"/>
    <cellStyle name="40% - Accent3 2 3 2 6 2 3" xfId="7212" xr:uid="{DADEA1DB-69CD-45A7-9688-AC11018D71FE}"/>
    <cellStyle name="40% - Accent3 2 3 2 6 3" xfId="3809" xr:uid="{21AA30C3-D2BC-4FEC-930A-97FBC2D33502}"/>
    <cellStyle name="40% - Accent3 2 3 2 6 3 2" xfId="8258" xr:uid="{51514FDE-77E4-4119-9F03-0243CEE12F39}"/>
    <cellStyle name="40% - Accent3 2 3 2 6 4" xfId="6233" xr:uid="{12E13942-F5A4-4D89-9393-4BD60B03DF67}"/>
    <cellStyle name="40% - Accent3 2 3 2 7" xfId="1944" xr:uid="{B37E6F82-E02F-46B5-9360-2A7B0047409F}"/>
    <cellStyle name="40% - Accent3 2 3 2 7 2" xfId="4879" xr:uid="{3332BF6F-9A1F-4E20-8117-142C8157805A}"/>
    <cellStyle name="40% - Accent3 2 3 2 7 2 2" xfId="9112" xr:uid="{A8676126-D10A-4F5B-87E7-949E047CC4B7}"/>
    <cellStyle name="40% - Accent3 2 3 2 7 3" xfId="6509" xr:uid="{C0741771-CBE1-455B-BEBA-57129EDB6FA1}"/>
    <cellStyle name="40% - Accent3 2 3 2 8" xfId="4290" xr:uid="{926F109F-67B5-45BD-8CB3-159FC18FF5B0}"/>
    <cellStyle name="40% - Accent3 2 3 2 8 2" xfId="8643" xr:uid="{B35E1159-D01F-4B37-89AB-FB79E4432D7E}"/>
    <cellStyle name="40% - Accent3 2 3 2 9" xfId="2920" xr:uid="{72C4C22D-EEA5-4CDC-8F25-E83A65781712}"/>
    <cellStyle name="40% - Accent3 2 3 2 9 2" xfId="7482" xr:uid="{256A704D-AB25-4D56-B723-EFE00B2FF8DD}"/>
    <cellStyle name="40% - Accent3 2 3 3" xfId="872" xr:uid="{64CBB7E9-E4DB-436D-AAA1-2FE0B112BDA8}"/>
    <cellStyle name="40% - Accent3 2 3 3 2" xfId="1272" xr:uid="{156F6A43-5F47-4A01-8714-6BA5B5847E18}"/>
    <cellStyle name="40% - Accent3 2 3 3 2 2" xfId="2254" xr:uid="{44C530E6-4746-48B2-96D9-C0909968D381}"/>
    <cellStyle name="40% - Accent3 2 3 3 2 2 2" xfId="4739" xr:uid="{3FDF6F6C-FC94-4C55-B170-9FB53EE5B32A}"/>
    <cellStyle name="40% - Accent3 2 3 3 2 2 2 2" xfId="8985" xr:uid="{977DDC18-9AC5-4ECA-B458-787C22FAD162}"/>
    <cellStyle name="40% - Accent3 2 3 3 2 2 3" xfId="3615" xr:uid="{BCA3FC4F-5C63-4BDB-A954-2E1ED4DD3C4F}"/>
    <cellStyle name="40% - Accent3 2 3 3 2 2 3 2" xfId="8082" xr:uid="{6E221450-0935-46B3-BB05-6F1D7F0D5D6B}"/>
    <cellStyle name="40% - Accent3 2 3 3 2 2 4" xfId="6819" xr:uid="{E00FEBCA-0EA3-46C0-A42A-AC55C37A4E36}"/>
    <cellStyle name="40% - Accent3 2 3 3 2 3" xfId="4021" xr:uid="{FACCC6FF-D4A2-40B4-BD63-C4A8E83E212E}"/>
    <cellStyle name="40% - Accent3 2 3 3 2 3 2" xfId="5123" xr:uid="{48F9ADBD-5385-4120-B806-DB68B647D26B}"/>
    <cellStyle name="40% - Accent3 2 3 3 2 3 2 2" xfId="9348" xr:uid="{1E7C47D2-ECBF-4135-A37C-B8F111A4B8DD}"/>
    <cellStyle name="40% - Accent3 2 3 3 2 3 3" xfId="8470" xr:uid="{E306D44B-E005-4AA4-B857-5C48DF2E3C3C}"/>
    <cellStyle name="40% - Accent3 2 3 3 2 4" xfId="4459" xr:uid="{B21A29BC-F9AC-493A-81BF-EC3EF24A7A78}"/>
    <cellStyle name="40% - Accent3 2 3 3 2 4 2" xfId="8736" xr:uid="{8D4C1671-6E5E-41FF-87AA-D28C74DD98E4}"/>
    <cellStyle name="40% - Accent3 2 3 3 2 5" xfId="3199" xr:uid="{B921A628-BD3C-413F-8F9B-BB4BB78C7157}"/>
    <cellStyle name="40% - Accent3 2 3 3 2 5 2" xfId="7694" xr:uid="{F14E4E91-445C-4C1E-99F6-015546660232}"/>
    <cellStyle name="40% - Accent3 2 3 3 2 6" xfId="5840" xr:uid="{2B0D4783-AC15-45D5-AD2F-66E63F731DD5}"/>
    <cellStyle name="40% - Accent3 2 3 3 3" xfId="1508" xr:uid="{8B30696B-F7F4-47AB-9BFA-6BF1253719E0}"/>
    <cellStyle name="40% - Accent3 2 3 3 3 2" xfId="2488" xr:uid="{5D5B0554-4B2E-4065-8424-8F9F66485B88}"/>
    <cellStyle name="40% - Accent3 2 3 3 3 2 2" xfId="5228" xr:uid="{3CF0D52D-E417-4613-A581-738CE3FA5C57}"/>
    <cellStyle name="40% - Accent3 2 3 3 3 2 2 2" xfId="9453" xr:uid="{E958CA23-0A61-4DD3-9370-F2073FF8AA71}"/>
    <cellStyle name="40% - Accent3 2 3 3 3 2 3" xfId="3720" xr:uid="{1A655966-51C5-47AB-90B1-CC98D0642A0F}"/>
    <cellStyle name="40% - Accent3 2 3 3 3 2 3 2" xfId="8187" xr:uid="{0266745A-20CD-43F1-AE09-4B185E74F764}"/>
    <cellStyle name="40% - Accent3 2 3 3 3 2 4" xfId="7053" xr:uid="{C4179B47-348C-4AD4-9845-805DF84861E0}"/>
    <cellStyle name="40% - Accent3 2 3 3 3 3" xfId="4126" xr:uid="{36F8CABA-E36D-4819-9CB7-84053F1669F1}"/>
    <cellStyle name="40% - Accent3 2 3 3 3 3 2" xfId="8575" xr:uid="{7B625A09-0FD1-4C27-9E6D-02FF7049684B}"/>
    <cellStyle name="40% - Accent3 2 3 3 3 4" xfId="4593" xr:uid="{FC891176-8EF7-4473-97BC-111CA911BE9E}"/>
    <cellStyle name="40% - Accent3 2 3 3 3 4 2" xfId="8848" xr:uid="{AE55682E-4F11-4388-9A56-AA8B581E9107}"/>
    <cellStyle name="40% - Accent3 2 3 3 3 5" xfId="3310" xr:uid="{CE717F49-A537-4D36-A69C-15C802AF58DA}"/>
    <cellStyle name="40% - Accent3 2 3 3 3 5 2" xfId="7799" xr:uid="{38D93199-085F-4F17-8A45-126F4C48E49B}"/>
    <cellStyle name="40% - Accent3 2 3 3 3 6" xfId="6074" xr:uid="{835FF180-93F8-41D6-A48F-E0B951CA3E8E}"/>
    <cellStyle name="40% - Accent3 2 3 3 4" xfId="1742" xr:uid="{E51E2ACC-A1C6-4CDB-A202-D8AD363BC612}"/>
    <cellStyle name="40% - Accent3 2 3 3 4 2" xfId="2721" xr:uid="{7AE4583C-503B-42C8-953A-4350C91A6D5F}"/>
    <cellStyle name="40% - Accent3 2 3 3 4 2 2" xfId="4961" xr:uid="{E18220CF-435C-42C8-96F6-D41609544016}"/>
    <cellStyle name="40% - Accent3 2 3 3 4 2 2 2" xfId="9191" xr:uid="{C358361B-E5DC-4B7B-9A5B-EF8AB782FAA4}"/>
    <cellStyle name="40% - Accent3 2 3 3 4 2 3" xfId="7286" xr:uid="{95F3D702-CEBC-4C37-A04C-472B5A616AE9}"/>
    <cellStyle name="40% - Accent3 2 3 3 4 3" xfId="3510" xr:uid="{F09A558A-9591-43D1-A4A1-A4C514E58A25}"/>
    <cellStyle name="40% - Accent3 2 3 3 4 3 2" xfId="7977" xr:uid="{F402783A-0B8F-47FB-8C2E-268859574DEB}"/>
    <cellStyle name="40% - Accent3 2 3 3 4 4" xfId="6307" xr:uid="{5A47C25D-2A75-4D04-86D0-D43DBFFEB392}"/>
    <cellStyle name="40% - Accent3 2 3 3 5" xfId="1979" xr:uid="{C3CA1470-EEC0-4C67-BEF0-18A463B2FF7B}"/>
    <cellStyle name="40% - Accent3 2 3 3 5 2" xfId="3916" xr:uid="{B3480EF8-3362-40E1-B799-853B18AAA6D3}"/>
    <cellStyle name="40% - Accent3 2 3 3 5 2 2" xfId="8365" xr:uid="{7032F3E5-69D1-476C-8359-640D50C647A1}"/>
    <cellStyle name="40% - Accent3 2 3 3 5 3" xfId="6544" xr:uid="{ECFAB3C6-BE9B-44DA-B308-F526B3A80F73}"/>
    <cellStyle name="40% - Accent3 2 3 3 6" xfId="4324" xr:uid="{D99796A1-E76A-4945-9CA2-182513B8D3A7}"/>
    <cellStyle name="40% - Accent3 2 3 3 6 2" xfId="8664" xr:uid="{D599194C-3947-4984-8C50-1C5C618EBD58}"/>
    <cellStyle name="40% - Accent3 2 3 3 7" xfId="3083" xr:uid="{D55D3DF2-F470-4DCE-8B9F-AD37476C380A}"/>
    <cellStyle name="40% - Accent3 2 3 3 7 2" xfId="7589" xr:uid="{F13B8568-BDCD-43B3-B410-350CB94CE2E0}"/>
    <cellStyle name="40% - Accent3 2 3 3 8" xfId="5565" xr:uid="{D44509FB-2EAC-4358-BDFA-29BCFFD729B1}"/>
    <cellStyle name="40% - Accent3 2 3 4" xfId="983" xr:uid="{4B5DA35C-CF6C-40D9-AB24-349A6E9E2A14}"/>
    <cellStyle name="40% - Accent3 2 3 4 2" xfId="1351" xr:uid="{F71D7525-7B85-4336-970F-18616FD1166B}"/>
    <cellStyle name="40% - Accent3 2 3 4 2 2" xfId="2331" xr:uid="{AC8AD2F7-8300-4228-BB89-A1F4B3AD99B6}"/>
    <cellStyle name="40% - Accent3 2 3 4 2 2 2" xfId="4685" xr:uid="{D402088E-9FC2-498F-B408-7BDE1841A764}"/>
    <cellStyle name="40% - Accent3 2 3 4 2 2 2 2" xfId="8931" xr:uid="{9B2BFCEE-5FA9-4F56-A309-518C60D70B80}"/>
    <cellStyle name="40% - Accent3 2 3 4 2 2 3" xfId="6896" xr:uid="{BCB8AFA2-3E9B-4D5B-AFD7-E568E5341549}"/>
    <cellStyle name="40% - Accent3 2 3 4 2 3" xfId="3550" xr:uid="{B1F0675A-8019-4F7A-BAD8-799EF8AD5CC7}"/>
    <cellStyle name="40% - Accent3 2 3 4 2 3 2" xfId="8017" xr:uid="{9ECAB16A-2375-4B58-B1CE-BCBFB86D4A24}"/>
    <cellStyle name="40% - Accent3 2 3 4 2 4" xfId="5917" xr:uid="{1FD77B65-EF75-43CA-87A9-E3438ECFF7A2}"/>
    <cellStyle name="40% - Accent3 2 3 4 3" xfId="1585" xr:uid="{A3D4E09B-4D2E-4BA9-8CD7-A03CDFC1DB97}"/>
    <cellStyle name="40% - Accent3 2 3 4 3 2" xfId="2565" xr:uid="{C4026124-527D-4E85-A1AF-A936EC89C019}"/>
    <cellStyle name="40% - Accent3 2 3 4 3 2 2" xfId="5058" xr:uid="{FFB696F8-E021-419B-BD22-0A9F440CDF78}"/>
    <cellStyle name="40% - Accent3 2 3 4 3 2 2 2" xfId="9284" xr:uid="{D4097B21-AE0B-409E-B668-151CE5D9DF3C}"/>
    <cellStyle name="40% - Accent3 2 3 4 3 2 3" xfId="7130" xr:uid="{6B21C973-55F1-4640-9292-3A25E740C613}"/>
    <cellStyle name="40% - Accent3 2 3 4 3 3" xfId="3956" xr:uid="{B411A6C4-90EC-4C7F-9DED-4E3CE4731558}"/>
    <cellStyle name="40% - Accent3 2 3 4 3 3 2" xfId="8405" xr:uid="{566B8C31-E47F-4351-978D-A616846FD178}"/>
    <cellStyle name="40% - Accent3 2 3 4 3 4" xfId="6151" xr:uid="{9F809287-6E94-4B9E-962F-BA07DE0353BE}"/>
    <cellStyle name="40% - Accent3 2 3 4 4" xfId="1819" xr:uid="{C8633119-18AA-4E46-8C03-A83F3AF9E37A}"/>
    <cellStyle name="40% - Accent3 2 3 4 4 2" xfId="2798" xr:uid="{5D2C7A52-4661-4C92-BB30-BC00468680A4}"/>
    <cellStyle name="40% - Accent3 2 3 4 4 2 2" xfId="7363" xr:uid="{5C5E8407-4B35-4E70-ACA7-8D59897EB157}"/>
    <cellStyle name="40% - Accent3 2 3 4 4 3" xfId="4410" xr:uid="{444FE22B-382B-4E5D-842E-3886B9230124}"/>
    <cellStyle name="40% - Accent3 2 3 4 4 3 2" xfId="8687" xr:uid="{72408795-556A-4F91-BB73-E6565DF0452A}"/>
    <cellStyle name="40% - Accent3 2 3 4 4 4" xfId="5449" xr:uid="{2470DEC6-0A67-4797-BF8D-07C7FBCE2AE2}"/>
    <cellStyle name="40% - Accent3 2 3 4 4 4 2" xfId="9625" xr:uid="{080EF5E1-8EA9-4D79-B971-043C620B9523}"/>
    <cellStyle name="40% - Accent3 2 3 4 4 5" xfId="6384" xr:uid="{E2634D16-5EBB-47FF-BAFB-9951F170570A}"/>
    <cellStyle name="40% - Accent3 2 3 4 5" xfId="2056" xr:uid="{CD493536-DE5B-461E-9824-61E9D20246EA}"/>
    <cellStyle name="40% - Accent3 2 3 4 5 2" xfId="6621" xr:uid="{6FCE667A-9AB8-4423-A101-CD491BEC994C}"/>
    <cellStyle name="40% - Accent3 2 3 4 6" xfId="3134" xr:uid="{5B8F8BE9-EFB1-43C5-A887-8425EF282FF2}"/>
    <cellStyle name="40% - Accent3 2 3 4 6 2" xfId="7629" xr:uid="{94D8E22B-ED0D-4B3F-825B-0D2EB8CB2713}"/>
    <cellStyle name="40% - Accent3 2 3 4 7" xfId="5642" xr:uid="{77856E6D-B93B-41FF-9428-13D41274708B}"/>
    <cellStyle name="40% - Accent3 2 3 5" xfId="1068" xr:uid="{7B6B933C-240C-4D23-BA34-99B807992597}"/>
    <cellStyle name="40% - Accent3 2 3 5 2" xfId="2133" xr:uid="{45E06753-D5C0-411A-A1EA-0CD53E9A4694}"/>
    <cellStyle name="40% - Accent3 2 3 5 2 2" xfId="4779" xr:uid="{07CBA653-A5DC-49F1-8780-0B5ED88922D8}"/>
    <cellStyle name="40% - Accent3 2 3 5 2 2 2" xfId="9025" xr:uid="{88762FA5-FA0B-4F75-BA6F-0D81E3D03EB5}"/>
    <cellStyle name="40% - Accent3 2 3 5 2 3" xfId="3655" xr:uid="{6DC82AA8-CE1A-4079-B73B-367A2278E9FA}"/>
    <cellStyle name="40% - Accent3 2 3 5 2 3 2" xfId="8122" xr:uid="{355C3CB1-9A83-4567-8CF5-3AC833FBCDE6}"/>
    <cellStyle name="40% - Accent3 2 3 5 2 4" xfId="6698" xr:uid="{7DE96638-D8F7-4519-A699-EBDB6BE61529}"/>
    <cellStyle name="40% - Accent3 2 3 5 3" xfId="4061" xr:uid="{51BEE7E6-1D72-4AB5-8766-AFFC852F211A}"/>
    <cellStyle name="40% - Accent3 2 3 5 3 2" xfId="5163" xr:uid="{16372780-E0E3-4C46-A02C-B8BD9EB08061}"/>
    <cellStyle name="40% - Accent3 2 3 5 3 2 2" xfId="9388" xr:uid="{0A0CADCA-2322-4C4E-8205-CC3C9003495B}"/>
    <cellStyle name="40% - Accent3 2 3 5 3 3" xfId="8510" xr:uid="{4E9F20B8-6BE8-41C7-BAD4-BE8F27AF1977}"/>
    <cellStyle name="40% - Accent3 2 3 5 4" xfId="4486" xr:uid="{50660802-6F8F-491A-BFD6-6FA3E3F718DB}"/>
    <cellStyle name="40% - Accent3 2 3 5 4 2" xfId="8761" xr:uid="{0C9E9407-1EF3-494C-8F89-8321729A2BF6}"/>
    <cellStyle name="40% - Accent3 2 3 5 5" xfId="3240" xr:uid="{35159E7C-11F9-4B0B-B2D0-24D61564917D}"/>
    <cellStyle name="40% - Accent3 2 3 5 5 2" xfId="7734" xr:uid="{47EC4258-552C-45E7-AA80-503E4E15B62F}"/>
    <cellStyle name="40% - Accent3 2 3 5 6" xfId="5719" xr:uid="{6223E30B-070D-455D-9EB8-642070D422C5}"/>
    <cellStyle name="40% - Accent3 2 3 6" xfId="1191" xr:uid="{1BCD2421-2BDE-4C1B-A7ED-6D9B588DF263}"/>
    <cellStyle name="40% - Accent3 2 3 6 2" xfId="2177" xr:uid="{52B07C25-177B-476F-ABA3-326B24D01E64}"/>
    <cellStyle name="40% - Accent3 2 3 6 2 2" xfId="4908" xr:uid="{24B8289B-57D9-4616-B605-0805766C7D85}"/>
    <cellStyle name="40% - Accent3 2 3 6 2 2 2" xfId="9138" xr:uid="{8ACE6E4F-C914-45EF-94AF-119CE48D257C}"/>
    <cellStyle name="40% - Accent3 2 3 6 2 3" xfId="3444" xr:uid="{01C1E295-445A-4CC6-84FA-D609D80D30C7}"/>
    <cellStyle name="40% - Accent3 2 3 6 2 3 2" xfId="7912" xr:uid="{6F27FDCD-C136-46C4-A684-4721644CD072}"/>
    <cellStyle name="40% - Accent3 2 3 6 2 4" xfId="6742" xr:uid="{8966B258-A3E8-4067-AEE7-007AB0B8B025}"/>
    <cellStyle name="40% - Accent3 2 3 6 3" xfId="3851" xr:uid="{95B76F57-A694-456E-9A27-C8D2F0A17547}"/>
    <cellStyle name="40% - Accent3 2 3 6 3 2" xfId="8300" xr:uid="{D5ECC67A-711A-42FB-BCD3-D08036B68E4D}"/>
    <cellStyle name="40% - Accent3 2 3 6 4" xfId="4547" xr:uid="{874E6B36-1887-4E75-B29B-5C1003B26C49}"/>
    <cellStyle name="40% - Accent3 2 3 6 4 2" xfId="8804" xr:uid="{7D5850D5-6B28-477C-8AB5-51B38B18359A}"/>
    <cellStyle name="40% - Accent3 2 3 6 5" xfId="2994" xr:uid="{E1C8DC65-3035-497D-BB1A-EE1ED2735AB6}"/>
    <cellStyle name="40% - Accent3 2 3 6 5 2" xfId="7524" xr:uid="{AE39AA3A-1A22-41BD-ACBC-4C0BCAAC340D}"/>
    <cellStyle name="40% - Accent3 2 3 6 6" xfId="5763" xr:uid="{FAA39DB2-E073-4612-88E8-F434BA2691A3}"/>
    <cellStyle name="40% - Accent3 2 3 7" xfId="1431" xr:uid="{7009B9D5-DBE4-430F-8220-2CFE4472AD38}"/>
    <cellStyle name="40% - Accent3 2 3 7 2" xfId="2411" xr:uid="{71F4146E-734F-495A-9027-6FCA8737354A}"/>
    <cellStyle name="40% - Accent3 2 3 7 2 2" xfId="4866" xr:uid="{CAD15ACD-B592-417B-8AE8-DB69B34F1837}"/>
    <cellStyle name="40% - Accent3 2 3 7 2 2 2" xfId="9101" xr:uid="{361D1C06-B5A0-461D-8F22-5AA30C9B814C}"/>
    <cellStyle name="40% - Accent3 2 3 7 2 3" xfId="6976" xr:uid="{EFE6D677-DB35-4A75-B2FE-16242492E6DE}"/>
    <cellStyle name="40% - Accent3 2 3 7 3" xfId="3349" xr:uid="{CC989F30-1C4A-4AA0-A70D-A58E9B7C0DBF}"/>
    <cellStyle name="40% - Accent3 2 3 7 3 2" xfId="7836" xr:uid="{9C708B15-FD11-413C-948B-A4975083E8D2}"/>
    <cellStyle name="40% - Accent3 2 3 7 4" xfId="5997" xr:uid="{610D1415-7203-49CD-8D3A-474B627A07F6}"/>
    <cellStyle name="40% - Accent3 2 3 8" xfId="1682" xr:uid="{158685FA-F0F3-4360-88D4-CB41DBAC7F09}"/>
    <cellStyle name="40% - Accent3 2 3 8 2" xfId="2662" xr:uid="{C50DF2C8-BC3C-48DA-8A0B-367A1AEAF27F}"/>
    <cellStyle name="40% - Accent3 2 3 8 2 2" xfId="7227" xr:uid="{98685B50-B2FF-49F1-902C-1C6F610AD692}"/>
    <cellStyle name="40% - Accent3 2 3 8 3" xfId="3771" xr:uid="{BACF6862-F20E-449C-80BA-094745933E12}"/>
    <cellStyle name="40% - Accent3 2 3 8 3 2" xfId="8224" xr:uid="{7CA812E2-E2FB-4A87-B4A7-EB67B737FC00}"/>
    <cellStyle name="40% - Accent3 2 3 8 4" xfId="6248" xr:uid="{D93B7A31-DE81-4897-93CD-D59F22777402}"/>
    <cellStyle name="40% - Accent3 2 3 9" xfId="1902" xr:uid="{E5E32A7B-AEEF-428B-94AB-0B373EB383BD}"/>
    <cellStyle name="40% - Accent3 2 3 9 2" xfId="4197" xr:uid="{6CF5DF8A-90A7-42ED-A0DA-E5F33B015A66}"/>
    <cellStyle name="40% - Accent3 2 3 9 2 2" xfId="8615" xr:uid="{0AA2EFDC-DF38-4DF1-AB3A-0FBA4F0A1C7C}"/>
    <cellStyle name="40% - Accent3 2 3 9 3" xfId="6467" xr:uid="{7304DE62-946D-4EFC-9820-05D145B70241}"/>
    <cellStyle name="40% - Accent3 2 4" xfId="749" xr:uid="{DD6F32AA-0540-48AA-8075-871A3058B831}"/>
    <cellStyle name="40% - Accent3 2 4 2" xfId="4325" xr:uid="{81A2211A-D12B-4224-8D3F-E24C19EF6B98}"/>
    <cellStyle name="40% - Accent3 2 4 3" xfId="4198" xr:uid="{087DF081-AABD-4E14-8E74-C701369A133E}"/>
    <cellStyle name="40% - Accent3 2 5" xfId="748" xr:uid="{F54E9EA0-3F76-4E64-B299-9CE0C8AA35D6}"/>
    <cellStyle name="40% - Accent3 2 5 2" xfId="4326" xr:uid="{B7688FCB-4BEF-46F2-8A32-8BA4B17BC398}"/>
    <cellStyle name="40% - Accent3 2 5 3" xfId="4199" xr:uid="{7A611B1C-F1DB-497B-B3FB-A873CEC37BDF}"/>
    <cellStyle name="40% - Accent3 2 6" xfId="1069" xr:uid="{F960D563-86B1-4F83-B8EB-3C426A558079}"/>
    <cellStyle name="40% - Accent3 2 6 2" xfId="4327" xr:uid="{84082A79-9698-42F7-B3E5-C3B36127FCB7}"/>
    <cellStyle name="40% - Accent3 2 6 3" xfId="4598" xr:uid="{F9121A56-DF82-41C4-BF07-17D23790AF10}"/>
    <cellStyle name="40% - Accent3 2 6 4" xfId="4271" xr:uid="{1B5EA8D2-15C2-4553-84A9-4F3FAE2D5492}"/>
    <cellStyle name="40% - Accent3 2 6 5" xfId="2958" xr:uid="{706A4FE8-DFF8-4867-82BF-1C358F3CC0AB}"/>
    <cellStyle name="40% - Accent3 3" xfId="74" xr:uid="{DE8CA27B-38E3-48B8-AB0B-80EF2BB54021}"/>
    <cellStyle name="40% - Accent3 3 2" xfId="4328" xr:uid="{96707C3A-1551-44DF-812C-BC9C539DC19E}"/>
    <cellStyle name="40% - Accent3 3 3" xfId="4200" xr:uid="{A887C2D7-5FDF-4352-9A27-49239469E552}"/>
    <cellStyle name="40% - Accent3 4" xfId="75" xr:uid="{F2FB1DF4-688C-458E-9476-F1019CCB4B64}"/>
    <cellStyle name="40% - Accent3 4 2" xfId="4329" xr:uid="{253D4FE0-877B-49E4-80E4-73CEAE21B3E5}"/>
    <cellStyle name="40% - Accent3 4 3" xfId="4201" xr:uid="{E2AE4CDA-AF16-4B54-A67E-B8331473CD24}"/>
    <cellStyle name="40% - Accent4 2" xfId="76" xr:uid="{67CB62B6-19D9-4C46-8A07-C0A6D5B7F939}"/>
    <cellStyle name="40% - Accent4 2 2" xfId="77" xr:uid="{2CA84A7A-0E26-4254-9DC8-9B3F9E345B50}"/>
    <cellStyle name="40% - Accent4 2 3" xfId="78" xr:uid="{27963F47-C5B7-4191-BA79-C723851FDCD1}"/>
    <cellStyle name="40% - Accent4 2 3 10" xfId="2884" xr:uid="{F68430B2-2803-482F-B7E9-F2A044618246}"/>
    <cellStyle name="40% - Accent4 2 3 10 2" xfId="7449" xr:uid="{3F603DE4-AFB4-4E6F-A0BC-34EFBC337A39}"/>
    <cellStyle name="40% - Accent4 2 3 11" xfId="5489" xr:uid="{34E436EE-B2C4-446C-9F05-E80584449DC8}"/>
    <cellStyle name="40% - Accent4 2 3 2" xfId="838" xr:uid="{85300F3A-89F4-491C-BC66-FC857EBA8117}"/>
    <cellStyle name="40% - Accent4 2 3 2 2" xfId="944" xr:uid="{903D7C97-ECE5-4C3C-9AA8-907FBBDD683E}"/>
    <cellStyle name="40% - Accent4 2 3 2 2 2" xfId="1317" xr:uid="{B336C9F3-66CC-4B53-8F27-8940E2C0093C}"/>
    <cellStyle name="40% - Accent4 2 3 2 2 2 2" xfId="2297" xr:uid="{DA84D0E6-AA00-4496-B005-35CC00A75A9A}"/>
    <cellStyle name="40% - Accent4 2 3 2 2 2 2 2" xfId="4707" xr:uid="{76001387-20A0-46A9-93E3-6A0435313764}"/>
    <cellStyle name="40% - Accent4 2 3 2 2 2 2 2 2" xfId="8953" xr:uid="{001B00D3-EC32-41D8-8BA5-0D0EDD7F24F7}"/>
    <cellStyle name="40% - Accent4 2 3 2 2 2 2 3" xfId="6862" xr:uid="{F25F8722-2F7E-436A-9DB1-9EC9EA108A9D}"/>
    <cellStyle name="40% - Accent4 2 3 2 2 2 3" xfId="3582" xr:uid="{A9406DEC-57D3-465B-9B62-FA6F2C0B4EC2}"/>
    <cellStyle name="40% - Accent4 2 3 2 2 2 3 2" xfId="8049" xr:uid="{47F30540-2A1A-464E-9A1F-81D1347B97BE}"/>
    <cellStyle name="40% - Accent4 2 3 2 2 2 4" xfId="5883" xr:uid="{8B62E8A8-8EAE-425B-AB84-78CE6519EC47}"/>
    <cellStyle name="40% - Accent4 2 3 2 2 3" xfId="1551" xr:uid="{BC6CD903-C84B-4085-985C-BB593ADEC113}"/>
    <cellStyle name="40% - Accent4 2 3 2 2 3 2" xfId="2531" xr:uid="{11094AB5-245D-494D-94C8-FE809E16C225}"/>
    <cellStyle name="40% - Accent4 2 3 2 2 3 2 2" xfId="5090" xr:uid="{A65EF435-4993-44FF-B6A2-9E4E5ABAEBDD}"/>
    <cellStyle name="40% - Accent4 2 3 2 2 3 2 2 2" xfId="9315" xr:uid="{ED619A1B-A687-4903-B9CE-D66DC09BE706}"/>
    <cellStyle name="40% - Accent4 2 3 2 2 3 2 3" xfId="7096" xr:uid="{4445FA14-1229-4D22-A6D5-B35D06D8D3E1}"/>
    <cellStyle name="40% - Accent4 2 3 2 2 3 3" xfId="3988" xr:uid="{C221B6F4-E188-4B52-9EE4-9D0D0FDCB75F}"/>
    <cellStyle name="40% - Accent4 2 3 2 2 3 3 2" xfId="8437" xr:uid="{28E36B9A-6B56-45C9-A3DD-3A4631436BC8}"/>
    <cellStyle name="40% - Accent4 2 3 2 2 3 4" xfId="6117" xr:uid="{458BF3E9-0DB0-4C36-B4E1-BEF5EE794650}"/>
    <cellStyle name="40% - Accent4 2 3 2 2 4" xfId="1785" xr:uid="{66F7696E-2CEE-41A0-9A7F-D077B5F04C86}"/>
    <cellStyle name="40% - Accent4 2 3 2 2 4 2" xfId="2764" xr:uid="{53602C01-3D78-44D6-B778-B911333530AA}"/>
    <cellStyle name="40% - Accent4 2 3 2 2 4 2 2" xfId="7329" xr:uid="{6E79A602-D351-4586-929C-205B5B710835}"/>
    <cellStyle name="40% - Accent4 2 3 2 2 4 3" xfId="4439" xr:uid="{2B3AFC1A-1D2C-40EB-8614-6C54585DEE32}"/>
    <cellStyle name="40% - Accent4 2 3 2 2 4 3 2" xfId="8716" xr:uid="{5A1933C8-C290-4067-B44C-11127DF818D6}"/>
    <cellStyle name="40% - Accent4 2 3 2 2 4 4" xfId="6350" xr:uid="{309525FD-4954-4FE2-82F4-A801C7BC9A82}"/>
    <cellStyle name="40% - Accent4 2 3 2 2 5" xfId="2022" xr:uid="{0795B570-37D6-47C6-9DCE-3C4CD6AB693E}"/>
    <cellStyle name="40% - Accent4 2 3 2 2 5 2" xfId="6587" xr:uid="{66195E5B-3E6B-4B26-8107-3944CBFCA85C}"/>
    <cellStyle name="40% - Accent4 2 3 2 2 6" xfId="3166" xr:uid="{ED388451-C329-4F34-B30E-F902984821B1}"/>
    <cellStyle name="40% - Accent4 2 3 2 2 6 2" xfId="7661" xr:uid="{094BD824-22E5-46A0-8DAC-D63F7B1FC0E3}"/>
    <cellStyle name="40% - Accent4 2 3 2 2 7" xfId="5608" xr:uid="{83527046-77D8-46B7-B5B9-EA60099BD3C3}"/>
    <cellStyle name="40% - Accent4 2 3 2 3" xfId="1026" xr:uid="{31EE417D-94C9-4DCE-8D2D-F53D7E4EFE0F}"/>
    <cellStyle name="40% - Accent4 2 3 2 3 2" xfId="1394" xr:uid="{1BEBCE05-E28B-4A84-8636-23EED4333529}"/>
    <cellStyle name="40% - Accent4 2 3 2 3 2 2" xfId="2374" xr:uid="{EF7BC639-BA2A-494A-BC71-27CEE44B00D5}"/>
    <cellStyle name="40% - Accent4 2 3 2 3 2 2 2" xfId="5195" xr:uid="{433FBBB2-B6F2-43FC-8BC5-599D480B6249}"/>
    <cellStyle name="40% - Accent4 2 3 2 3 2 2 2 2" xfId="9420" xr:uid="{46AF74F2-9EB7-47FC-9EE9-2B2218C92950}"/>
    <cellStyle name="40% - Accent4 2 3 2 3 2 2 3" xfId="6939" xr:uid="{9F40908F-03AE-49AF-A809-00A65CE7B009}"/>
    <cellStyle name="40% - Accent4 2 3 2 3 2 3" xfId="3687" xr:uid="{C610ACE9-49C4-4152-91D3-C7369889DD83}"/>
    <cellStyle name="40% - Accent4 2 3 2 3 2 3 2" xfId="8154" xr:uid="{D3F07BCC-240D-4D00-8F72-19CF7C4414BF}"/>
    <cellStyle name="40% - Accent4 2 3 2 3 2 4" xfId="5960" xr:uid="{0DEDD62B-3E8C-45B5-95C6-FD8A4DC3A3B8}"/>
    <cellStyle name="40% - Accent4 2 3 2 3 3" xfId="1628" xr:uid="{3DA0E789-9DFB-4597-9036-EAC059AEF1F8}"/>
    <cellStyle name="40% - Accent4 2 3 2 3 3 2" xfId="2608" xr:uid="{ACD4C367-426E-4394-A990-78B3D963C8EA}"/>
    <cellStyle name="40% - Accent4 2 3 2 3 3 2 2" xfId="7173" xr:uid="{57E73013-2B7E-40CA-9350-609C96975DF4}"/>
    <cellStyle name="40% - Accent4 2 3 2 3 3 3" xfId="4093" xr:uid="{70074E8C-69E1-4CA2-888D-116413C25024}"/>
    <cellStyle name="40% - Accent4 2 3 2 3 3 3 2" xfId="8542" xr:uid="{3D39BB9F-2A79-494D-8885-F34263C4D5BF}"/>
    <cellStyle name="40% - Accent4 2 3 2 3 3 4" xfId="6194" xr:uid="{BDE6296F-32BE-425B-826B-E392A4805AE0}"/>
    <cellStyle name="40% - Accent4 2 3 2 3 4" xfId="1862" xr:uid="{2EF4B374-D717-470E-B076-3BA61E579DD2}"/>
    <cellStyle name="40% - Accent4 2 3 2 3 4 2" xfId="2841" xr:uid="{F1607BED-2C4F-4799-852C-6A591B52EF7C}"/>
    <cellStyle name="40% - Accent4 2 3 2 3 4 2 2" xfId="7406" xr:uid="{7103E4F0-DD68-46EA-A1F2-4FE82BD267FB}"/>
    <cellStyle name="40% - Accent4 2 3 2 3 4 3" xfId="4573" xr:uid="{80A02CC7-FBE4-49F2-A036-99FF661D2A3C}"/>
    <cellStyle name="40% - Accent4 2 3 2 3 4 3 2" xfId="8828" xr:uid="{3CA115D0-B973-42EC-A5CE-33E5685DFAEE}"/>
    <cellStyle name="40% - Accent4 2 3 2 3 4 4" xfId="6427" xr:uid="{2837CD94-4849-47F4-BF8F-EC145F71FA69}"/>
    <cellStyle name="40% - Accent4 2 3 2 3 5" xfId="2099" xr:uid="{B0F10C36-0308-4E8A-A739-E4C8ECFA7BF1}"/>
    <cellStyle name="40% - Accent4 2 3 2 3 5 2" xfId="6664" xr:uid="{FC179F8D-B360-41D1-B68B-A3FB88A49909}"/>
    <cellStyle name="40% - Accent4 2 3 2 3 6" xfId="3273" xr:uid="{333CE5DB-3BD6-42AA-8606-637B8FFFFA29}"/>
    <cellStyle name="40% - Accent4 2 3 2 3 6 2" xfId="7766" xr:uid="{936A9A6D-2D81-49FB-9417-F0E7CFDC06DF}"/>
    <cellStyle name="40% - Accent4 2 3 2 3 7" xfId="5685" xr:uid="{47111E38-0411-492C-ADFE-3AFFD626408C}"/>
    <cellStyle name="40% - Accent4 2 3 2 4" xfId="1238" xr:uid="{8B76A678-F0A6-44A1-AD4C-19AB4CA8E875}"/>
    <cellStyle name="40% - Accent4 2 3 2 4 2" xfId="2220" xr:uid="{54C16520-5D19-4733-9FF6-9602B2107F81}"/>
    <cellStyle name="40% - Accent4 2 3 2 4 2 2" xfId="4877" xr:uid="{F9DE5303-1D95-48C4-AFA0-A39E37CAA56D}"/>
    <cellStyle name="40% - Accent4 2 3 2 4 2 2 2" xfId="9110" xr:uid="{99DB6634-286C-47DC-958A-43D85DD32085}"/>
    <cellStyle name="40% - Accent4 2 3 2 4 2 3" xfId="3477" xr:uid="{62D8ABFA-90BB-4710-AF47-2B989B88ACD7}"/>
    <cellStyle name="40% - Accent4 2 3 2 4 2 3 2" xfId="7944" xr:uid="{714188EE-AEE2-475C-9E8A-283D68BC6DFC}"/>
    <cellStyle name="40% - Accent4 2 3 2 4 2 4" xfId="6785" xr:uid="{6D9077EC-85C8-4FEF-B5A7-5FF419407186}"/>
    <cellStyle name="40% - Accent4 2 3 2 4 3" xfId="3883" xr:uid="{174215DE-FAD4-4DDD-84BA-FE6DEDC0CE7C}"/>
    <cellStyle name="40% - Accent4 2 3 2 4 3 2" xfId="8332" xr:uid="{BEE40691-A1B1-4456-8A39-BDADB0E93F96}"/>
    <cellStyle name="40% - Accent4 2 3 2 4 4" xfId="4557" xr:uid="{A35F2545-FF4E-44D1-84CB-8AC94FA56244}"/>
    <cellStyle name="40% - Accent4 2 3 2 4 4 2" xfId="8813" xr:uid="{2FD40ADC-8270-4EB5-90B2-0F65944B09B9}"/>
    <cellStyle name="40% - Accent4 2 3 2 4 5" xfId="3046" xr:uid="{CA75F25C-4F97-4B09-888C-6A284A31F6C2}"/>
    <cellStyle name="40% - Accent4 2 3 2 4 5 2" xfId="7556" xr:uid="{EAFA7B9B-1CB5-40BE-9451-249635224F3C}"/>
    <cellStyle name="40% - Accent4 2 3 2 4 6" xfId="5806" xr:uid="{DDA58A26-D231-4928-B641-16731450C8D1}"/>
    <cellStyle name="40% - Accent4 2 3 2 5" xfId="1474" xr:uid="{A4C056BF-744E-4B7A-B065-595BACF10FFC}"/>
    <cellStyle name="40% - Accent4 2 3 2 5 2" xfId="2454" xr:uid="{E7313F0F-22DA-42CE-8077-7FAA83BC7639}"/>
    <cellStyle name="40% - Accent4 2 3 2 5 2 2" xfId="4938" xr:uid="{571F93BB-BD3F-4480-96E2-E1673DA87B3D}"/>
    <cellStyle name="40% - Accent4 2 3 2 5 2 2 2" xfId="9168" xr:uid="{2505EAE9-B998-4EC5-964D-7AC719884983}"/>
    <cellStyle name="40% - Accent4 2 3 2 5 2 3" xfId="7019" xr:uid="{87719263-03BA-4657-BC9D-839CE51570D9}"/>
    <cellStyle name="40% - Accent4 2 3 2 5 3" xfId="3403" xr:uid="{5D471EAB-3414-43D1-AE1E-8D6CD06410DF}"/>
    <cellStyle name="40% - Accent4 2 3 2 5 3 2" xfId="7871" xr:uid="{E000A474-DE84-4B0C-8501-7DC390070794}"/>
    <cellStyle name="40% - Accent4 2 3 2 5 4" xfId="6040" xr:uid="{8F8F5CA0-DBE2-4908-A6A1-A067B451CD5C}"/>
    <cellStyle name="40% - Accent4 2 3 2 6" xfId="1666" xr:uid="{F9453ADB-B7C9-464E-B45F-38ACFC3EFA71}"/>
    <cellStyle name="40% - Accent4 2 3 2 6 2" xfId="2646" xr:uid="{955EFBA6-5D03-4873-A23A-84D876D97AF2}"/>
    <cellStyle name="40% - Accent4 2 3 2 6 2 2" xfId="7211" xr:uid="{1FF1A109-5095-48AC-AF6E-FE47E5809D71}"/>
    <cellStyle name="40% - Accent4 2 3 2 6 3" xfId="3810" xr:uid="{889A0C32-C6C0-4E72-B0BA-9CD664863AD5}"/>
    <cellStyle name="40% - Accent4 2 3 2 6 3 2" xfId="8259" xr:uid="{2A03AD80-A3C2-41AB-B1F2-61B8CE5AC915}"/>
    <cellStyle name="40% - Accent4 2 3 2 6 4" xfId="6232" xr:uid="{20351903-97CB-454C-90B3-428F6AA8019B}"/>
    <cellStyle name="40% - Accent4 2 3 2 7" xfId="1945" xr:uid="{74D8C9B2-1227-48FA-AF73-C1E9AD3D2902}"/>
    <cellStyle name="40% - Accent4 2 3 2 7 2" xfId="4291" xr:uid="{C3406847-AACB-4CA1-BA3F-832C433D10CB}"/>
    <cellStyle name="40% - Accent4 2 3 2 7 2 2" xfId="8644" xr:uid="{5DD62839-DDE4-40E2-B140-D8621CC45E0B}"/>
    <cellStyle name="40% - Accent4 2 3 2 7 3" xfId="6510" xr:uid="{A18A0C9D-CC76-4F4D-8132-68364612C6EC}"/>
    <cellStyle name="40% - Accent4 2 3 2 8" xfId="2921" xr:uid="{3EDB6F9A-6A6D-496F-89E1-CD086571AAEB}"/>
    <cellStyle name="40% - Accent4 2 3 2 8 2" xfId="7483" xr:uid="{FBAAD051-1E36-40F8-8B4B-5EDF74FB1C3A}"/>
    <cellStyle name="40% - Accent4 2 3 2 9" xfId="5531" xr:uid="{B0DC9A55-2842-4EC0-A9E8-38213BB1A178}"/>
    <cellStyle name="40% - Accent4 2 3 3" xfId="873" xr:uid="{DAD37BEA-321D-4C94-8245-03946BA5F875}"/>
    <cellStyle name="40% - Accent4 2 3 3 2" xfId="1273" xr:uid="{36C52670-86A4-4EDA-9741-77DC13BA62E8}"/>
    <cellStyle name="40% - Accent4 2 3 3 2 2" xfId="2255" xr:uid="{1A28DC4A-7577-4483-B4B7-619DEE1C3521}"/>
    <cellStyle name="40% - Accent4 2 3 3 2 2 2" xfId="5124" xr:uid="{A0B94BE7-6159-4104-B22A-872FDE47144D}"/>
    <cellStyle name="40% - Accent4 2 3 3 2 2 2 2" xfId="9349" xr:uid="{878CF5BD-2182-420F-BA73-D00053801705}"/>
    <cellStyle name="40% - Accent4 2 3 3 2 2 3" xfId="3616" xr:uid="{F91E2534-A768-4754-A72F-B65B1001E970}"/>
    <cellStyle name="40% - Accent4 2 3 3 2 2 3 2" xfId="8083" xr:uid="{BB40244F-D330-455B-A916-7CF510D00749}"/>
    <cellStyle name="40% - Accent4 2 3 3 2 2 4" xfId="6820" xr:uid="{8751AD37-0D65-4786-B651-98FAD8C577F0}"/>
    <cellStyle name="40% - Accent4 2 3 3 2 3" xfId="4022" xr:uid="{3CBEB278-60B4-45E5-B678-002DA0C27E91}"/>
    <cellStyle name="40% - Accent4 2 3 3 2 3 2" xfId="8471" xr:uid="{8DE5D7FC-F55D-49DF-BB61-B65D72CCC8A1}"/>
    <cellStyle name="40% - Accent4 2 3 3 2 4" xfId="4740" xr:uid="{9AFC146E-D55B-4244-B051-EE422E402036}"/>
    <cellStyle name="40% - Accent4 2 3 3 2 4 2" xfId="8986" xr:uid="{10B0B368-57E7-495A-AD8D-0BCAA41F99D6}"/>
    <cellStyle name="40% - Accent4 2 3 3 2 5" xfId="3200" xr:uid="{5D00E199-35B6-4C11-B57F-20390E779C0B}"/>
    <cellStyle name="40% - Accent4 2 3 3 2 5 2" xfId="7695" xr:uid="{7918C28E-DBBB-411A-8EF2-B4E4EA3F1889}"/>
    <cellStyle name="40% - Accent4 2 3 3 2 6" xfId="5841" xr:uid="{62C64BA9-7331-43C7-BC27-F2F7B6915107}"/>
    <cellStyle name="40% - Accent4 2 3 3 3" xfId="1509" xr:uid="{43DC60EC-1BB3-4065-9DDE-0988B03C744C}"/>
    <cellStyle name="40% - Accent4 2 3 3 3 2" xfId="2489" xr:uid="{7B59A3D1-913D-427C-97D5-CA788E848120}"/>
    <cellStyle name="40% - Accent4 2 3 3 3 2 2" xfId="5229" xr:uid="{71FC914F-5F31-4AD9-98FB-F6D07BF58EFF}"/>
    <cellStyle name="40% - Accent4 2 3 3 3 2 2 2" xfId="9454" xr:uid="{FAE63BF0-95FB-45C8-896C-FA3752348244}"/>
    <cellStyle name="40% - Accent4 2 3 3 3 2 3" xfId="3721" xr:uid="{B5538D0A-94F1-42B9-9066-1A352172E73B}"/>
    <cellStyle name="40% - Accent4 2 3 3 3 2 3 2" xfId="8188" xr:uid="{8FBBAFF0-7AF9-4A86-87B1-3AC28BB29C22}"/>
    <cellStyle name="40% - Accent4 2 3 3 3 2 4" xfId="7054" xr:uid="{C69D9F62-D3DE-4406-8BAD-4D2389B8FAAD}"/>
    <cellStyle name="40% - Accent4 2 3 3 3 3" xfId="4127" xr:uid="{E3D66F75-DEC8-45F1-A553-822D20A639E8}"/>
    <cellStyle name="40% - Accent4 2 3 3 3 3 2" xfId="8576" xr:uid="{8EBD0021-89C7-46C2-A96B-9A3C951023B8}"/>
    <cellStyle name="40% - Accent4 2 3 3 3 4" xfId="4816" xr:uid="{5BCFFC37-6E47-486C-A773-556C082D0836}"/>
    <cellStyle name="40% - Accent4 2 3 3 3 4 2" xfId="9062" xr:uid="{4EFFEB11-6A94-432B-A6F2-B36DBA709DCA}"/>
    <cellStyle name="40% - Accent4 2 3 3 3 5" xfId="3311" xr:uid="{213F3690-E11B-4D9A-971E-164A5269A915}"/>
    <cellStyle name="40% - Accent4 2 3 3 3 5 2" xfId="7800" xr:uid="{BB626691-5AE8-4D6D-B70A-C6239338A4DE}"/>
    <cellStyle name="40% - Accent4 2 3 3 3 6" xfId="6075" xr:uid="{0F5AD714-6FB7-4B0D-A926-9DF8C9211F0A}"/>
    <cellStyle name="40% - Accent4 2 3 3 4" xfId="1743" xr:uid="{D5BAECBB-88EA-408F-B59E-4FF928F74B44}"/>
    <cellStyle name="40% - Accent4 2 3 3 4 2" xfId="2722" xr:uid="{307DC439-FC4F-4DE4-B2ED-8A2765030A5D}"/>
    <cellStyle name="40% - Accent4 2 3 3 4 2 2" xfId="4660" xr:uid="{B6A9151B-01EE-419C-9BDE-FD01C694792D}"/>
    <cellStyle name="40% - Accent4 2 3 3 4 2 2 2" xfId="8906" xr:uid="{73DFD0E5-690B-4B18-9AAD-168CF8B2E46C}"/>
    <cellStyle name="40% - Accent4 2 3 3 4 2 3" xfId="7287" xr:uid="{8DAC1278-2FDC-4E09-A6AC-9E86C09E2B84}"/>
    <cellStyle name="40% - Accent4 2 3 3 4 3" xfId="3511" xr:uid="{795B93FA-FDDC-4A30-99C3-548B411E9E16}"/>
    <cellStyle name="40% - Accent4 2 3 3 4 3 2" xfId="7978" xr:uid="{A4D80449-032F-4EA4-980A-65DF17F53C9E}"/>
    <cellStyle name="40% - Accent4 2 3 3 4 4" xfId="6308" xr:uid="{E1047B93-3C22-4260-AF25-6919432095CB}"/>
    <cellStyle name="40% - Accent4 2 3 3 5" xfId="1980" xr:uid="{FF92ED37-EBC3-432C-B79C-03BDB68E804B}"/>
    <cellStyle name="40% - Accent4 2 3 3 5 2" xfId="5020" xr:uid="{D95D9A9D-5733-41F4-AA4E-B207E1AB569A}"/>
    <cellStyle name="40% - Accent4 2 3 3 5 2 2" xfId="9246" xr:uid="{93127799-C9CD-4A74-9E50-3345E38D31D4}"/>
    <cellStyle name="40% - Accent4 2 3 3 5 3" xfId="3917" xr:uid="{537D8D3E-1980-496C-88B4-0458F30FD9C7}"/>
    <cellStyle name="40% - Accent4 2 3 3 5 3 2" xfId="8366" xr:uid="{26199C11-FE6A-45F0-B0AA-7285E4B4EB75}"/>
    <cellStyle name="40% - Accent4 2 3 3 5 4" xfId="6545" xr:uid="{2B6CB715-43C3-4A4D-A705-FAD7E7A9A315}"/>
    <cellStyle name="40% - Accent4 2 3 3 6" xfId="4411" xr:uid="{DB49EF9F-4A08-4B73-B6C6-5216FCA1CACD}"/>
    <cellStyle name="40% - Accent4 2 3 3 6 2" xfId="8688" xr:uid="{B5C49D40-1C2E-433A-A5B6-8534AB6633AB}"/>
    <cellStyle name="40% - Accent4 2 3 3 7" xfId="3084" xr:uid="{E604E2E7-9C1E-4CC8-9A24-41C135DB5568}"/>
    <cellStyle name="40% - Accent4 2 3 3 7 2" xfId="7590" xr:uid="{410301B9-93A6-4710-B37D-488CED1827AE}"/>
    <cellStyle name="40% - Accent4 2 3 3 8" xfId="5566" xr:uid="{90F206AF-5FDC-465D-ABA9-153A18683F1B}"/>
    <cellStyle name="40% - Accent4 2 3 4" xfId="984" xr:uid="{606B0B6D-04CC-40EA-BBDD-FB8E008BB213}"/>
    <cellStyle name="40% - Accent4 2 3 4 2" xfId="1352" xr:uid="{968EF4BE-823B-4CD8-B687-04D2E9686038}"/>
    <cellStyle name="40% - Accent4 2 3 4 2 2" xfId="2332" xr:uid="{F6E48860-BB1B-4923-ABC1-E81DB6CB1522}"/>
    <cellStyle name="40% - Accent4 2 3 4 2 2 2" xfId="5059" xr:uid="{1AC0DB40-E1A1-41CA-98EF-FEABC8F93112}"/>
    <cellStyle name="40% - Accent4 2 3 4 2 2 2 2" xfId="9285" xr:uid="{1565DB6D-F05C-4188-AB73-2A1D6D3D8BCB}"/>
    <cellStyle name="40% - Accent4 2 3 4 2 2 3" xfId="6897" xr:uid="{263DBEDD-5B17-43BD-96B8-55294ADE5BA9}"/>
    <cellStyle name="40% - Accent4 2 3 4 2 3" xfId="3551" xr:uid="{11F07B5F-159F-4C0C-8006-35A7233BCC53}"/>
    <cellStyle name="40% - Accent4 2 3 4 2 3 2" xfId="8018" xr:uid="{4BC8B3A6-A5D6-4EF8-87A1-E94AA8A615DD}"/>
    <cellStyle name="40% - Accent4 2 3 4 2 4" xfId="5918" xr:uid="{E98B0165-E14D-4EB3-A70D-77655B783B28}"/>
    <cellStyle name="40% - Accent4 2 3 4 3" xfId="1586" xr:uid="{93C495D7-6A24-43EE-BA44-EEC095D000B3}"/>
    <cellStyle name="40% - Accent4 2 3 4 3 2" xfId="2566" xr:uid="{DF872C7E-109C-4320-B4F7-59E20A4F6995}"/>
    <cellStyle name="40% - Accent4 2 3 4 3 2 2" xfId="7131" xr:uid="{5AF26C33-DDEF-47F0-BAC7-FD3C9BB69633}"/>
    <cellStyle name="40% - Accent4 2 3 4 3 3" xfId="3957" xr:uid="{8B763259-B6F5-4436-A5B8-68B79A21C6F6}"/>
    <cellStyle name="40% - Accent4 2 3 4 3 3 2" xfId="8406" xr:uid="{9F666EB8-55B7-44C5-8F04-2AA7705BEF51}"/>
    <cellStyle name="40% - Accent4 2 3 4 3 4" xfId="6152" xr:uid="{B4A9E68A-EC7B-44AB-A449-C33445E5F752}"/>
    <cellStyle name="40% - Accent4 2 3 4 4" xfId="1820" xr:uid="{32570D1E-34FE-4761-BAE5-F24C560CE7C9}"/>
    <cellStyle name="40% - Accent4 2 3 4 4 2" xfId="2799" xr:uid="{94164822-90BC-4F0D-992B-1C7C19450CE1}"/>
    <cellStyle name="40% - Accent4 2 3 4 4 2 2" xfId="7364" xr:uid="{9D16A03A-2F06-48FD-8BE3-F2AABE77803F}"/>
    <cellStyle name="40% - Accent4 2 3 4 4 3" xfId="4487" xr:uid="{48F2C86F-11B8-4CE8-930C-9D8B2DDF6224}"/>
    <cellStyle name="40% - Accent4 2 3 4 4 3 2" xfId="8762" xr:uid="{F32D0A9F-62EE-41E8-B379-4AC491D4F3EB}"/>
    <cellStyle name="40% - Accent4 2 3 4 4 4" xfId="6385" xr:uid="{C59C06D6-3AC0-44F2-8008-3A972A753D7C}"/>
    <cellStyle name="40% - Accent4 2 3 4 5" xfId="2057" xr:uid="{E00BB94E-9F3A-44C4-88E0-6243F4A36AB6}"/>
    <cellStyle name="40% - Accent4 2 3 4 5 2" xfId="6622" xr:uid="{B4E6CC0D-7F41-4BEA-BBB9-5592A29E47B3}"/>
    <cellStyle name="40% - Accent4 2 3 4 6" xfId="3135" xr:uid="{787D9569-7C1E-4404-99DC-CF61C1566449}"/>
    <cellStyle name="40% - Accent4 2 3 4 6 2" xfId="7630" xr:uid="{A06E8DC4-E937-4C3D-8B97-7A0A091276DC}"/>
    <cellStyle name="40% - Accent4 2 3 4 7" xfId="5643" xr:uid="{79308039-E902-4EC1-917A-941BFF167354}"/>
    <cellStyle name="40% - Accent4 2 3 5" xfId="1070" xr:uid="{E69C95DB-4B10-4FDE-A88B-B024C755E797}"/>
    <cellStyle name="40% - Accent4 2 3 5 2" xfId="2134" xr:uid="{4374B365-D43E-4C14-B72D-AC0FD326867F}"/>
    <cellStyle name="40% - Accent4 2 3 5 2 2" xfId="5164" xr:uid="{7756C4B9-8AA0-4B5C-9BAD-FCEECB37095D}"/>
    <cellStyle name="40% - Accent4 2 3 5 2 2 2" xfId="9389" xr:uid="{2009EE5A-28D9-4C80-91D1-79395A8F1EC9}"/>
    <cellStyle name="40% - Accent4 2 3 5 2 3" xfId="3656" xr:uid="{60C73465-A6F7-45F7-9553-C672AAF7D334}"/>
    <cellStyle name="40% - Accent4 2 3 5 2 3 2" xfId="8123" xr:uid="{23CE9452-88EB-4482-8CBA-DF3191F5CF1B}"/>
    <cellStyle name="40% - Accent4 2 3 5 2 4" xfId="6699" xr:uid="{6CDD441A-8A78-40D9-89CE-DFBCEC73ED66}"/>
    <cellStyle name="40% - Accent4 2 3 5 3" xfId="4062" xr:uid="{8649076B-1308-4B77-926B-8C9E50CE4213}"/>
    <cellStyle name="40% - Accent4 2 3 5 3 2" xfId="8511" xr:uid="{B4394CB3-5E84-4195-8037-C9600EA3937C}"/>
    <cellStyle name="40% - Accent4 2 3 5 4" xfId="4780" xr:uid="{01A23654-4B40-47D4-86A3-5C53082861D3}"/>
    <cellStyle name="40% - Accent4 2 3 5 4 2" xfId="9026" xr:uid="{994A328E-6F34-4CA5-B537-4F72725D62A3}"/>
    <cellStyle name="40% - Accent4 2 3 5 5" xfId="3241" xr:uid="{C5CAB8B1-ADF9-4954-A44B-BC13AF9490FE}"/>
    <cellStyle name="40% - Accent4 2 3 5 5 2" xfId="7735" xr:uid="{BAF42405-A499-43F0-AE4F-D6C3A1C50F9B}"/>
    <cellStyle name="40% - Accent4 2 3 5 6" xfId="5720" xr:uid="{C56B935B-43C6-48CF-B90E-3DF13C68B3DD}"/>
    <cellStyle name="40% - Accent4 2 3 6" xfId="1192" xr:uid="{11DC4A76-C131-4304-938F-88EF2BBBAA39}"/>
    <cellStyle name="40% - Accent4 2 3 6 2" xfId="2178" xr:uid="{176A0CF4-03C0-4AF5-B46D-6D772CF0088B}"/>
    <cellStyle name="40% - Accent4 2 3 6 2 2" xfId="4907" xr:uid="{BACBFF16-B8A8-400E-A2B5-DED017331901}"/>
    <cellStyle name="40% - Accent4 2 3 6 2 2 2" xfId="9137" xr:uid="{97554122-B102-4FC6-92D5-72BE8F9FFCBE}"/>
    <cellStyle name="40% - Accent4 2 3 6 2 3" xfId="3445" xr:uid="{F23418AE-336A-490D-B285-B086E0CF9B00}"/>
    <cellStyle name="40% - Accent4 2 3 6 2 3 2" xfId="7913" xr:uid="{CEA899B6-8454-4722-AABF-DE76CBDC1E2E}"/>
    <cellStyle name="40% - Accent4 2 3 6 2 4" xfId="6743" xr:uid="{FD87D1C4-F614-430C-8D02-82EDCF008544}"/>
    <cellStyle name="40% - Accent4 2 3 6 3" xfId="3852" xr:uid="{7FA93A16-BCAA-4BA1-9408-E1236B577414}"/>
    <cellStyle name="40% - Accent4 2 3 6 3 2" xfId="8301" xr:uid="{519BA13C-7CD4-4225-93D0-7A034FFE18BA}"/>
    <cellStyle name="40% - Accent4 2 3 6 4" xfId="4548" xr:uid="{B7785167-EC12-467A-B96A-63CB700D4786}"/>
    <cellStyle name="40% - Accent4 2 3 6 4 2" xfId="8805" xr:uid="{0D588897-0479-4630-A0F5-08392879D99D}"/>
    <cellStyle name="40% - Accent4 2 3 6 5" xfId="2995" xr:uid="{841D6788-B5C9-4563-BA94-26F622C2D07E}"/>
    <cellStyle name="40% - Accent4 2 3 6 5 2" xfId="7525" xr:uid="{DE7AB367-C097-44A4-A451-7AB8F40BA68E}"/>
    <cellStyle name="40% - Accent4 2 3 6 6" xfId="5764" xr:uid="{F2BCB494-914C-4537-8994-7E916F47E0D0}"/>
    <cellStyle name="40% - Accent4 2 3 7" xfId="1432" xr:uid="{1EAFDAE6-D3B8-4625-80B2-9E923D3E3B10}"/>
    <cellStyle name="40% - Accent4 2 3 7 2" xfId="2412" xr:uid="{A736B66A-2738-43FE-9BDB-5E03C33B9BC7}"/>
    <cellStyle name="40% - Accent4 2 3 7 2 2" xfId="4868" xr:uid="{137681F1-4060-40FA-8224-0FF802464EC6}"/>
    <cellStyle name="40% - Accent4 2 3 7 2 2 2" xfId="9103" xr:uid="{00D7EE33-0EA0-4E9E-9C99-A650BB59B405}"/>
    <cellStyle name="40% - Accent4 2 3 7 2 3" xfId="6977" xr:uid="{BEA8ED2E-BC44-4696-BCB1-9172FBF0AFED}"/>
    <cellStyle name="40% - Accent4 2 3 7 3" xfId="3350" xr:uid="{B8CA8FD1-D051-45B7-B408-EBFB3E09C06D}"/>
    <cellStyle name="40% - Accent4 2 3 7 3 2" xfId="7837" xr:uid="{53EFD3AD-3493-423E-9780-CC8FDC437DE9}"/>
    <cellStyle name="40% - Accent4 2 3 7 4" xfId="5998" xr:uid="{F3B6BE8E-CB67-4905-865C-7DD2E5CAE31A}"/>
    <cellStyle name="40% - Accent4 2 3 8" xfId="1683" xr:uid="{EE3CEA04-44A4-44F8-9727-D7D2A380A20F}"/>
    <cellStyle name="40% - Accent4 2 3 8 2" xfId="2663" xr:uid="{330055FD-9617-4D23-946F-3FF3FC302524}"/>
    <cellStyle name="40% - Accent4 2 3 8 2 2" xfId="7228" xr:uid="{ACE165C9-7939-4CCB-897F-9B1B70B5150D}"/>
    <cellStyle name="40% - Accent4 2 3 8 3" xfId="3772" xr:uid="{BECE8605-6E50-4284-AEF4-BD2230F436F9}"/>
    <cellStyle name="40% - Accent4 2 3 8 3 2" xfId="8225" xr:uid="{2BF644B3-931B-41FC-AA22-AAABBAC8AD2D}"/>
    <cellStyle name="40% - Accent4 2 3 8 4" xfId="6249" xr:uid="{029D7CA2-422A-48CE-BEA4-B5F6DAB91253}"/>
    <cellStyle name="40% - Accent4 2 3 9" xfId="1903" xr:uid="{C3358480-6326-4960-A397-6EEC87D325B2}"/>
    <cellStyle name="40% - Accent4 2 3 9 2" xfId="4202" xr:uid="{4DDFCBD7-950A-481D-B826-E4CC4DA1390A}"/>
    <cellStyle name="40% - Accent4 2 3 9 2 2" xfId="8616" xr:uid="{DDBDFD3E-8535-4990-9317-A7203390F7C3}"/>
    <cellStyle name="40% - Accent4 2 3 9 3" xfId="6468" xr:uid="{69CDF688-0531-4ACB-A377-4A062C2D635F}"/>
    <cellStyle name="40% - Accent4 2 4" xfId="747" xr:uid="{EE3FD5F1-5B72-435D-8568-AE073A5F2FAA}"/>
    <cellStyle name="40% - Accent4 2 5" xfId="746" xr:uid="{EC56C186-98DE-41A0-979E-C1548F181CE3}"/>
    <cellStyle name="40% - Accent4 2 6" xfId="1071" xr:uid="{642376AB-3655-49E2-AEB7-0718A2746A6A}"/>
    <cellStyle name="40% - Accent4 3" xfId="79" xr:uid="{A2564484-3917-4DB5-A722-9A5C2F1B14BE}"/>
    <cellStyle name="40% - Accent4 4" xfId="80" xr:uid="{E64B38B1-78DD-4BCE-891A-6CA273BBB932}"/>
    <cellStyle name="40% - Accent5 2" xfId="81" xr:uid="{7D457659-955A-4CA5-94D2-02FEF35DB509}"/>
    <cellStyle name="40% - Accent5 2 2" xfId="82" xr:uid="{EC74DEBC-CF21-4D07-9E78-884519B0599B}"/>
    <cellStyle name="40% - Accent5 2 3" xfId="83" xr:uid="{DEE663E4-E547-4AEE-9E4D-7B14FBAF3515}"/>
    <cellStyle name="40% - Accent5 2 3 10" xfId="2885" xr:uid="{5DC61D43-0264-4AD0-BC92-239C39EF1884}"/>
    <cellStyle name="40% - Accent5 2 3 10 2" xfId="7450" xr:uid="{0D461CE1-4609-49C7-8B5D-27927A21B430}"/>
    <cellStyle name="40% - Accent5 2 3 11" xfId="5490" xr:uid="{281B12E8-C0F9-48D3-B50E-31EE5CEA2804}"/>
    <cellStyle name="40% - Accent5 2 3 2" xfId="839" xr:uid="{0EE49429-8A90-4BCA-8346-EE6C8291066C}"/>
    <cellStyle name="40% - Accent5 2 3 2 2" xfId="945" xr:uid="{CD16F475-66D3-4461-BE98-E1022AE51645}"/>
    <cellStyle name="40% - Accent5 2 3 2 2 2" xfId="1318" xr:uid="{2B1423B7-EC99-4520-A9DF-2273DF30038F}"/>
    <cellStyle name="40% - Accent5 2 3 2 2 2 2" xfId="2298" xr:uid="{44EE6422-D562-4E60-9C4D-BC5CC55C06D3}"/>
    <cellStyle name="40% - Accent5 2 3 2 2 2 2 2" xfId="4708" xr:uid="{D7C8C6BA-F24B-4974-8F90-3DDDEE5DD265}"/>
    <cellStyle name="40% - Accent5 2 3 2 2 2 2 2 2" xfId="8954" xr:uid="{CD75E0F9-2D0D-4FBE-90CE-0AA751B48777}"/>
    <cellStyle name="40% - Accent5 2 3 2 2 2 2 3" xfId="6863" xr:uid="{03B1DB94-5F3A-4587-82DF-5EDCCC365B5C}"/>
    <cellStyle name="40% - Accent5 2 3 2 2 2 3" xfId="3583" xr:uid="{9A1678AF-CADA-4F16-A85E-AC5D17C54742}"/>
    <cellStyle name="40% - Accent5 2 3 2 2 2 3 2" xfId="8050" xr:uid="{AE8D0D63-8A51-45BA-B4AE-329C1B493F87}"/>
    <cellStyle name="40% - Accent5 2 3 2 2 2 4" xfId="5884" xr:uid="{3F918874-5861-4355-A19F-DB4B80ED0ADC}"/>
    <cellStyle name="40% - Accent5 2 3 2 2 3" xfId="1552" xr:uid="{5DB0DEF4-15CE-41B1-B2A7-173C48F14595}"/>
    <cellStyle name="40% - Accent5 2 3 2 2 3 2" xfId="2532" xr:uid="{E9352E40-A482-445B-A036-57BB37AB0D0A}"/>
    <cellStyle name="40% - Accent5 2 3 2 2 3 2 2" xfId="5091" xr:uid="{DFBC5EC7-A06B-4A3A-B9A9-C467F8477412}"/>
    <cellStyle name="40% - Accent5 2 3 2 2 3 2 2 2" xfId="9316" xr:uid="{5E177F91-E9F8-497F-AD3E-1B4FF8EC59C5}"/>
    <cellStyle name="40% - Accent5 2 3 2 2 3 2 3" xfId="7097" xr:uid="{503DA138-21AB-442D-A213-9A4F1703E360}"/>
    <cellStyle name="40% - Accent5 2 3 2 2 3 3" xfId="3989" xr:uid="{36500CAF-6F37-4FAA-8D00-DC020C20829F}"/>
    <cellStyle name="40% - Accent5 2 3 2 2 3 3 2" xfId="8438" xr:uid="{EC408CEC-E083-408F-88C5-8338F1DD3D5C}"/>
    <cellStyle name="40% - Accent5 2 3 2 2 3 4" xfId="6118" xr:uid="{99DAB96A-AF61-41EA-8C6E-778DCDC87FF4}"/>
    <cellStyle name="40% - Accent5 2 3 2 2 4" xfId="1786" xr:uid="{5E6A957D-215F-4827-A2FC-38C423ED277E}"/>
    <cellStyle name="40% - Accent5 2 3 2 2 4 2" xfId="2765" xr:uid="{D86EC9F9-8B48-4D5F-8968-2FE898D4FD94}"/>
    <cellStyle name="40% - Accent5 2 3 2 2 4 2 2" xfId="7330" xr:uid="{CC1CDF30-4B14-40C9-9715-768595EC9F80}"/>
    <cellStyle name="40% - Accent5 2 3 2 2 4 3" xfId="4440" xr:uid="{4348AC9B-E51C-4678-8DB4-CA088BAE8497}"/>
    <cellStyle name="40% - Accent5 2 3 2 2 4 3 2" xfId="8717" xr:uid="{E6DE5653-6DD5-446C-9DCD-91220ECD7690}"/>
    <cellStyle name="40% - Accent5 2 3 2 2 4 4" xfId="6351" xr:uid="{B8200C0B-5ED6-4189-925D-A8C41EBC347C}"/>
    <cellStyle name="40% - Accent5 2 3 2 2 5" xfId="2023" xr:uid="{3DB0A9F9-C608-4860-90AF-E28A2AAC1CF4}"/>
    <cellStyle name="40% - Accent5 2 3 2 2 5 2" xfId="6588" xr:uid="{A05A802B-7F3F-4AC8-8ECD-562AD0EBCD50}"/>
    <cellStyle name="40% - Accent5 2 3 2 2 6" xfId="3167" xr:uid="{74AF3708-434D-42A1-8654-67769819347C}"/>
    <cellStyle name="40% - Accent5 2 3 2 2 6 2" xfId="7662" xr:uid="{D59E1337-B3C2-4642-8127-7E859886B846}"/>
    <cellStyle name="40% - Accent5 2 3 2 2 7" xfId="5609" xr:uid="{8B8883DA-ED95-4AF8-A976-37F52DC114DA}"/>
    <cellStyle name="40% - Accent5 2 3 2 3" xfId="1027" xr:uid="{1702AAAC-645F-4E6E-ABF1-0E9C38E4D56C}"/>
    <cellStyle name="40% - Accent5 2 3 2 3 2" xfId="1395" xr:uid="{E4B1BA4E-B3E0-4F05-8C57-E7902E4B7125}"/>
    <cellStyle name="40% - Accent5 2 3 2 3 2 2" xfId="2375" xr:uid="{96A31114-7826-4376-8FD2-447C3CCB739E}"/>
    <cellStyle name="40% - Accent5 2 3 2 3 2 2 2" xfId="5196" xr:uid="{8B7C15D4-44DC-4E05-AF49-460E453FED0D}"/>
    <cellStyle name="40% - Accent5 2 3 2 3 2 2 2 2" xfId="9421" xr:uid="{05A1FB6A-758D-4A5F-B3D3-8727E5D140CE}"/>
    <cellStyle name="40% - Accent5 2 3 2 3 2 2 3" xfId="6940" xr:uid="{1F458CC3-EDBD-4472-9896-667C2F081274}"/>
    <cellStyle name="40% - Accent5 2 3 2 3 2 3" xfId="3688" xr:uid="{5338A8A2-91B0-4C33-A8EF-F2E745D28CAD}"/>
    <cellStyle name="40% - Accent5 2 3 2 3 2 3 2" xfId="8155" xr:uid="{AEEB537C-4DAA-454B-8CF0-87695E7FDE5D}"/>
    <cellStyle name="40% - Accent5 2 3 2 3 2 4" xfId="5961" xr:uid="{DFF74E42-034C-498E-AB1C-6DD2817D234E}"/>
    <cellStyle name="40% - Accent5 2 3 2 3 3" xfId="1629" xr:uid="{91FC8544-806A-45BA-8994-56346440889D}"/>
    <cellStyle name="40% - Accent5 2 3 2 3 3 2" xfId="2609" xr:uid="{6693D58F-BBA9-4FC8-8798-9DD9183D8CAC}"/>
    <cellStyle name="40% - Accent5 2 3 2 3 3 2 2" xfId="7174" xr:uid="{72E8FF6E-2DC5-4811-B389-D6258FACF518}"/>
    <cellStyle name="40% - Accent5 2 3 2 3 3 3" xfId="4094" xr:uid="{1C11A4F7-D301-4A65-9053-286F2BAAF530}"/>
    <cellStyle name="40% - Accent5 2 3 2 3 3 3 2" xfId="8543" xr:uid="{7FC0C9FE-31DD-4566-A57F-68FBABE88DA4}"/>
    <cellStyle name="40% - Accent5 2 3 2 3 3 4" xfId="6195" xr:uid="{2BC5C2A0-52D3-4928-B2E8-78A7BD9EFBCC}"/>
    <cellStyle name="40% - Accent5 2 3 2 3 4" xfId="1863" xr:uid="{5132318C-41A1-481E-ACD8-8F9E19641038}"/>
    <cellStyle name="40% - Accent5 2 3 2 3 4 2" xfId="2842" xr:uid="{FA8AA1B4-E9D1-40D8-AE7E-BFA1A0C1E5BC}"/>
    <cellStyle name="40% - Accent5 2 3 2 3 4 2 2" xfId="7407" xr:uid="{24148B3C-C89D-4AED-A3A6-5763311DA10F}"/>
    <cellStyle name="40% - Accent5 2 3 2 3 4 3" xfId="4574" xr:uid="{2979D823-D681-49DF-B505-D4705D7EABB4}"/>
    <cellStyle name="40% - Accent5 2 3 2 3 4 3 2" xfId="8829" xr:uid="{A54F9C99-1FC0-4148-8492-12533D5BBDD5}"/>
    <cellStyle name="40% - Accent5 2 3 2 3 4 4" xfId="6428" xr:uid="{6E6BD04D-510E-43D8-80B1-652FD69D54D8}"/>
    <cellStyle name="40% - Accent5 2 3 2 3 5" xfId="2100" xr:uid="{A0EEC225-6D44-4982-98F5-159CE3E4BC06}"/>
    <cellStyle name="40% - Accent5 2 3 2 3 5 2" xfId="6665" xr:uid="{2AA5930D-B6FC-4666-8E69-2A7DB949C4B0}"/>
    <cellStyle name="40% - Accent5 2 3 2 3 6" xfId="3274" xr:uid="{37E90AD2-82E9-4C98-A633-4F0AE82014E9}"/>
    <cellStyle name="40% - Accent5 2 3 2 3 6 2" xfId="7767" xr:uid="{35585DB8-A3B1-4A5F-BD0A-8B4E7B5AB7EC}"/>
    <cellStyle name="40% - Accent5 2 3 2 3 7" xfId="5686" xr:uid="{5E1B7274-65E2-40CA-B72A-7AF02222E351}"/>
    <cellStyle name="40% - Accent5 2 3 2 4" xfId="1239" xr:uid="{BF3B5045-F0A0-421B-B1B6-5B05D7146DBE}"/>
    <cellStyle name="40% - Accent5 2 3 2 4 2" xfId="2221" xr:uid="{424F19FB-16F4-4434-87DD-964BC723A9AC}"/>
    <cellStyle name="40% - Accent5 2 3 2 4 2 2" xfId="4986" xr:uid="{DA29CBAC-CA17-4179-96F3-59FF6D46372E}"/>
    <cellStyle name="40% - Accent5 2 3 2 4 2 2 2" xfId="9214" xr:uid="{2884D7DC-99E7-456D-AD3A-5B69C2ABA697}"/>
    <cellStyle name="40% - Accent5 2 3 2 4 2 3" xfId="3478" xr:uid="{D5426437-8D9E-4C90-99D7-3EE97E2D1115}"/>
    <cellStyle name="40% - Accent5 2 3 2 4 2 3 2" xfId="7945" xr:uid="{0B306BB0-43D7-4777-9C54-56305D0DED61}"/>
    <cellStyle name="40% - Accent5 2 3 2 4 2 4" xfId="6786" xr:uid="{75E61CAC-CDE2-4189-9FBF-8DCB19D4668D}"/>
    <cellStyle name="40% - Accent5 2 3 2 4 3" xfId="3884" xr:uid="{869C4CDC-A253-486A-BD5B-554B37CD0C22}"/>
    <cellStyle name="40% - Accent5 2 3 2 4 3 2" xfId="8333" xr:uid="{5D9EB73D-D61D-4135-8799-DFD8EB0A8AFA}"/>
    <cellStyle name="40% - Accent5 2 3 2 4 4" xfId="4631" xr:uid="{46E43E9E-697B-4388-8BCF-6A107B3F9BE4}"/>
    <cellStyle name="40% - Accent5 2 3 2 4 4 2" xfId="8877" xr:uid="{A95FD7F4-DBE8-4835-BEF5-4E2B2F19EBDF}"/>
    <cellStyle name="40% - Accent5 2 3 2 4 5" xfId="3047" xr:uid="{7A05626F-7734-4CE1-80E7-67113AAE55D2}"/>
    <cellStyle name="40% - Accent5 2 3 2 4 5 2" xfId="7557" xr:uid="{F6EA99DA-C199-4433-81BB-523CA184D6FD}"/>
    <cellStyle name="40% - Accent5 2 3 2 4 6" xfId="5807" xr:uid="{DFFA869D-1B62-4FB6-852F-57AD858A6CFA}"/>
    <cellStyle name="40% - Accent5 2 3 2 5" xfId="1475" xr:uid="{8F8DD858-9F77-42F9-AA6A-00F5E77AC0EE}"/>
    <cellStyle name="40% - Accent5 2 3 2 5 2" xfId="2455" xr:uid="{0DE3595E-F156-41E4-B9F5-8A62A2E6BAE0}"/>
    <cellStyle name="40% - Accent5 2 3 2 5 2 2" xfId="4939" xr:uid="{D4604A92-9387-4024-B804-21C00F5AF58B}"/>
    <cellStyle name="40% - Accent5 2 3 2 5 2 2 2" xfId="9169" xr:uid="{814CDA0F-A872-49CD-B960-89207E912650}"/>
    <cellStyle name="40% - Accent5 2 3 2 5 2 3" xfId="7020" xr:uid="{8F5C4BB9-3FA7-4CE5-BAFC-4CDBB86A7CD4}"/>
    <cellStyle name="40% - Accent5 2 3 2 5 3" xfId="3404" xr:uid="{3B66DAAF-6386-4AC0-9D06-A11AD6DC5104}"/>
    <cellStyle name="40% - Accent5 2 3 2 5 3 2" xfId="7872" xr:uid="{E7317ED5-75BF-47C6-983E-54DD653AECF7}"/>
    <cellStyle name="40% - Accent5 2 3 2 5 4" xfId="6041" xr:uid="{EDF407B0-5C06-4F54-BB5C-F314677BB7E9}"/>
    <cellStyle name="40% - Accent5 2 3 2 6" xfId="1665" xr:uid="{56E22EEE-B2B5-4832-8BFC-AC65EB8E7669}"/>
    <cellStyle name="40% - Accent5 2 3 2 6 2" xfId="2645" xr:uid="{072A6102-AEBA-4485-AA63-17DC6EF6D052}"/>
    <cellStyle name="40% - Accent5 2 3 2 6 2 2" xfId="7210" xr:uid="{D975031C-5570-43A3-A638-AD4318A4E327}"/>
    <cellStyle name="40% - Accent5 2 3 2 6 3" xfId="3811" xr:uid="{BA79C9AC-5270-4FA0-B223-69B0C05394F9}"/>
    <cellStyle name="40% - Accent5 2 3 2 6 3 2" xfId="8260" xr:uid="{BEA7F680-C6E8-4244-B35E-A555B3F829F1}"/>
    <cellStyle name="40% - Accent5 2 3 2 6 4" xfId="6231" xr:uid="{26150F73-23B1-47A1-9410-548A3740516C}"/>
    <cellStyle name="40% - Accent5 2 3 2 7" xfId="1946" xr:uid="{052467BA-67DA-4CDA-BF2D-84144648F150}"/>
    <cellStyle name="40% - Accent5 2 3 2 7 2" xfId="4292" xr:uid="{FEAEFD4A-3405-4DF8-A250-CDFCCDA7333A}"/>
    <cellStyle name="40% - Accent5 2 3 2 7 2 2" xfId="8645" xr:uid="{C6DFB86A-369C-4627-9881-B8C392565B71}"/>
    <cellStyle name="40% - Accent5 2 3 2 7 3" xfId="6511" xr:uid="{D6295966-6348-45B6-985D-095F86E72B13}"/>
    <cellStyle name="40% - Accent5 2 3 2 8" xfId="2922" xr:uid="{F1EA52BC-6FF5-493B-BD54-4B9B6E70C81B}"/>
    <cellStyle name="40% - Accent5 2 3 2 8 2" xfId="7484" xr:uid="{8A358A7F-ACCF-49A3-B6DB-489B412155C3}"/>
    <cellStyle name="40% - Accent5 2 3 2 9" xfId="5532" xr:uid="{08C65FDD-DDF6-46BE-90A0-9C93EA252D36}"/>
    <cellStyle name="40% - Accent5 2 3 3" xfId="874" xr:uid="{965E3F38-FD7F-47D7-9090-260D87512DC4}"/>
    <cellStyle name="40% - Accent5 2 3 3 2" xfId="1274" xr:uid="{5D5A1F30-546D-4237-9476-6EBC09D28152}"/>
    <cellStyle name="40% - Accent5 2 3 3 2 2" xfId="2256" xr:uid="{A5E9FB71-7459-406D-B7C0-FC27C1FF6C4B}"/>
    <cellStyle name="40% - Accent5 2 3 3 2 2 2" xfId="5125" xr:uid="{8C38CBB8-C4DE-40ED-8446-A14BCB0CF8F3}"/>
    <cellStyle name="40% - Accent5 2 3 3 2 2 2 2" xfId="9350" xr:uid="{BE13A2C2-80F8-4B48-BE77-5C819FD7AD49}"/>
    <cellStyle name="40% - Accent5 2 3 3 2 2 3" xfId="3617" xr:uid="{83BB5613-CBF0-44F2-B59B-C421DF99841A}"/>
    <cellStyle name="40% - Accent5 2 3 3 2 2 3 2" xfId="8084" xr:uid="{86BD2CE2-0452-4D85-A362-2B1DAB33A2DC}"/>
    <cellStyle name="40% - Accent5 2 3 3 2 2 4" xfId="6821" xr:uid="{0AFC6232-34B8-4C53-AA8C-2C36192AB854}"/>
    <cellStyle name="40% - Accent5 2 3 3 2 3" xfId="4023" xr:uid="{A771C23D-6EB7-4492-B350-8A95345CAD31}"/>
    <cellStyle name="40% - Accent5 2 3 3 2 3 2" xfId="8472" xr:uid="{3F6E7FEA-C830-4927-95AC-605CB5CE192A}"/>
    <cellStyle name="40% - Accent5 2 3 3 2 4" xfId="4741" xr:uid="{D9C5A69C-403E-4A68-A5C0-6FF06F95791A}"/>
    <cellStyle name="40% - Accent5 2 3 3 2 4 2" xfId="8987" xr:uid="{5D499171-A661-42D0-B3F9-9474F30FFE51}"/>
    <cellStyle name="40% - Accent5 2 3 3 2 5" xfId="3201" xr:uid="{4D5B22FA-D4C0-4917-B186-8D8C02430E2B}"/>
    <cellStyle name="40% - Accent5 2 3 3 2 5 2" xfId="7696" xr:uid="{AA021467-CB14-4ECF-BD3C-116722497DE5}"/>
    <cellStyle name="40% - Accent5 2 3 3 2 6" xfId="5842" xr:uid="{36BC4413-76C2-41DE-9FDF-67ABDD4A0AD1}"/>
    <cellStyle name="40% - Accent5 2 3 3 3" xfId="1510" xr:uid="{64388658-1357-472A-A2BE-9696172B7086}"/>
    <cellStyle name="40% - Accent5 2 3 3 3 2" xfId="2490" xr:uid="{C0690DE5-DCE5-453A-A62B-F16166CFDC1F}"/>
    <cellStyle name="40% - Accent5 2 3 3 3 2 2" xfId="5230" xr:uid="{243BAA95-752C-436F-AEF3-7931B6125989}"/>
    <cellStyle name="40% - Accent5 2 3 3 3 2 2 2" xfId="9455" xr:uid="{F40B468F-3885-4255-B447-9E3BDC2F46BB}"/>
    <cellStyle name="40% - Accent5 2 3 3 3 2 3" xfId="3722" xr:uid="{2E56BA04-DC17-45F2-9A65-98DC0A82BDB4}"/>
    <cellStyle name="40% - Accent5 2 3 3 3 2 3 2" xfId="8189" xr:uid="{BB6E24C4-70EC-4293-AC2C-5EA23511EBD2}"/>
    <cellStyle name="40% - Accent5 2 3 3 3 2 4" xfId="7055" xr:uid="{1DEF91FC-6E14-44CD-8939-8A4BD8E6FA3A}"/>
    <cellStyle name="40% - Accent5 2 3 3 3 3" xfId="4128" xr:uid="{CFB731C8-68E9-4A91-8FAD-E2973D0337E2}"/>
    <cellStyle name="40% - Accent5 2 3 3 3 3 2" xfId="8577" xr:uid="{26DF15D8-8FB0-43B8-9EE3-BAC6900975DB}"/>
    <cellStyle name="40% - Accent5 2 3 3 3 4" xfId="4817" xr:uid="{A94508E1-5235-4DF3-B1D1-403E0A79B4CB}"/>
    <cellStyle name="40% - Accent5 2 3 3 3 4 2" xfId="9063" xr:uid="{F24AA477-1982-4890-9471-CCCB28AF239F}"/>
    <cellStyle name="40% - Accent5 2 3 3 3 5" xfId="3312" xr:uid="{B6A59E45-3EA8-4709-A6E8-BE0371BBFB52}"/>
    <cellStyle name="40% - Accent5 2 3 3 3 5 2" xfId="7801" xr:uid="{6132BD19-1F19-40D1-A734-C31C3ED34D6C}"/>
    <cellStyle name="40% - Accent5 2 3 3 3 6" xfId="6076" xr:uid="{D86C3434-F5D0-4835-928F-6E3928E47DD2}"/>
    <cellStyle name="40% - Accent5 2 3 3 4" xfId="1744" xr:uid="{1083C15C-AB87-42BA-B355-815B5682D734}"/>
    <cellStyle name="40% - Accent5 2 3 3 4 2" xfId="2723" xr:uid="{46DCAAB5-F39B-4119-B360-5A5DD6FB76FD}"/>
    <cellStyle name="40% - Accent5 2 3 3 4 2 2" xfId="4661" xr:uid="{305E693C-AE77-4039-9F1E-5BC0F0615143}"/>
    <cellStyle name="40% - Accent5 2 3 3 4 2 2 2" xfId="8907" xr:uid="{BC511D17-F302-4334-B571-09E683ADBB0E}"/>
    <cellStyle name="40% - Accent5 2 3 3 4 2 3" xfId="7288" xr:uid="{9200994B-CEDF-47E9-B12E-057AB3430141}"/>
    <cellStyle name="40% - Accent5 2 3 3 4 3" xfId="3512" xr:uid="{79BE7892-3ADE-4A6E-A4F3-A80012DF1F20}"/>
    <cellStyle name="40% - Accent5 2 3 3 4 3 2" xfId="7979" xr:uid="{3CABD838-119B-4001-AE78-62783460F911}"/>
    <cellStyle name="40% - Accent5 2 3 3 4 4" xfId="6309" xr:uid="{1D067EB7-A3B2-41FF-A4BB-20ED1F1466E5}"/>
    <cellStyle name="40% - Accent5 2 3 3 5" xfId="1981" xr:uid="{694D4629-1A8F-47E5-AE82-740A2A9FD0B1}"/>
    <cellStyle name="40% - Accent5 2 3 3 5 2" xfId="5021" xr:uid="{8EC38CAC-4737-4D07-AC97-2674F74ECE2B}"/>
    <cellStyle name="40% - Accent5 2 3 3 5 2 2" xfId="9247" xr:uid="{F2BDF3A3-4743-4D25-B88E-76483F4B90D6}"/>
    <cellStyle name="40% - Accent5 2 3 3 5 3" xfId="3918" xr:uid="{D7EE0F41-D95D-490D-863C-DCE643A0B973}"/>
    <cellStyle name="40% - Accent5 2 3 3 5 3 2" xfId="8367" xr:uid="{4E3FB749-BEF1-43F2-AE9C-E56575072A8C}"/>
    <cellStyle name="40% - Accent5 2 3 3 5 4" xfId="6546" xr:uid="{D6994EFC-4EB9-41D9-B849-594E0A316C3C}"/>
    <cellStyle name="40% - Accent5 2 3 3 6" xfId="4412" xr:uid="{0E513C68-C25D-4538-A750-D69CB0D18977}"/>
    <cellStyle name="40% - Accent5 2 3 3 6 2" xfId="8689" xr:uid="{8ECD3234-D8D3-46A6-8155-C8EEE7B24383}"/>
    <cellStyle name="40% - Accent5 2 3 3 7" xfId="3085" xr:uid="{8E2F2CC0-E004-48F8-B258-399353037112}"/>
    <cellStyle name="40% - Accent5 2 3 3 7 2" xfId="7591" xr:uid="{022C916E-58B5-448C-8EBB-B1A3E7E70676}"/>
    <cellStyle name="40% - Accent5 2 3 3 8" xfId="5567" xr:uid="{780C2227-5EF7-445D-9351-E462618BB3C9}"/>
    <cellStyle name="40% - Accent5 2 3 4" xfId="985" xr:uid="{599BAC4B-9D54-494C-AEE2-0A1FD95C944B}"/>
    <cellStyle name="40% - Accent5 2 3 4 2" xfId="1353" xr:uid="{D97109E0-BB1B-4F60-95BB-F8B2380C17E4}"/>
    <cellStyle name="40% - Accent5 2 3 4 2 2" xfId="2333" xr:uid="{00B6995F-3505-49D2-A75C-932B4C4E6F97}"/>
    <cellStyle name="40% - Accent5 2 3 4 2 2 2" xfId="5060" xr:uid="{074EDF76-2462-4FBF-A6C6-1B228190502F}"/>
    <cellStyle name="40% - Accent5 2 3 4 2 2 2 2" xfId="9286" xr:uid="{E53AEA37-3C72-4BD3-A264-36CE61CF61C1}"/>
    <cellStyle name="40% - Accent5 2 3 4 2 2 3" xfId="6898" xr:uid="{ED1E8858-5C58-49A5-A77A-87D69679BF43}"/>
    <cellStyle name="40% - Accent5 2 3 4 2 3" xfId="3552" xr:uid="{C1D6B9A7-96DC-4DC7-BEBE-0D32602DFE45}"/>
    <cellStyle name="40% - Accent5 2 3 4 2 3 2" xfId="8019" xr:uid="{A8A267B4-CC2E-4791-AA7C-81074374AE5B}"/>
    <cellStyle name="40% - Accent5 2 3 4 2 4" xfId="5919" xr:uid="{B313752E-F9A6-4A31-AEE3-220F52AB474A}"/>
    <cellStyle name="40% - Accent5 2 3 4 3" xfId="1587" xr:uid="{92E1D5D9-EEC7-43D5-940D-C70A7655107B}"/>
    <cellStyle name="40% - Accent5 2 3 4 3 2" xfId="2567" xr:uid="{BCD705DF-BCAA-482C-B73F-2628CD0AA4E4}"/>
    <cellStyle name="40% - Accent5 2 3 4 3 2 2" xfId="7132" xr:uid="{4A1CBCA9-0688-4762-8448-7E598DC000DB}"/>
    <cellStyle name="40% - Accent5 2 3 4 3 3" xfId="3958" xr:uid="{5EB23FCE-4B23-4778-B6B2-78D1A8EE9A75}"/>
    <cellStyle name="40% - Accent5 2 3 4 3 3 2" xfId="8407" xr:uid="{3EBEBC03-EF51-4C43-B58D-45FA03651B47}"/>
    <cellStyle name="40% - Accent5 2 3 4 3 4" xfId="6153" xr:uid="{111CA9ED-B1B5-41C4-B708-81DC7CD5B163}"/>
    <cellStyle name="40% - Accent5 2 3 4 4" xfId="1821" xr:uid="{69EF3B9D-4C32-4903-8158-E59D6F4C8769}"/>
    <cellStyle name="40% - Accent5 2 3 4 4 2" xfId="2800" xr:uid="{841735B9-19F4-4EB5-94A3-94E0E77DC5AE}"/>
    <cellStyle name="40% - Accent5 2 3 4 4 2 2" xfId="7365" xr:uid="{7DCEC24C-EFBF-46EF-B07D-0848ED35B123}"/>
    <cellStyle name="40% - Accent5 2 3 4 4 3" xfId="4488" xr:uid="{081F9CBF-B767-4D39-B292-B983732FDAA3}"/>
    <cellStyle name="40% - Accent5 2 3 4 4 3 2" xfId="8763" xr:uid="{7E8671BE-76D0-4A7A-B1BA-6D9B58941542}"/>
    <cellStyle name="40% - Accent5 2 3 4 4 4" xfId="6386" xr:uid="{78D3B1AA-E781-40A8-A125-E47B90FE7A68}"/>
    <cellStyle name="40% - Accent5 2 3 4 5" xfId="2058" xr:uid="{22FADB12-AF2D-458B-9BAB-F1063452266C}"/>
    <cellStyle name="40% - Accent5 2 3 4 5 2" xfId="6623" xr:uid="{4A41EB97-2CBB-4A61-9BE2-5769F9A7812B}"/>
    <cellStyle name="40% - Accent5 2 3 4 6" xfId="3136" xr:uid="{C27F002D-21EF-4C31-9C0E-E57956D28259}"/>
    <cellStyle name="40% - Accent5 2 3 4 6 2" xfId="7631" xr:uid="{7637CBF3-8307-4813-B152-5D4F45AFDDDA}"/>
    <cellStyle name="40% - Accent5 2 3 4 7" xfId="5644" xr:uid="{EDE6826D-C0D9-423D-BB92-B6C232C98BA4}"/>
    <cellStyle name="40% - Accent5 2 3 5" xfId="1072" xr:uid="{8F8617BA-E11D-4F49-9360-7FDA4F7F7065}"/>
    <cellStyle name="40% - Accent5 2 3 5 2" xfId="2135" xr:uid="{BBB38501-6FE6-4277-A71A-0CE80746CF86}"/>
    <cellStyle name="40% - Accent5 2 3 5 2 2" xfId="5165" xr:uid="{886FF946-127A-420C-A883-9BB4A6DBB693}"/>
    <cellStyle name="40% - Accent5 2 3 5 2 2 2" xfId="9390" xr:uid="{02004B79-B433-4B08-871E-BC852AE718D1}"/>
    <cellStyle name="40% - Accent5 2 3 5 2 3" xfId="3657" xr:uid="{AD4C4158-2335-4F6E-8E34-31F7FC01925D}"/>
    <cellStyle name="40% - Accent5 2 3 5 2 3 2" xfId="8124" xr:uid="{AF35FA6D-5CA9-4D62-A052-A2AE57E4A985}"/>
    <cellStyle name="40% - Accent5 2 3 5 2 4" xfId="6700" xr:uid="{BB581CF3-EA2A-4D94-9CD2-4F0ECBE00831}"/>
    <cellStyle name="40% - Accent5 2 3 5 3" xfId="4063" xr:uid="{D73180B2-7FA0-488A-960A-CDEAEECC34D7}"/>
    <cellStyle name="40% - Accent5 2 3 5 3 2" xfId="8512" xr:uid="{3BE8D60E-E42C-46B6-961B-61B936232AA5}"/>
    <cellStyle name="40% - Accent5 2 3 5 4" xfId="4781" xr:uid="{1CD4B299-6DA1-4501-8DF0-A509C06EDFB1}"/>
    <cellStyle name="40% - Accent5 2 3 5 4 2" xfId="9027" xr:uid="{78ECA16C-3FA4-40CE-8A9F-3BFB8CD52AB7}"/>
    <cellStyle name="40% - Accent5 2 3 5 5" xfId="3242" xr:uid="{849A917E-4533-4F06-9259-D0BFDBBBA851}"/>
    <cellStyle name="40% - Accent5 2 3 5 5 2" xfId="7736" xr:uid="{6E37A4F7-9E10-4A48-A922-B64BADDB40A4}"/>
    <cellStyle name="40% - Accent5 2 3 5 6" xfId="5721" xr:uid="{7733A711-AD22-4F10-BBB7-8EB955BE0B17}"/>
    <cellStyle name="40% - Accent5 2 3 6" xfId="1193" xr:uid="{823C510F-14FD-4DCF-A4E7-1CB20C7DBF4D}"/>
    <cellStyle name="40% - Accent5 2 3 6 2" xfId="2179" xr:uid="{33D37171-FF79-494B-888B-7F70C9017598}"/>
    <cellStyle name="40% - Accent5 2 3 6 2 2" xfId="4887" xr:uid="{50711BB8-17F5-4662-88D2-28BDFC325427}"/>
    <cellStyle name="40% - Accent5 2 3 6 2 2 2" xfId="9119" xr:uid="{31039195-63EF-4FFC-9C9C-79DE113A1067}"/>
    <cellStyle name="40% - Accent5 2 3 6 2 3" xfId="3446" xr:uid="{A9B5AFC3-938D-44A5-BB38-FD385268BEB5}"/>
    <cellStyle name="40% - Accent5 2 3 6 2 3 2" xfId="7914" xr:uid="{12FA6FC5-740E-42A4-B4BA-EAA4FEC2ED0E}"/>
    <cellStyle name="40% - Accent5 2 3 6 2 4" xfId="6744" xr:uid="{3CF9464C-96C9-4210-A012-53744F35EBCB}"/>
    <cellStyle name="40% - Accent5 2 3 6 3" xfId="3853" xr:uid="{1D7A6085-C8DC-4EDD-ABD2-45042D9A679E}"/>
    <cellStyle name="40% - Accent5 2 3 6 3 2" xfId="8302" xr:uid="{42C22EE5-73B0-456F-950C-BC44A11208B1}"/>
    <cellStyle name="40% - Accent5 2 3 6 4" xfId="4601" xr:uid="{28B9C2C8-C32A-4BFD-B5B3-0A4D5B8EB077}"/>
    <cellStyle name="40% - Accent5 2 3 6 4 2" xfId="8853" xr:uid="{CAE7749C-149F-4A55-9CC0-29B216174B0D}"/>
    <cellStyle name="40% - Accent5 2 3 6 5" xfId="2996" xr:uid="{BF984AC4-1AEE-4284-A1CA-AB00CEE47351}"/>
    <cellStyle name="40% - Accent5 2 3 6 5 2" xfId="7526" xr:uid="{7601C697-D0E8-48B6-B563-00E676233DF7}"/>
    <cellStyle name="40% - Accent5 2 3 6 6" xfId="5765" xr:uid="{CEE1B914-2755-4577-9978-A335B8F8CE0C}"/>
    <cellStyle name="40% - Accent5 2 3 7" xfId="1433" xr:uid="{FEBDA162-3EEA-4CAA-85A7-EFB18A064E7C}"/>
    <cellStyle name="40% - Accent5 2 3 7 2" xfId="2413" xr:uid="{735E7688-52FF-44DC-BD6D-1A2280DF7B58}"/>
    <cellStyle name="40% - Accent5 2 3 7 2 2" xfId="4869" xr:uid="{71B7813A-5CD5-4B41-A730-54909F20A46E}"/>
    <cellStyle name="40% - Accent5 2 3 7 2 2 2" xfId="9104" xr:uid="{D9A07920-8C56-43A7-9958-ED08FD65433F}"/>
    <cellStyle name="40% - Accent5 2 3 7 2 3" xfId="6978" xr:uid="{7113AD77-A98B-489F-877F-6750F79435FF}"/>
    <cellStyle name="40% - Accent5 2 3 7 3" xfId="3351" xr:uid="{27EA4E17-CEDD-4260-8507-5C7218A280C2}"/>
    <cellStyle name="40% - Accent5 2 3 7 3 2" xfId="7838" xr:uid="{7D1839BC-74EC-44FD-95D8-571C6E0EC432}"/>
    <cellStyle name="40% - Accent5 2 3 7 4" xfId="5999" xr:uid="{C534907F-C2FD-4A74-A704-C1D110E96995}"/>
    <cellStyle name="40% - Accent5 2 3 8" xfId="1684" xr:uid="{80B66919-4BD0-414C-9C0A-2FE3B4F92043}"/>
    <cellStyle name="40% - Accent5 2 3 8 2" xfId="2664" xr:uid="{3458C7DD-8BE7-417B-BACF-036A59A71425}"/>
    <cellStyle name="40% - Accent5 2 3 8 2 2" xfId="7229" xr:uid="{4BAF8E7D-8A48-4297-BD06-8914FE10F043}"/>
    <cellStyle name="40% - Accent5 2 3 8 3" xfId="3773" xr:uid="{D67C3710-E33B-4D6E-A9E5-3BD05FECA353}"/>
    <cellStyle name="40% - Accent5 2 3 8 3 2" xfId="8226" xr:uid="{AA5EB66A-1CD4-4BD8-8D65-B3499DD0FCED}"/>
    <cellStyle name="40% - Accent5 2 3 8 4" xfId="6250" xr:uid="{200A5A4F-86EB-4AF9-8299-74A0602F0924}"/>
    <cellStyle name="40% - Accent5 2 3 9" xfId="1904" xr:uid="{4B4D6F4D-242A-45E8-88DF-FD2541E2C1CB}"/>
    <cellStyle name="40% - Accent5 2 3 9 2" xfId="4203" xr:uid="{9BD55165-0543-4F45-AD14-91E6EA94FC1A}"/>
    <cellStyle name="40% - Accent5 2 3 9 2 2" xfId="8617" xr:uid="{94418F29-F3BD-4780-84B4-25302B8BB9BE}"/>
    <cellStyle name="40% - Accent5 2 3 9 3" xfId="6469" xr:uid="{DD57AA34-642C-419D-8CFD-CB2CD75A66F4}"/>
    <cellStyle name="40% - Accent5 2 4" xfId="745" xr:uid="{3F543756-9D75-4B4A-A8F9-56D6A4CB5BB0}"/>
    <cellStyle name="40% - Accent5 2 5" xfId="744" xr:uid="{03972EAC-B41C-4E30-A5A0-E46508FD7073}"/>
    <cellStyle name="40% - Accent5 2 6" xfId="1073" xr:uid="{9B705D17-8A9A-4DCF-A529-4586396E7484}"/>
    <cellStyle name="40% - Accent5 3" xfId="84" xr:uid="{8EC456B3-56A6-477A-8FF8-41809B8C3872}"/>
    <cellStyle name="40% - Accent5 4" xfId="85" xr:uid="{24FA2A24-F61B-4F96-961D-D8F060818DA8}"/>
    <cellStyle name="40% - Accent6 2" xfId="86" xr:uid="{86F1F432-7767-4A68-BBBD-C0510772CF75}"/>
    <cellStyle name="40% - Accent6 2 2" xfId="87" xr:uid="{C7985BF5-AFA2-4D24-B923-57C4ECB24628}"/>
    <cellStyle name="40% - Accent6 2 3" xfId="88" xr:uid="{9C886ABE-5D80-430E-A4C9-8C6199537EE7}"/>
    <cellStyle name="40% - Accent6 2 3 10" xfId="2886" xr:uid="{7994A345-21EE-4986-A123-708792A9B507}"/>
    <cellStyle name="40% - Accent6 2 3 10 2" xfId="7451" xr:uid="{B31A41C5-5DB8-4626-8019-E137B561BD69}"/>
    <cellStyle name="40% - Accent6 2 3 11" xfId="5491" xr:uid="{3862E084-1CB9-4B17-8C4F-8ACE05F7C45A}"/>
    <cellStyle name="40% - Accent6 2 3 2" xfId="840" xr:uid="{64CDE372-8F48-40A6-82CE-AB7F27CB58C7}"/>
    <cellStyle name="40% - Accent6 2 3 2 2" xfId="946" xr:uid="{91CAE314-9D4D-446A-95C8-03E6453248EE}"/>
    <cellStyle name="40% - Accent6 2 3 2 2 2" xfId="1319" xr:uid="{1069047A-4453-4711-8378-8B0CB3B6F3DB}"/>
    <cellStyle name="40% - Accent6 2 3 2 2 2 2" xfId="2299" xr:uid="{4293C1A6-E4DF-44A4-9E09-7380FA3B422F}"/>
    <cellStyle name="40% - Accent6 2 3 2 2 2 2 2" xfId="4709" xr:uid="{84B13159-AEF4-4900-B183-66C6AE62BDE7}"/>
    <cellStyle name="40% - Accent6 2 3 2 2 2 2 2 2" xfId="8955" xr:uid="{2320EFB2-4F19-41D9-87E5-7DD5DAD698C2}"/>
    <cellStyle name="40% - Accent6 2 3 2 2 2 2 3" xfId="6864" xr:uid="{F354080C-D778-44F0-A5FF-8D90CC3C7D34}"/>
    <cellStyle name="40% - Accent6 2 3 2 2 2 3" xfId="3584" xr:uid="{BB489674-E5CA-45E8-8008-A30AC40F61B9}"/>
    <cellStyle name="40% - Accent6 2 3 2 2 2 3 2" xfId="8051" xr:uid="{99B47844-5545-4F95-BE4F-D59631715A62}"/>
    <cellStyle name="40% - Accent6 2 3 2 2 2 4" xfId="5885" xr:uid="{83F1709F-8719-4C01-A3E7-5D92B99794E8}"/>
    <cellStyle name="40% - Accent6 2 3 2 2 3" xfId="1553" xr:uid="{4673A057-A9A5-4E9D-BB7E-11D820DC0CF3}"/>
    <cellStyle name="40% - Accent6 2 3 2 2 3 2" xfId="2533" xr:uid="{A6250887-C7B0-4E8A-B6C2-2599D6BB7828}"/>
    <cellStyle name="40% - Accent6 2 3 2 2 3 2 2" xfId="5092" xr:uid="{71C20053-E99C-42F6-83ED-D859875F48D9}"/>
    <cellStyle name="40% - Accent6 2 3 2 2 3 2 2 2" xfId="9317" xr:uid="{70A07ADF-3DAA-4CCB-A7DF-7E0607ECFE0A}"/>
    <cellStyle name="40% - Accent6 2 3 2 2 3 2 3" xfId="7098" xr:uid="{9CC15140-A922-4D35-84D9-15AF72BA4EDC}"/>
    <cellStyle name="40% - Accent6 2 3 2 2 3 3" xfId="3990" xr:uid="{FA270BDB-8808-47EC-9CC0-4B53B92F0DCF}"/>
    <cellStyle name="40% - Accent6 2 3 2 2 3 3 2" xfId="8439" xr:uid="{A352DFDC-254A-40BB-881A-8D9E72A9FC91}"/>
    <cellStyle name="40% - Accent6 2 3 2 2 3 4" xfId="6119" xr:uid="{0EDC535F-F1DF-4E9D-9CA4-1ACDF2D68BB4}"/>
    <cellStyle name="40% - Accent6 2 3 2 2 4" xfId="1787" xr:uid="{F51A98A1-E43A-43BB-B081-7A71100DA55E}"/>
    <cellStyle name="40% - Accent6 2 3 2 2 4 2" xfId="2766" xr:uid="{7C7FFF30-C15A-46B3-A6BC-173EB5B4DDE1}"/>
    <cellStyle name="40% - Accent6 2 3 2 2 4 2 2" xfId="7331" xr:uid="{E617AE87-483F-4C7E-906C-D4744A6B512B}"/>
    <cellStyle name="40% - Accent6 2 3 2 2 4 3" xfId="4441" xr:uid="{1C45B30C-5A35-4CD3-91F6-B420BD3BD8E9}"/>
    <cellStyle name="40% - Accent6 2 3 2 2 4 3 2" xfId="8718" xr:uid="{B825393C-9B5D-4FFB-8AD5-50B0D22CF703}"/>
    <cellStyle name="40% - Accent6 2 3 2 2 4 4" xfId="6352" xr:uid="{708F25C8-3D18-460E-8561-A29EA7E26571}"/>
    <cellStyle name="40% - Accent6 2 3 2 2 5" xfId="2024" xr:uid="{9388A3F3-0BB2-4BF5-B54F-C5968EE16AA7}"/>
    <cellStyle name="40% - Accent6 2 3 2 2 5 2" xfId="6589" xr:uid="{26B676AE-ADB1-49C6-A12D-31E5F626D2F9}"/>
    <cellStyle name="40% - Accent6 2 3 2 2 6" xfId="3168" xr:uid="{89F69FA9-894B-4E0C-B65D-91B1B02BD3CA}"/>
    <cellStyle name="40% - Accent6 2 3 2 2 6 2" xfId="7663" xr:uid="{05E0DD32-88D2-4331-BEC2-F9F48B92FEDA}"/>
    <cellStyle name="40% - Accent6 2 3 2 2 7" xfId="5610" xr:uid="{1DB4E790-A4B4-4AF6-AFB9-EBF67C58A045}"/>
    <cellStyle name="40% - Accent6 2 3 2 3" xfId="1028" xr:uid="{65FC7CAE-6B6B-4322-9DE5-65A250414B39}"/>
    <cellStyle name="40% - Accent6 2 3 2 3 2" xfId="1396" xr:uid="{784709BF-6FDB-4BC7-BC31-FA4BCF7FA67A}"/>
    <cellStyle name="40% - Accent6 2 3 2 3 2 2" xfId="2376" xr:uid="{2244DC61-87B7-4616-B733-58F3B74128D4}"/>
    <cellStyle name="40% - Accent6 2 3 2 3 2 2 2" xfId="5197" xr:uid="{914E1C58-22E3-4FE2-84E2-1AD2A710E7FD}"/>
    <cellStyle name="40% - Accent6 2 3 2 3 2 2 2 2" xfId="9422" xr:uid="{FBDEBB23-D323-4459-8080-8E1D4090CEAC}"/>
    <cellStyle name="40% - Accent6 2 3 2 3 2 2 3" xfId="6941" xr:uid="{322A125B-9FFD-40CF-8DB6-5624BFCB7E07}"/>
    <cellStyle name="40% - Accent6 2 3 2 3 2 3" xfId="3689" xr:uid="{8B405D91-7F64-45E1-ADA2-D9DF6D71C2F3}"/>
    <cellStyle name="40% - Accent6 2 3 2 3 2 3 2" xfId="8156" xr:uid="{717C1CFF-72CD-47D5-B697-83DB47809BF3}"/>
    <cellStyle name="40% - Accent6 2 3 2 3 2 4" xfId="5962" xr:uid="{FAC457A0-F0F3-4E47-AE8A-32227CDBCE09}"/>
    <cellStyle name="40% - Accent6 2 3 2 3 3" xfId="1630" xr:uid="{FCD2FA9A-7D70-4E66-8F0E-7F1D1C933381}"/>
    <cellStyle name="40% - Accent6 2 3 2 3 3 2" xfId="2610" xr:uid="{3B55D118-72C2-49A7-A0C2-11039461BA07}"/>
    <cellStyle name="40% - Accent6 2 3 2 3 3 2 2" xfId="7175" xr:uid="{38542A4A-75AE-4DC4-ABE2-C8D8716C3E12}"/>
    <cellStyle name="40% - Accent6 2 3 2 3 3 3" xfId="4095" xr:uid="{97F5C000-E901-4068-9244-AA26C5F5678A}"/>
    <cellStyle name="40% - Accent6 2 3 2 3 3 3 2" xfId="8544" xr:uid="{9515A8A3-D786-4B72-A90D-BA7D7DA679B2}"/>
    <cellStyle name="40% - Accent6 2 3 2 3 3 4" xfId="6196" xr:uid="{FEB2A6EA-3C47-4D2F-AE1E-5E65F985BEC9}"/>
    <cellStyle name="40% - Accent6 2 3 2 3 4" xfId="1864" xr:uid="{6333EAC5-7E3E-4926-B775-57F4E7032F36}"/>
    <cellStyle name="40% - Accent6 2 3 2 3 4 2" xfId="2843" xr:uid="{DD7E30B7-FD0A-45F7-AB22-1A8C21990449}"/>
    <cellStyle name="40% - Accent6 2 3 2 3 4 2 2" xfId="7408" xr:uid="{33422843-2D96-43D5-AB0A-6CBF595BAD57}"/>
    <cellStyle name="40% - Accent6 2 3 2 3 4 3" xfId="4575" xr:uid="{FB4C3680-95C5-4DFF-AA63-C3C58CA4A7E5}"/>
    <cellStyle name="40% - Accent6 2 3 2 3 4 3 2" xfId="8830" xr:uid="{F1E99208-FEDC-4502-B223-5AFC407AA75D}"/>
    <cellStyle name="40% - Accent6 2 3 2 3 4 4" xfId="6429" xr:uid="{B80EBEF2-B929-4938-BB71-B7C7C2C824E9}"/>
    <cellStyle name="40% - Accent6 2 3 2 3 5" xfId="2101" xr:uid="{04B14AAD-AA15-4820-A08F-79F05650A3B3}"/>
    <cellStyle name="40% - Accent6 2 3 2 3 5 2" xfId="6666" xr:uid="{C7AB6300-8DE4-4640-970E-2AD931C58810}"/>
    <cellStyle name="40% - Accent6 2 3 2 3 6" xfId="3275" xr:uid="{68D732F1-15CA-4335-81AC-57814BE5A494}"/>
    <cellStyle name="40% - Accent6 2 3 2 3 6 2" xfId="7768" xr:uid="{0064408F-BD38-4DBA-B504-E7695D0AED7D}"/>
    <cellStyle name="40% - Accent6 2 3 2 3 7" xfId="5687" xr:uid="{C37F06B7-B931-4FA9-AD49-B09C51B8C984}"/>
    <cellStyle name="40% - Accent6 2 3 2 4" xfId="1240" xr:uid="{F53A9352-9F0D-46F2-B948-6D7919F07002}"/>
    <cellStyle name="40% - Accent6 2 3 2 4 2" xfId="2222" xr:uid="{DC6C8BC5-0B6D-433A-92DC-E6E409733EB6}"/>
    <cellStyle name="40% - Accent6 2 3 2 4 2 2" xfId="4904" xr:uid="{BB1B9E88-C8FD-4FEB-9EB2-29D6D4EA51D7}"/>
    <cellStyle name="40% - Accent6 2 3 2 4 2 2 2" xfId="9134" xr:uid="{83AD4A46-2ACB-412D-9853-1CEF3045B7FC}"/>
    <cellStyle name="40% - Accent6 2 3 2 4 2 3" xfId="3479" xr:uid="{F99DB992-F3D2-455D-A839-DFBA5C8BFBAF}"/>
    <cellStyle name="40% - Accent6 2 3 2 4 2 3 2" xfId="7946" xr:uid="{1DD26CE1-69ED-48CB-8412-67F4A4129681}"/>
    <cellStyle name="40% - Accent6 2 3 2 4 2 4" xfId="6787" xr:uid="{7F74250C-4581-46B3-8E5B-3430F54ED6B8}"/>
    <cellStyle name="40% - Accent6 2 3 2 4 3" xfId="3885" xr:uid="{A8F4C3E7-8FDB-44EB-BA27-7189AD3E60A6}"/>
    <cellStyle name="40% - Accent6 2 3 2 4 3 2" xfId="8334" xr:uid="{4D7F18A7-ABD4-4D19-A42E-465C27A9F208}"/>
    <cellStyle name="40% - Accent6 2 3 2 4 4" xfId="4632" xr:uid="{E03527CB-11B7-4583-9BE7-2982E67BA04C}"/>
    <cellStyle name="40% - Accent6 2 3 2 4 4 2" xfId="8878" xr:uid="{CF6B1CEA-0273-4BD8-86D9-2D31FAD2AE11}"/>
    <cellStyle name="40% - Accent6 2 3 2 4 5" xfId="3048" xr:uid="{C697DE52-DDB5-4F35-8303-3EB6F87C2727}"/>
    <cellStyle name="40% - Accent6 2 3 2 4 5 2" xfId="7558" xr:uid="{24BCA4DC-B5A0-4A7A-98F4-F2100A48FF09}"/>
    <cellStyle name="40% - Accent6 2 3 2 4 6" xfId="5808" xr:uid="{62AEA934-0491-42E4-BCEE-01543AD4B3C4}"/>
    <cellStyle name="40% - Accent6 2 3 2 5" xfId="1476" xr:uid="{27C362EC-42A2-4F0C-A28D-416330F0CD41}"/>
    <cellStyle name="40% - Accent6 2 3 2 5 2" xfId="2456" xr:uid="{79CE03A1-16F9-4E8E-A1AC-1938F002D0E8}"/>
    <cellStyle name="40% - Accent6 2 3 2 5 2 2" xfId="4940" xr:uid="{1941E8B2-C9F2-40C1-AAE1-39CEFA5D3F1F}"/>
    <cellStyle name="40% - Accent6 2 3 2 5 2 2 2" xfId="9170" xr:uid="{69DDC454-A00D-459D-9893-D16CB5ADDAC6}"/>
    <cellStyle name="40% - Accent6 2 3 2 5 2 3" xfId="7021" xr:uid="{D5813F1E-99EC-4C4A-BE29-E610E2E6DE36}"/>
    <cellStyle name="40% - Accent6 2 3 2 5 3" xfId="3405" xr:uid="{A8E4BCF6-9084-4984-9AFC-E65652B76D81}"/>
    <cellStyle name="40% - Accent6 2 3 2 5 3 2" xfId="7873" xr:uid="{2C4D2CA5-D670-4701-8343-02F8EA36CEE0}"/>
    <cellStyle name="40% - Accent6 2 3 2 5 4" xfId="6042" xr:uid="{7B0846BC-9728-4053-9F62-57A9AEB89AFD}"/>
    <cellStyle name="40% - Accent6 2 3 2 6" xfId="1663" xr:uid="{FC418742-E444-40B7-96C0-D0291304FC16}"/>
    <cellStyle name="40% - Accent6 2 3 2 6 2" xfId="2643" xr:uid="{492D0DDE-C7EE-44FB-AB06-8039FB2A1091}"/>
    <cellStyle name="40% - Accent6 2 3 2 6 2 2" xfId="7208" xr:uid="{30A971D7-CAA0-4EF9-AE8C-6DA783790845}"/>
    <cellStyle name="40% - Accent6 2 3 2 6 3" xfId="3812" xr:uid="{838972DE-A380-457D-A867-B2E889BB3C55}"/>
    <cellStyle name="40% - Accent6 2 3 2 6 3 2" xfId="8261" xr:uid="{622EBB30-B38C-445A-A582-5DE02C8D8A4F}"/>
    <cellStyle name="40% - Accent6 2 3 2 6 4" xfId="6229" xr:uid="{D158B213-A234-4D13-AEB3-5383AE4C4C1F}"/>
    <cellStyle name="40% - Accent6 2 3 2 7" xfId="1947" xr:uid="{DE8A072B-D276-4B9D-BD19-6D48004662F9}"/>
    <cellStyle name="40% - Accent6 2 3 2 7 2" xfId="4293" xr:uid="{840B8DCA-8B1A-4908-9790-8AA47914F613}"/>
    <cellStyle name="40% - Accent6 2 3 2 7 2 2" xfId="8646" xr:uid="{993991CE-1185-42FE-8FC1-381BEF76108F}"/>
    <cellStyle name="40% - Accent6 2 3 2 7 3" xfId="6512" xr:uid="{3E4C8BFA-0375-4797-9545-B6052E0991FB}"/>
    <cellStyle name="40% - Accent6 2 3 2 8" xfId="2923" xr:uid="{392DC5BD-BEE6-4693-8613-9C837CF1AA24}"/>
    <cellStyle name="40% - Accent6 2 3 2 8 2" xfId="7485" xr:uid="{9FA9C8EB-7958-4CF6-9EDF-DC0A731BD087}"/>
    <cellStyle name="40% - Accent6 2 3 2 9" xfId="5533" xr:uid="{2EC960AF-BABF-43C5-AF38-8C3775B9049B}"/>
    <cellStyle name="40% - Accent6 2 3 3" xfId="875" xr:uid="{432DAC27-15FC-4254-B52C-9C232965F347}"/>
    <cellStyle name="40% - Accent6 2 3 3 2" xfId="1275" xr:uid="{65360B51-9F0F-462A-8BCA-7F4AFA0727CA}"/>
    <cellStyle name="40% - Accent6 2 3 3 2 2" xfId="2257" xr:uid="{564849EF-D601-4A6E-B051-7A9FA0561661}"/>
    <cellStyle name="40% - Accent6 2 3 3 2 2 2" xfId="5126" xr:uid="{7E9A6991-4F5E-49AE-80F2-9B0BED953EB1}"/>
    <cellStyle name="40% - Accent6 2 3 3 2 2 2 2" xfId="9351" xr:uid="{385438CF-F483-4943-A46D-62A026F0D786}"/>
    <cellStyle name="40% - Accent6 2 3 3 2 2 3" xfId="3618" xr:uid="{02F3F151-05C4-4677-BC3E-CE210F24088C}"/>
    <cellStyle name="40% - Accent6 2 3 3 2 2 3 2" xfId="8085" xr:uid="{ACB7DFCF-3324-4EC2-8BC2-D3152557F3E3}"/>
    <cellStyle name="40% - Accent6 2 3 3 2 2 4" xfId="6822" xr:uid="{BF9083E0-881D-4436-9597-AB80104E8CF8}"/>
    <cellStyle name="40% - Accent6 2 3 3 2 3" xfId="4024" xr:uid="{E705BC68-3F92-4D4C-A274-9832F6E01D90}"/>
    <cellStyle name="40% - Accent6 2 3 3 2 3 2" xfId="8473" xr:uid="{8CC35397-FB6F-4E32-AFA6-13519854FC25}"/>
    <cellStyle name="40% - Accent6 2 3 3 2 4" xfId="4742" xr:uid="{3D5ACEB7-A9EE-4ED5-ADCA-8EB1810EAD51}"/>
    <cellStyle name="40% - Accent6 2 3 3 2 4 2" xfId="8988" xr:uid="{F9A9D381-9717-40D1-AD07-93110D233C36}"/>
    <cellStyle name="40% - Accent6 2 3 3 2 5" xfId="3202" xr:uid="{05C56D03-3C00-41BC-9FB0-E4C5DA255C02}"/>
    <cellStyle name="40% - Accent6 2 3 3 2 5 2" xfId="7697" xr:uid="{F804787D-B71A-4DCC-806B-8462613D44A3}"/>
    <cellStyle name="40% - Accent6 2 3 3 2 6" xfId="5843" xr:uid="{9A8A77CB-3463-4A0E-9970-F3B1706D31E7}"/>
    <cellStyle name="40% - Accent6 2 3 3 3" xfId="1511" xr:uid="{5BF7A370-5EC9-4E7D-B2B8-B94C19952743}"/>
    <cellStyle name="40% - Accent6 2 3 3 3 2" xfId="2491" xr:uid="{8AE89E56-3498-4F2B-931B-95B710153D06}"/>
    <cellStyle name="40% - Accent6 2 3 3 3 2 2" xfId="5231" xr:uid="{400B5E5A-5202-4710-8033-CE6746238B2A}"/>
    <cellStyle name="40% - Accent6 2 3 3 3 2 2 2" xfId="9456" xr:uid="{09E40C1A-D385-45A7-A4FB-E55E85B14899}"/>
    <cellStyle name="40% - Accent6 2 3 3 3 2 3" xfId="3723" xr:uid="{FDDF0FB2-7817-4EEF-9E32-56FF865E0472}"/>
    <cellStyle name="40% - Accent6 2 3 3 3 2 3 2" xfId="8190" xr:uid="{F111C3D4-6B0E-4494-989F-08AF01290C1F}"/>
    <cellStyle name="40% - Accent6 2 3 3 3 2 4" xfId="7056" xr:uid="{051A3F43-D4F9-459B-9A12-11A2B3794762}"/>
    <cellStyle name="40% - Accent6 2 3 3 3 3" xfId="4129" xr:uid="{EA8D2796-EB63-4236-96BD-8837415FE3BE}"/>
    <cellStyle name="40% - Accent6 2 3 3 3 3 2" xfId="8578" xr:uid="{CC5DD6D7-D701-44E0-9B4D-9E1C5F0B3A64}"/>
    <cellStyle name="40% - Accent6 2 3 3 3 4" xfId="4818" xr:uid="{89D1C113-4313-4E33-A8AA-26634A71B549}"/>
    <cellStyle name="40% - Accent6 2 3 3 3 4 2" xfId="9064" xr:uid="{81A6B682-E97D-4F92-A517-033F2BD24CC1}"/>
    <cellStyle name="40% - Accent6 2 3 3 3 5" xfId="3313" xr:uid="{C4402323-CFFF-4D89-920C-9F5F88FCA10A}"/>
    <cellStyle name="40% - Accent6 2 3 3 3 5 2" xfId="7802" xr:uid="{636FE8E9-0764-45D6-9F79-9CFC724E4946}"/>
    <cellStyle name="40% - Accent6 2 3 3 3 6" xfId="6077" xr:uid="{E9AF51E5-64FC-47E1-97E2-69ACBC547735}"/>
    <cellStyle name="40% - Accent6 2 3 3 4" xfId="1745" xr:uid="{DCEDF683-D7C9-40B4-AB21-E6DAEB7CFAB2}"/>
    <cellStyle name="40% - Accent6 2 3 3 4 2" xfId="2724" xr:uid="{73C1C574-E72C-4D38-9F31-31EFD81407B8}"/>
    <cellStyle name="40% - Accent6 2 3 3 4 2 2" xfId="4662" xr:uid="{C336811C-02B2-49B5-A5F4-7C12A4C9039F}"/>
    <cellStyle name="40% - Accent6 2 3 3 4 2 2 2" xfId="8908" xr:uid="{748FEBCE-6E3D-40B4-B54D-DB18232029EB}"/>
    <cellStyle name="40% - Accent6 2 3 3 4 2 3" xfId="7289" xr:uid="{229C6C3E-0A66-4D7E-8F61-A4A8FD56FBDD}"/>
    <cellStyle name="40% - Accent6 2 3 3 4 3" xfId="3513" xr:uid="{6FD2F9D4-1584-48D8-B700-6CB5BF55283C}"/>
    <cellStyle name="40% - Accent6 2 3 3 4 3 2" xfId="7980" xr:uid="{DA78E2CF-3750-4D35-B6F8-81DE5FBC0E39}"/>
    <cellStyle name="40% - Accent6 2 3 3 4 4" xfId="6310" xr:uid="{6127DC6C-2B94-4242-A00A-030014389347}"/>
    <cellStyle name="40% - Accent6 2 3 3 5" xfId="1982" xr:uid="{0D3EC2BE-EE41-4E78-BBE8-A64873A53AF9}"/>
    <cellStyle name="40% - Accent6 2 3 3 5 2" xfId="5022" xr:uid="{F22ED0BA-5141-4C21-A8E4-4AE6FAE1B387}"/>
    <cellStyle name="40% - Accent6 2 3 3 5 2 2" xfId="9248" xr:uid="{1D90DF15-4D06-46E8-AC17-590A4A84F8E6}"/>
    <cellStyle name="40% - Accent6 2 3 3 5 3" xfId="3919" xr:uid="{49D23168-BC1C-4D62-88BF-5DE699A3EE85}"/>
    <cellStyle name="40% - Accent6 2 3 3 5 3 2" xfId="8368" xr:uid="{E51BBDA7-6F1E-4989-AC73-0F2EA3C9E29E}"/>
    <cellStyle name="40% - Accent6 2 3 3 5 4" xfId="6547" xr:uid="{A09A8BD4-9194-490F-948B-996872FDFF1E}"/>
    <cellStyle name="40% - Accent6 2 3 3 6" xfId="4413" xr:uid="{9408426D-D4C7-49B0-B86F-7561BA312F39}"/>
    <cellStyle name="40% - Accent6 2 3 3 6 2" xfId="8690" xr:uid="{DFD9275D-1B50-42E6-B82D-9B156EEE0EE0}"/>
    <cellStyle name="40% - Accent6 2 3 3 7" xfId="3086" xr:uid="{008911EC-EE8F-4ECD-B69E-470844BB152D}"/>
    <cellStyle name="40% - Accent6 2 3 3 7 2" xfId="7592" xr:uid="{B03CE514-FC83-48DB-A559-A9A87B1A900B}"/>
    <cellStyle name="40% - Accent6 2 3 3 8" xfId="5568" xr:uid="{24ECAA90-8D25-492F-8B68-51E2A1BD52F1}"/>
    <cellStyle name="40% - Accent6 2 3 4" xfId="986" xr:uid="{75C897A6-6037-4D29-AB24-6EA40CD80A4A}"/>
    <cellStyle name="40% - Accent6 2 3 4 2" xfId="1354" xr:uid="{F283A539-6807-4AF7-933A-F46A2AF2255C}"/>
    <cellStyle name="40% - Accent6 2 3 4 2 2" xfId="2334" xr:uid="{6996E3DD-0C93-412E-B420-8BEEAC1CD0A1}"/>
    <cellStyle name="40% - Accent6 2 3 4 2 2 2" xfId="5061" xr:uid="{42B7EA8A-4604-4BAE-8A65-363661DBE997}"/>
    <cellStyle name="40% - Accent6 2 3 4 2 2 2 2" xfId="9287" xr:uid="{5B46CDB8-5595-4567-BC5F-18061C350C23}"/>
    <cellStyle name="40% - Accent6 2 3 4 2 2 3" xfId="6899" xr:uid="{F5F9C3FC-AE53-45B5-89A8-CC2B6E17EEB5}"/>
    <cellStyle name="40% - Accent6 2 3 4 2 3" xfId="3553" xr:uid="{05999AAA-ABEB-46D8-BAFC-8EFD2F148F3B}"/>
    <cellStyle name="40% - Accent6 2 3 4 2 3 2" xfId="8020" xr:uid="{FEAEF3E9-F8AB-4965-808A-42C00FE47759}"/>
    <cellStyle name="40% - Accent6 2 3 4 2 4" xfId="5920" xr:uid="{C69EFD2F-0C9F-45DC-848F-4E31D572E5AC}"/>
    <cellStyle name="40% - Accent6 2 3 4 3" xfId="1588" xr:uid="{7E031B67-AAA6-4128-BCCE-9F9B247FC370}"/>
    <cellStyle name="40% - Accent6 2 3 4 3 2" xfId="2568" xr:uid="{4045D6A6-9339-4227-99FA-2ADAD971A4BF}"/>
    <cellStyle name="40% - Accent6 2 3 4 3 2 2" xfId="7133" xr:uid="{4799AA59-169F-4D0B-A8B2-C70C5D79E372}"/>
    <cellStyle name="40% - Accent6 2 3 4 3 3" xfId="3959" xr:uid="{917D5312-9603-4C95-AD2B-B23CAB043C1E}"/>
    <cellStyle name="40% - Accent6 2 3 4 3 3 2" xfId="8408" xr:uid="{F3E22C9D-7B0E-4EF1-A807-4E1A05568DEF}"/>
    <cellStyle name="40% - Accent6 2 3 4 3 4" xfId="6154" xr:uid="{4E9832B1-5C05-45A1-B09B-7916558224A9}"/>
    <cellStyle name="40% - Accent6 2 3 4 4" xfId="1822" xr:uid="{B517B3DF-74F6-49E2-AF8B-732282D7AAF3}"/>
    <cellStyle name="40% - Accent6 2 3 4 4 2" xfId="2801" xr:uid="{ACC280B3-F5A5-456F-AC6B-02E477B4D520}"/>
    <cellStyle name="40% - Accent6 2 3 4 4 2 2" xfId="7366" xr:uid="{9806A18D-DAD9-4DC1-9459-82E1069FA7E4}"/>
    <cellStyle name="40% - Accent6 2 3 4 4 3" xfId="4489" xr:uid="{D29B2DFF-3A45-4900-BB50-8E9F5E826EB3}"/>
    <cellStyle name="40% - Accent6 2 3 4 4 3 2" xfId="8764" xr:uid="{185D42A8-F43B-412A-8628-EE131AA25AD3}"/>
    <cellStyle name="40% - Accent6 2 3 4 4 4" xfId="6387" xr:uid="{BB4BCE89-F08B-43AC-9621-9056FEE2DDAE}"/>
    <cellStyle name="40% - Accent6 2 3 4 5" xfId="2059" xr:uid="{B57C6AD0-B18C-461E-B62C-02853C5BBEA0}"/>
    <cellStyle name="40% - Accent6 2 3 4 5 2" xfId="6624" xr:uid="{4CCB8DEB-1B09-4A79-ABAF-CF4E7653C2BC}"/>
    <cellStyle name="40% - Accent6 2 3 4 6" xfId="3137" xr:uid="{91E67809-D8FE-45EA-B1B1-F8CF11075EAA}"/>
    <cellStyle name="40% - Accent6 2 3 4 6 2" xfId="7632" xr:uid="{4771971E-7205-4507-B1A1-AFFEEADC4B22}"/>
    <cellStyle name="40% - Accent6 2 3 4 7" xfId="5645" xr:uid="{0E57FFE8-44AC-49F1-B36A-77646B74409D}"/>
    <cellStyle name="40% - Accent6 2 3 5" xfId="1074" xr:uid="{790E5E15-5853-47D4-A095-C231DEF71CAA}"/>
    <cellStyle name="40% - Accent6 2 3 5 2" xfId="2136" xr:uid="{2B2AE31C-167D-4E63-A154-D5614D833259}"/>
    <cellStyle name="40% - Accent6 2 3 5 2 2" xfId="5166" xr:uid="{254624EC-C611-4671-A757-6EABCE388856}"/>
    <cellStyle name="40% - Accent6 2 3 5 2 2 2" xfId="9391" xr:uid="{8C550F80-2EB3-469F-B5B4-6E18319129B4}"/>
    <cellStyle name="40% - Accent6 2 3 5 2 3" xfId="3658" xr:uid="{B3664E8E-4F85-4B51-A71E-FCE9BD9202BC}"/>
    <cellStyle name="40% - Accent6 2 3 5 2 3 2" xfId="8125" xr:uid="{A9B19BEF-AFF6-4AB2-9C76-28C5961B2EFA}"/>
    <cellStyle name="40% - Accent6 2 3 5 2 4" xfId="6701" xr:uid="{1DCC019F-1562-410A-AA13-8219A32AF1A9}"/>
    <cellStyle name="40% - Accent6 2 3 5 3" xfId="4064" xr:uid="{0427AE4C-47FF-435F-9DA4-A94B66C1F868}"/>
    <cellStyle name="40% - Accent6 2 3 5 3 2" xfId="8513" xr:uid="{9D902936-6EA0-44AD-BE8D-CDD0BF5223DB}"/>
    <cellStyle name="40% - Accent6 2 3 5 4" xfId="4782" xr:uid="{16703B14-CF60-4489-895C-DD1A332C0171}"/>
    <cellStyle name="40% - Accent6 2 3 5 4 2" xfId="9028" xr:uid="{BA7BB5D8-CC8D-4AF2-A583-35DCE7CB1CD1}"/>
    <cellStyle name="40% - Accent6 2 3 5 5" xfId="3243" xr:uid="{A58BC9A3-E628-4A77-BBE5-8A8ED5578D96}"/>
    <cellStyle name="40% - Accent6 2 3 5 5 2" xfId="7737" xr:uid="{7C8C0FD4-8D65-46D4-BB18-0B8A721B1E09}"/>
    <cellStyle name="40% - Accent6 2 3 5 6" xfId="5722" xr:uid="{E96F5EE6-10EC-4BF4-97DA-36C10ADFB81E}"/>
    <cellStyle name="40% - Accent6 2 3 6" xfId="1194" xr:uid="{130C9E6A-2D57-4B50-AA46-7B688D9ADA73}"/>
    <cellStyle name="40% - Accent6 2 3 6 2" xfId="2180" xr:uid="{4B71B3C4-F3EE-432C-88EB-0D902980708D}"/>
    <cellStyle name="40% - Accent6 2 3 6 2 2" xfId="4987" xr:uid="{213484FA-E633-490B-A780-0159F67F8EC2}"/>
    <cellStyle name="40% - Accent6 2 3 6 2 2 2" xfId="9215" xr:uid="{AA7B03CD-F15B-4FEA-861E-9616AB00BF30}"/>
    <cellStyle name="40% - Accent6 2 3 6 2 3" xfId="3447" xr:uid="{52D0828B-C681-4D23-BFB0-D5EB29D4F619}"/>
    <cellStyle name="40% - Accent6 2 3 6 2 3 2" xfId="7915" xr:uid="{ACEF757D-39BE-4D0E-B967-8E69E13525BF}"/>
    <cellStyle name="40% - Accent6 2 3 6 2 4" xfId="6745" xr:uid="{35AB0B09-DD10-4FCA-8D34-F306E4FCF8A1}"/>
    <cellStyle name="40% - Accent6 2 3 6 3" xfId="3854" xr:uid="{39B05340-82C8-41E1-A5B7-F38A6C2B2080}"/>
    <cellStyle name="40% - Accent6 2 3 6 3 2" xfId="8303" xr:uid="{029FDBD9-087F-4222-AE95-3B8544EEB48F}"/>
    <cellStyle name="40% - Accent6 2 3 6 4" xfId="4623" xr:uid="{19DA1A0E-CFAE-4D93-97C4-B25061E12B86}"/>
    <cellStyle name="40% - Accent6 2 3 6 4 2" xfId="8870" xr:uid="{BC3D09DF-856A-44E5-8F9D-A4CD89555F2B}"/>
    <cellStyle name="40% - Accent6 2 3 6 5" xfId="2997" xr:uid="{FA8CC877-B496-461E-9B50-0B70F75CD17C}"/>
    <cellStyle name="40% - Accent6 2 3 6 5 2" xfId="7527" xr:uid="{8DAFB352-3A23-40BE-B9CD-834D577B2893}"/>
    <cellStyle name="40% - Accent6 2 3 6 6" xfId="5766" xr:uid="{DE095973-AC6B-4167-AC7B-1811D1A88610}"/>
    <cellStyle name="40% - Accent6 2 3 7" xfId="1434" xr:uid="{1DCFD3E1-555A-460E-9FBB-3B2C5EAFF43A}"/>
    <cellStyle name="40% - Accent6 2 3 7 2" xfId="2414" xr:uid="{1451E0C3-7BD9-45EC-A61E-80D03AE987DA}"/>
    <cellStyle name="40% - Accent6 2 3 7 2 2" xfId="4870" xr:uid="{C5347F4B-AB57-4D9A-8944-DB3613B117B3}"/>
    <cellStyle name="40% - Accent6 2 3 7 2 2 2" xfId="9105" xr:uid="{C2261D7D-F69C-4DCD-8C63-861F1F955039}"/>
    <cellStyle name="40% - Accent6 2 3 7 2 3" xfId="6979" xr:uid="{5E52534A-B899-48EA-B685-AFA072D7E676}"/>
    <cellStyle name="40% - Accent6 2 3 7 3" xfId="3352" xr:uid="{D4CCF99C-F2E2-47A7-8F8B-2A5F87879745}"/>
    <cellStyle name="40% - Accent6 2 3 7 3 2" xfId="7839" xr:uid="{AF051543-3720-4992-B545-D54693B27D65}"/>
    <cellStyle name="40% - Accent6 2 3 7 4" xfId="6000" xr:uid="{8D96FD00-830F-4537-914F-970F0E046D8B}"/>
    <cellStyle name="40% - Accent6 2 3 8" xfId="1685" xr:uid="{6A28E98E-73A2-4CDD-BF91-7454E31BC64D}"/>
    <cellStyle name="40% - Accent6 2 3 8 2" xfId="2665" xr:uid="{60D7D62C-C97A-4B73-96A5-2FB3032C57D9}"/>
    <cellStyle name="40% - Accent6 2 3 8 2 2" xfId="7230" xr:uid="{56E9101F-9331-4B3D-84FF-A3E852D26A29}"/>
    <cellStyle name="40% - Accent6 2 3 8 3" xfId="3774" xr:uid="{2AA83017-DA37-40A4-A5C1-DFDA584E6688}"/>
    <cellStyle name="40% - Accent6 2 3 8 3 2" xfId="8227" xr:uid="{74E32361-0B3A-4997-AA31-BD562D2EC780}"/>
    <cellStyle name="40% - Accent6 2 3 8 4" xfId="6251" xr:uid="{EA89F8D6-AD98-447C-9132-57C4DC9E3D52}"/>
    <cellStyle name="40% - Accent6 2 3 9" xfId="1905" xr:uid="{CD19259E-C83C-4083-8E93-7D6088C30787}"/>
    <cellStyle name="40% - Accent6 2 3 9 2" xfId="4204" xr:uid="{0FDA9000-8FC4-43D3-A8E2-C0F43386B3D5}"/>
    <cellStyle name="40% - Accent6 2 3 9 2 2" xfId="8618" xr:uid="{97B2A641-F140-4F3D-BD08-65D3B1473D5D}"/>
    <cellStyle name="40% - Accent6 2 3 9 3" xfId="6470" xr:uid="{EC69DAE6-6C8F-4325-8292-D1469D0F5BB4}"/>
    <cellStyle name="40% - Accent6 2 4" xfId="743" xr:uid="{7B980C2A-E599-462E-9A26-F743F23D3E62}"/>
    <cellStyle name="40% - Accent6 2 5" xfId="742" xr:uid="{A5A21EE3-8F6D-4D4B-AEF1-D7B1A0A1DE9D}"/>
    <cellStyle name="40% - Accent6 2 6" xfId="1075" xr:uid="{01B4EC24-D2C2-4ECE-8F28-C7BB495A6306}"/>
    <cellStyle name="40% - Accent6 3" xfId="89" xr:uid="{8665030B-0B2E-4EC3-B0F8-8C91B6BC53E5}"/>
    <cellStyle name="40% - Accent6 4" xfId="90" xr:uid="{7BFB5E8B-B926-42D6-A331-8992464FBE90}"/>
    <cellStyle name="60% - Accent1 2" xfId="91" xr:uid="{E3666FCB-C921-49E6-9E64-005C54F278A8}"/>
    <cellStyle name="60% - Accent1 2 2" xfId="92" xr:uid="{A318F277-C5B0-4C42-B136-35977839A52C}"/>
    <cellStyle name="60% - Accent1 2 3" xfId="93" xr:uid="{2AB5E5F7-E5A4-4BE6-BFD8-ECEEF62AFCB7}"/>
    <cellStyle name="60% - Accent1 2 4" xfId="741" xr:uid="{8B02835C-6BF1-4786-A35A-123BFD63439A}"/>
    <cellStyle name="60% - Accent1 2 5" xfId="740" xr:uid="{6BA9330D-12D3-4934-89D3-E77E2F8F0404}"/>
    <cellStyle name="60% - Accent1 2 6" xfId="1076" xr:uid="{0DB8564E-1D0D-4D52-A42B-E69AE6B4C518}"/>
    <cellStyle name="60% - Accent1 3" xfId="94" xr:uid="{B02FF067-566D-4428-899E-80E1314A69A6}"/>
    <cellStyle name="60% - Accent1 4" xfId="95" xr:uid="{E0B7E539-73EE-46FB-9959-7D05DD6D7BE6}"/>
    <cellStyle name="60% - Accent2 2" xfId="96" xr:uid="{4915D129-1985-4347-9C6D-88524A6823B8}"/>
    <cellStyle name="60% - Accent2 2 2" xfId="97" xr:uid="{BE8D2B1B-5C39-444F-8FFD-505A4D92F888}"/>
    <cellStyle name="60% - Accent2 2 3" xfId="98" xr:uid="{5012A242-F7FE-47E4-8287-ED6FC44A0D6D}"/>
    <cellStyle name="60% - Accent2 2 4" xfId="739" xr:uid="{08D598BE-AE1A-4A37-85D3-1CEFC30F02EE}"/>
    <cellStyle name="60% - Accent2 2 5" xfId="738" xr:uid="{85D6B1AD-4FC8-4C61-BDAD-5466B77D0AB4}"/>
    <cellStyle name="60% - Accent2 2 6" xfId="1077" xr:uid="{FD2413C8-4C62-4194-B72E-FBFF4891DAC2}"/>
    <cellStyle name="60% - Accent2 3" xfId="99" xr:uid="{F97F31A8-9F4F-493C-AFBD-23197F464AF6}"/>
    <cellStyle name="60% - Accent2 4" xfId="100" xr:uid="{C3875C7C-A2DA-4E37-B4C3-DDC3F1DAB68D}"/>
    <cellStyle name="60% - Accent3 2" xfId="101" xr:uid="{FFBC5D94-261A-4EDC-96CD-EE0488693FCC}"/>
    <cellStyle name="60% - Accent3 2 2" xfId="102" xr:uid="{B3C6A4DA-BA70-4EEC-A46B-E9E14A41262E}"/>
    <cellStyle name="60% - Accent3 2 2 2" xfId="4330" xr:uid="{3EBD64E4-2F3B-4BC1-B23F-8A0C5B91E1B8}"/>
    <cellStyle name="60% - Accent3 2 2 3" xfId="4205" xr:uid="{B9CC6B23-DAA9-4B88-B86E-6CB4D89F0FC4}"/>
    <cellStyle name="60% - Accent3 2 3" xfId="103" xr:uid="{9EEC8399-DE88-4C98-9653-FAE570D7E8BC}"/>
    <cellStyle name="60% - Accent3 2 3 2" xfId="4331" xr:uid="{D0E8AE3D-6BAB-441C-96BC-9C19E3B863DA}"/>
    <cellStyle name="60% - Accent3 2 3 3" xfId="4206" xr:uid="{1EF93C33-0746-4261-AE05-E30CB76CFA50}"/>
    <cellStyle name="60% - Accent3 2 4" xfId="737" xr:uid="{27CCC47D-F4EB-4785-83F6-5EFCA7B022A3}"/>
    <cellStyle name="60% - Accent3 2 4 2" xfId="4332" xr:uid="{EBD59874-CF1A-4281-8255-EDD6AAFABCE9}"/>
    <cellStyle name="60% - Accent3 2 4 3" xfId="4207" xr:uid="{2EC76CC5-E026-4228-8E04-FF99E15668BA}"/>
    <cellStyle name="60% - Accent3 2 5" xfId="736" xr:uid="{6BD0AD1A-DCED-4CF6-8F5F-7028CCA18A12}"/>
    <cellStyle name="60% - Accent3 2 5 2" xfId="4333" xr:uid="{0598B8D7-242B-4120-9D4A-8500438B397B}"/>
    <cellStyle name="60% - Accent3 2 5 3" xfId="4208" xr:uid="{8B469C7F-E0CC-43D1-AB30-3653BA1CF571}"/>
    <cellStyle name="60% - Accent3 2 6" xfId="1078" xr:uid="{8B268559-8A38-494A-BD45-D9D3A2033CFE}"/>
    <cellStyle name="60% - Accent3 2 6 2" xfId="4334" xr:uid="{9FD900F6-7BD0-4E70-A6BC-74640C03318F}"/>
    <cellStyle name="60% - Accent3 2 6 3" xfId="4540" xr:uid="{0CA9022A-0127-41FD-B12F-A385FC4B2A22}"/>
    <cellStyle name="60% - Accent3 2 6 4" xfId="4272" xr:uid="{4E8A7FBE-ACB3-4A29-9829-83456EE22C18}"/>
    <cellStyle name="60% - Accent3 2 6 5" xfId="2961" xr:uid="{35E27EC1-85D2-40A5-B36F-24FFB210BA36}"/>
    <cellStyle name="60% - Accent3 3" xfId="104" xr:uid="{49380DFE-1EDA-4521-9248-7CF48738793F}"/>
    <cellStyle name="60% - Accent3 3 2" xfId="4335" xr:uid="{FA170E95-9AA9-4FB6-A26B-6335B124535D}"/>
    <cellStyle name="60% - Accent3 3 3" xfId="4209" xr:uid="{2E93E5D8-1202-4ABF-88F3-02EBE8741FCC}"/>
    <cellStyle name="60% - Accent3 4" xfId="105" xr:uid="{4A32B539-7C29-4891-9A10-64B532D267A5}"/>
    <cellStyle name="60% - Accent3 4 2" xfId="4336" xr:uid="{FCDDC5A2-8346-434B-AED9-8ED1A3C29538}"/>
    <cellStyle name="60% - Accent3 4 3" xfId="4210" xr:uid="{18743DDA-1351-4E82-B54B-2F4453DE8931}"/>
    <cellStyle name="60% - Accent4 2" xfId="106" xr:uid="{34B6C426-54DD-407F-AA58-540319168898}"/>
    <cellStyle name="60% - Accent4 2 2" xfId="107" xr:uid="{F85D5B02-6052-479F-BB09-926DD4C38900}"/>
    <cellStyle name="60% - Accent4 2 3" xfId="108" xr:uid="{01A5D14F-FA7B-45F4-8A72-121A08E746FA}"/>
    <cellStyle name="60% - Accent4 2 4" xfId="735" xr:uid="{9179B821-8CBD-436F-801A-E3EF2FAEB968}"/>
    <cellStyle name="60% - Accent4 2 5" xfId="734" xr:uid="{575D8B7E-DF31-447B-A273-0C941C18D1E0}"/>
    <cellStyle name="60% - Accent4 2 6" xfId="1079" xr:uid="{3D4D3464-EFFF-4BE3-AC37-8A21BA15A5F5}"/>
    <cellStyle name="60% - Accent4 3" xfId="109" xr:uid="{F4A2CB31-99D9-46C8-8151-A0EB7EB596D6}"/>
    <cellStyle name="60% - Accent4 4" xfId="110" xr:uid="{0C12DBE8-4570-4982-8D87-CAD765E95D04}"/>
    <cellStyle name="60% - Accent5 2" xfId="111" xr:uid="{CAC4F9D7-4867-408E-BBA8-B304C582FD74}"/>
    <cellStyle name="60% - Accent5 2 2" xfId="112" xr:uid="{A91BC310-CFC8-4277-BF72-F10069F7A405}"/>
    <cellStyle name="60% - Accent5 2 3" xfId="113" xr:uid="{711D0410-487E-4AF1-B8E1-FBFCF47E68A2}"/>
    <cellStyle name="60% - Accent5 2 4" xfId="733" xr:uid="{32A23602-861B-4319-B92B-40A4B10E42D4}"/>
    <cellStyle name="60% - Accent5 2 5" xfId="732" xr:uid="{D121D07A-88A3-494D-8478-03E080AD3995}"/>
    <cellStyle name="60% - Accent5 2 6" xfId="1080" xr:uid="{39DEE4B0-A120-4D99-AC7D-044E4C4ABA51}"/>
    <cellStyle name="60% - Accent5 3" xfId="114" xr:uid="{B599EF7F-9955-4769-B740-3AF381BDD967}"/>
    <cellStyle name="60% - Accent5 4" xfId="115" xr:uid="{19518522-7054-4DE1-AC12-3D587E9F8B02}"/>
    <cellStyle name="60% - Accent6 2" xfId="116" xr:uid="{E024FDDE-7103-4481-B450-908E8B875176}"/>
    <cellStyle name="60% - Accent6 2 2" xfId="117" xr:uid="{BB3132A3-A99B-41B2-92EF-C55F5558B9A6}"/>
    <cellStyle name="60% - Accent6 2 2 2" xfId="4337" xr:uid="{50C754EA-FEA3-4141-ACF6-B3FBAACD8B83}"/>
    <cellStyle name="60% - Accent6 2 2 3" xfId="4211" xr:uid="{C307E5F0-89FA-4DB2-9ADD-0998409F90D3}"/>
    <cellStyle name="60% - Accent6 2 3" xfId="118" xr:uid="{230E5FB3-3993-40D4-8ACF-87B1C5E1A5E2}"/>
    <cellStyle name="60% - Accent6 2 3 2" xfId="4338" xr:uid="{C41419ED-77C0-4E5F-B494-949AC2770B50}"/>
    <cellStyle name="60% - Accent6 2 3 3" xfId="4212" xr:uid="{0546F5FB-4CBE-4CB3-B0D5-C332866F5164}"/>
    <cellStyle name="60% - Accent6 2 4" xfId="731" xr:uid="{D896DEDD-D078-42E1-B315-4795878CEC13}"/>
    <cellStyle name="60% - Accent6 2 4 2" xfId="4339" xr:uid="{12DFF715-9B14-4E2C-BA1B-044E79B76B3D}"/>
    <cellStyle name="60% - Accent6 2 4 3" xfId="4213" xr:uid="{57BCB381-8C9A-41B3-8118-C0662A8E80E2}"/>
    <cellStyle name="60% - Accent6 2 5" xfId="730" xr:uid="{65F9EBD3-6ABC-4B55-BF70-5794AB224B98}"/>
    <cellStyle name="60% - Accent6 2 6" xfId="1081" xr:uid="{F4BD4262-F5FE-4410-8895-29A55D50E516}"/>
    <cellStyle name="60% - Accent6 2 6 2" xfId="4340" xr:uid="{4A2E9AD1-E655-4616-A808-1EF2420E4418}"/>
    <cellStyle name="60% - Accent6 2 6 3" xfId="4273" xr:uid="{7A7B805C-53FC-485C-A89B-7D4B3FA211A9}"/>
    <cellStyle name="60% - Accent6 3" xfId="119" xr:uid="{C121462C-5BA0-49B4-8D71-1063414F3BB8}"/>
    <cellStyle name="60% - Accent6 3 2" xfId="4341" xr:uid="{3C42FB07-6C12-4101-8A50-2C11B71BA499}"/>
    <cellStyle name="60% - Accent6 3 3" xfId="4214" xr:uid="{8F7E998E-A3CE-4287-9310-B6348F3AA5D6}"/>
    <cellStyle name="60% - Accent6 4" xfId="120" xr:uid="{B767AB45-BBA7-4B4A-BF21-415A3C3D90B5}"/>
    <cellStyle name="60% - Accent6 4 2" xfId="4342" xr:uid="{8BF2DBD6-2F48-4741-AAA8-AD27C5F2EA71}"/>
    <cellStyle name="60% - Accent6 4 3" xfId="4215" xr:uid="{1DE5D8A7-47E6-4D43-BD3C-DD668015CE70}"/>
    <cellStyle name="Accent1 2" xfId="121" xr:uid="{A0177258-2F80-4F36-BF55-6B7DADB8B80F}"/>
    <cellStyle name="Accent1 2 2" xfId="122" xr:uid="{F8C04F9D-3AB3-4BFF-820C-74B65C8E7246}"/>
    <cellStyle name="Accent1 2 3" xfId="123" xr:uid="{A636E663-0C44-4368-AB24-B38F3E2E81BD}"/>
    <cellStyle name="Accent1 2 4" xfId="729" xr:uid="{202082A7-0599-4C91-8D93-F22FA1C428C3}"/>
    <cellStyle name="Accent1 2 5" xfId="728" xr:uid="{9D9FCAD3-C12C-4E63-860B-16F5A8C9B206}"/>
    <cellStyle name="Accent1 2 6" xfId="1082" xr:uid="{90518671-00F3-4CD7-A576-E32D914B8ED6}"/>
    <cellStyle name="Accent1 3" xfId="124" xr:uid="{9F9EE658-A245-4AD1-BF35-F97BB2289E7B}"/>
    <cellStyle name="Accent1 4" xfId="125" xr:uid="{8AA3552D-7BE4-4F59-8060-A390DCDBA0B8}"/>
    <cellStyle name="Accent2 2" xfId="126" xr:uid="{30F7593E-97E1-4DA0-8186-9B46AF828E17}"/>
    <cellStyle name="Accent2 2 2" xfId="127" xr:uid="{C19096EE-1BA0-4346-938B-488C28E0E527}"/>
    <cellStyle name="Accent2 2 3" xfId="128" xr:uid="{5D5F4E3B-C168-46C8-A2F5-002902874556}"/>
    <cellStyle name="Accent2 2 4" xfId="727" xr:uid="{F580FA46-96BC-4B1D-AA71-4C291C68CAC0}"/>
    <cellStyle name="Accent2 2 5" xfId="726" xr:uid="{54B932E3-37DE-42D4-82F1-4ABBE8C81B29}"/>
    <cellStyle name="Accent2 2 6" xfId="1083" xr:uid="{3F337208-CD07-443C-9D49-E663FCE5241D}"/>
    <cellStyle name="Accent2 3" xfId="129" xr:uid="{4355D27A-1328-4C6A-B785-7929C343BB1C}"/>
    <cellStyle name="Accent2 4" xfId="130" xr:uid="{876B0364-812F-4BC4-9B34-3DDB1190C77A}"/>
    <cellStyle name="Accent3 2" xfId="131" xr:uid="{A8868513-DABF-4C36-8DD1-42913CAFCED1}"/>
    <cellStyle name="Accent3 2 2" xfId="132" xr:uid="{1CFAE2F8-39FE-4403-B28E-6560F162C630}"/>
    <cellStyle name="Accent3 2 3" xfId="133" xr:uid="{1BC6FCCB-B252-4D49-9BA2-42C44623ADA0}"/>
    <cellStyle name="Accent3 2 4" xfId="725" xr:uid="{4109FA79-DE9D-49EB-AAD9-CA0778ECFB0F}"/>
    <cellStyle name="Accent3 2 5" xfId="724" xr:uid="{EF6CBEEE-AABD-44EF-AEBA-5CE261D4BE02}"/>
    <cellStyle name="Accent3 2 6" xfId="1084" xr:uid="{6B456919-873C-4BE4-A555-25BC4FDC3807}"/>
    <cellStyle name="Accent3 3" xfId="134" xr:uid="{5A024D64-A181-444C-98CC-0FF7685FEB31}"/>
    <cellStyle name="Accent3 4" xfId="135" xr:uid="{EC19C975-9F9E-4299-BE8F-65B4DAA64E16}"/>
    <cellStyle name="Accent4 2" xfId="136" xr:uid="{21CA8AAE-4587-4C5E-95F5-8CDF05DABFDD}"/>
    <cellStyle name="Accent4 2 2" xfId="137" xr:uid="{8C4FC64D-FB11-44E3-98C0-9471520604C1}"/>
    <cellStyle name="Accent4 2 3" xfId="138" xr:uid="{CBB463DB-ACB9-4959-9BCB-232D72528E84}"/>
    <cellStyle name="Accent4 2 4" xfId="723" xr:uid="{40EAC0F4-D64A-4BCB-8E49-7C601FA72E57}"/>
    <cellStyle name="Accent4 2 5" xfId="722" xr:uid="{A292094E-5F54-48C9-AF8B-9BC46CE48688}"/>
    <cellStyle name="Accent4 2 6" xfId="1086" xr:uid="{38733AFA-A30C-4DD0-B1FC-13623035F8D8}"/>
    <cellStyle name="Accent4 3" xfId="139" xr:uid="{8BA99B0F-5744-40FF-B931-565866CB7EE8}"/>
    <cellStyle name="Accent4 4" xfId="140" xr:uid="{2EA88DED-FEB5-4100-94CE-3E6DBFDE41D6}"/>
    <cellStyle name="Accent5 2" xfId="141" xr:uid="{281DBFEC-A6B2-43B4-90F2-5CAE94A2E369}"/>
    <cellStyle name="Accent5 2 2" xfId="142" xr:uid="{B4918C21-67EA-4968-AB7E-7B71023B75C1}"/>
    <cellStyle name="Accent5 2 3" xfId="143" xr:uid="{E74967FE-25CA-44D3-834F-907B3B7EF3F3}"/>
    <cellStyle name="Accent5 3" xfId="144" xr:uid="{CB48583F-AE59-4112-A216-AC08374A54BA}"/>
    <cellStyle name="Accent5 4" xfId="145" xr:uid="{84F51DCE-3E17-442A-92B9-23F3ABA674D2}"/>
    <cellStyle name="Accent6 2" xfId="146" xr:uid="{7EE1FADD-ED4E-4B17-A75A-8DB9590C0417}"/>
    <cellStyle name="Accent6 2 2" xfId="147" xr:uid="{FA01F715-39AE-43AD-95E4-EBAF9ED9ECB7}"/>
    <cellStyle name="Accent6 2 3" xfId="148" xr:uid="{7B28691E-30D5-4314-9CB4-3D65A84A98E1}"/>
    <cellStyle name="Accent6 2 4" xfId="721" xr:uid="{7B67AD7E-931D-40CF-B74C-AF9FE63FD7E0}"/>
    <cellStyle name="Accent6 2 5" xfId="720" xr:uid="{46A3B3FA-4BA8-4C87-A73B-5E8B8556712C}"/>
    <cellStyle name="Accent6 2 6" xfId="1087" xr:uid="{77A78BA8-2651-44AB-BDF6-DE5BDA0C8E37}"/>
    <cellStyle name="Accent6 3" xfId="149" xr:uid="{8819B698-94AF-44CB-9C78-EF790DF17918}"/>
    <cellStyle name="Accent6 4" xfId="150" xr:uid="{2E05395E-CA7A-4BBD-8FFD-9F6D71E7B53E}"/>
    <cellStyle name="Bad 2" xfId="151" xr:uid="{CB0F7DD9-D0F2-4EAE-9B98-2D3F91E903D9}"/>
    <cellStyle name="Bad 2 2" xfId="152" xr:uid="{A191581B-98EE-470E-A328-12F55079CAC6}"/>
    <cellStyle name="Bad 2 2 2" xfId="4343" xr:uid="{638FC8A6-70C5-4A0B-89EF-D551B697C6AC}"/>
    <cellStyle name="Bad 2 2 3" xfId="4216" xr:uid="{BE58532D-14A7-4333-913B-96C50F0E3C9E}"/>
    <cellStyle name="Bad 2 3" xfId="153" xr:uid="{43AEDF31-510D-4ABB-AFCB-F92595353D3D}"/>
    <cellStyle name="Bad 2 3 2" xfId="4344" xr:uid="{39EB0B00-C032-43D9-B417-A67E379832BF}"/>
    <cellStyle name="Bad 2 3 3" xfId="4217" xr:uid="{54136D69-0725-4A48-9D22-48D24D160E19}"/>
    <cellStyle name="Bad 2 4" xfId="719" xr:uid="{4D6836C8-76A6-4B84-9726-E1C97E643F52}"/>
    <cellStyle name="Bad 2 4 2" xfId="4345" xr:uid="{C89BC316-7919-4B38-8033-22AD26203587}"/>
    <cellStyle name="Bad 2 4 3" xfId="4218" xr:uid="{821C1D3F-BE5E-4CA4-A458-6272D8543594}"/>
    <cellStyle name="Bad 2 5" xfId="718" xr:uid="{162FFCF3-B495-438C-BD55-9935F62FD7E2}"/>
    <cellStyle name="Bad 2 6" xfId="1088" xr:uid="{6E686DA6-8620-4935-B7A5-20EF45CFD9EE}"/>
    <cellStyle name="Bad 2 6 2" xfId="4346" xr:uid="{364B26B2-26EE-483C-B7D5-4087943BB03B}"/>
    <cellStyle name="Bad 2 6 3" xfId="4274" xr:uid="{53991508-C90E-4B8E-AA41-BB32EEE5186D}"/>
    <cellStyle name="Bad 3" xfId="154" xr:uid="{4D95900C-61DD-4618-9A38-F84710D51E29}"/>
    <cellStyle name="Bad 3 2" xfId="4347" xr:uid="{CB5938E0-8F42-4A66-B092-374A581A9512}"/>
    <cellStyle name="Bad 3 3" xfId="4219" xr:uid="{F1B7CAAD-0247-4C36-91AC-43986DA61447}"/>
    <cellStyle name="Bad 4" xfId="155" xr:uid="{93909DA5-E955-4165-B3B5-AE40C3C2E85E}"/>
    <cellStyle name="Bad 4 2" xfId="4348" xr:uid="{6F1046C6-DBD1-4823-A157-413DCF556896}"/>
    <cellStyle name="Bad 4 3" xfId="4220" xr:uid="{33F9B57F-E5D1-44A6-90F4-C37CCE7ED50D}"/>
    <cellStyle name="Calculation 2" xfId="156" xr:uid="{778A55F0-789B-497E-A2B7-5C02D6C245A0}"/>
    <cellStyle name="Calculation 2 2" xfId="157" xr:uid="{3102662C-75BB-4CE6-BFFC-2AF404763FD0}"/>
    <cellStyle name="Calculation 2 3" xfId="158" xr:uid="{F5901044-F274-4FC9-AC1E-E8305667109E}"/>
    <cellStyle name="Calculation 2 4" xfId="717" xr:uid="{923CA601-CBF0-4C6E-9F76-2C96A2B6128B}"/>
    <cellStyle name="Calculation 2 5" xfId="716" xr:uid="{68A4CD42-0461-4804-876A-93E764B286F0}"/>
    <cellStyle name="Calculation 2 6" xfId="1089" xr:uid="{F4D7E9A3-7713-4AE7-81B7-5867FC08313F}"/>
    <cellStyle name="Calculation 3" xfId="159" xr:uid="{FDA9DCA9-81EE-4CB3-B6F0-11B3354E2B31}"/>
    <cellStyle name="Calculation 4" xfId="160" xr:uid="{25974EE0-4109-42D7-A071-194D1B98ED12}"/>
    <cellStyle name="Check Cell 2" xfId="161" xr:uid="{35DF307D-7CB5-4360-B2B2-D4638A029DAC}"/>
    <cellStyle name="Check Cell 2 2" xfId="162" xr:uid="{DDA159A4-B224-4CC8-B155-A3CEAE57823C}"/>
    <cellStyle name="Check Cell 2 3" xfId="163" xr:uid="{C44AAF27-C418-486D-9200-5E31D9487284}"/>
    <cellStyle name="Check Cell 3" xfId="164" xr:uid="{41562CEE-9C62-407B-9E0B-6926F250CA62}"/>
    <cellStyle name="Check Cell 4" xfId="165" xr:uid="{FF0309A4-E93C-4ACB-AD30-1593B88D01C8}"/>
    <cellStyle name="Comma" xfId="1" builtinId="3"/>
    <cellStyle name="Comma 10" xfId="166" xr:uid="{00874D20-59DF-436A-AAB2-2BD2A713C484}"/>
    <cellStyle name="Comma 11" xfId="167" xr:uid="{90320041-EC5D-4B84-9A79-28E4B51B34D9}"/>
    <cellStyle name="Comma 11 2" xfId="715" xr:uid="{27613F8D-F96C-4D8F-8B64-3D235018BFB5}"/>
    <cellStyle name="Comma 11 2 2" xfId="929" xr:uid="{6B3114A9-19DA-43B2-9C28-1FEEC103D115}"/>
    <cellStyle name="Comma 11 2 2 2" xfId="1306" xr:uid="{2996EBE4-5373-49AD-95D7-A7737BAF5A2F}"/>
    <cellStyle name="Comma 11 2 2 2 2" xfId="5351" xr:uid="{D3824157-4121-4E3F-ABC8-68B5E06CB55D}"/>
    <cellStyle name="Comma 11 2 3" xfId="1090" xr:uid="{0871A75C-A365-4E8A-9708-D429A95BB2C7}"/>
    <cellStyle name="Comma 11 2 3 2" xfId="5282" xr:uid="{A8CB6B12-DF22-4BD1-9634-63D98F43106A}"/>
    <cellStyle name="Comma 12" xfId="2887" xr:uid="{409A6562-FD29-4B2B-9136-1EB4C7957651}"/>
    <cellStyle name="Comma 13" xfId="168" xr:uid="{B395B0B8-5EC3-45C3-A79E-7DF72AE5738C}"/>
    <cellStyle name="Comma 14" xfId="169" xr:uid="{49A0D5D0-0949-405E-B25D-CECD5440633B}"/>
    <cellStyle name="Comma 2" xfId="170" xr:uid="{E0255C65-3CD8-4459-A876-4A8762D62332}"/>
    <cellStyle name="Comma 2 2" xfId="171" xr:uid="{224E4D1A-A12A-4398-9239-879C23347B84}"/>
    <cellStyle name="Comma 2 2 2" xfId="172" xr:uid="{A541F2AF-3F9F-4B06-9FD9-B660C39F4DA3}"/>
    <cellStyle name="Comma 2 2 2 2" xfId="714" xr:uid="{AEB264C8-F312-47F3-A7CE-219DADEB6E12}"/>
    <cellStyle name="Comma 2 2 3" xfId="173" xr:uid="{E8E8E01F-1D3B-4F12-BEFB-D7B8B7F8E842}"/>
    <cellStyle name="Comma 2 2 3 2" xfId="713" xr:uid="{9A9E0A89-6D2C-4437-AED8-159AAC003E1E}"/>
    <cellStyle name="Comma 2 2 4" xfId="174" xr:uid="{B2AF1908-21F3-45C7-BDBD-EDD26DD5F573}"/>
    <cellStyle name="Comma 2 2 5" xfId="175" xr:uid="{0FA5B87D-FF0A-41CF-878A-54C208B2F0D1}"/>
    <cellStyle name="Comma 2 3" xfId="176" xr:uid="{FB93E5C0-5AC4-4939-9117-CB291693154B}"/>
    <cellStyle name="Comma 2 3 2" xfId="177" xr:uid="{263EBB7E-C530-4A2A-95ED-A46AB40A2B39}"/>
    <cellStyle name="Comma 2 3 2 2" xfId="712" xr:uid="{CF7D933F-67EE-407F-B611-84C7985B4F75}"/>
    <cellStyle name="Comma 2 3 3" xfId="178" xr:uid="{79F2491D-927F-4A31-914D-572CDD43027C}"/>
    <cellStyle name="Comma 2 3 3 2" xfId="711" xr:uid="{6F91C311-414A-4AEB-92AD-A85A6E729C2F}"/>
    <cellStyle name="Comma 2 3 4" xfId="179" xr:uid="{740225E9-C547-448F-A5A2-4E6AD31D8B3E}"/>
    <cellStyle name="Comma 2 3 5" xfId="180" xr:uid="{DB7058A4-3473-4EE3-A4F0-AA47EE09FEF6}"/>
    <cellStyle name="Comma 2 4" xfId="181" xr:uid="{DA945D01-F029-4357-8D14-1558F5BB6894}"/>
    <cellStyle name="Comma 2 4 2" xfId="182" xr:uid="{B53560C3-8A21-47F6-8B9C-31643F249AC7}"/>
    <cellStyle name="Comma 2 4 2 2" xfId="183" xr:uid="{CB81B372-8A01-4414-838D-75E870441F47}"/>
    <cellStyle name="Comma 2 4 2 3" xfId="184" xr:uid="{BC20E050-BE25-4936-AE6E-1447DCFD59BC}"/>
    <cellStyle name="Comma 2 4 2 4" xfId="710" xr:uid="{E660C4F5-D924-4711-96FD-152DD8BDC567}"/>
    <cellStyle name="Comma 2 4 3" xfId="185" xr:uid="{78AE8451-F258-405D-A63E-DFB6B70883D2}"/>
    <cellStyle name="Comma 2 5" xfId="186" xr:uid="{02C07122-3C74-4FCA-A51D-BE0474AF9FC3}"/>
    <cellStyle name="Comma 2 5 2" xfId="187" xr:uid="{28C412F0-7CD7-428C-8BDA-0E606513D597}"/>
    <cellStyle name="Comma 2 5 2 2" xfId="708" xr:uid="{97268F92-89E6-49BA-9238-7F8D4845CD10}"/>
    <cellStyle name="Comma 2 5 3" xfId="188" xr:uid="{37DE7E79-1036-4D18-9AD8-FD87EA7AA210}"/>
    <cellStyle name="Comma 2 5 4" xfId="189" xr:uid="{D643B1CF-98BA-4606-8531-8AB4450D900E}"/>
    <cellStyle name="Comma 2 5 5" xfId="190" xr:uid="{19D8C27B-74F4-4A4A-910D-FE276DE8442A}"/>
    <cellStyle name="Comma 2 5 6" xfId="709" xr:uid="{341DED46-AAED-437B-B54D-015B7F8C860C}"/>
    <cellStyle name="Comma 2 5 6 2" xfId="969" xr:uid="{2C0A2209-DC1B-4D38-9577-A8174ED63FCC}"/>
    <cellStyle name="Comma 2 5 6 2 2" xfId="4152" xr:uid="{EF0B74F2-DFA9-4673-BE16-F11CCB79B033}"/>
    <cellStyle name="Comma 2 5 6 3" xfId="1092" xr:uid="{5E9A1CB9-1A67-44E2-B73A-244A207A2861}"/>
    <cellStyle name="Comma 2 5 6 3 2" xfId="5284" xr:uid="{63C9963F-1F08-4FF1-84F1-336F31FAE1F2}"/>
    <cellStyle name="Comma 2 5 7" xfId="1091" xr:uid="{D83E5F5D-0BCA-44B0-9946-FA7EA99CBB8F}"/>
    <cellStyle name="Comma 2 5 7 2" xfId="5283" xr:uid="{16A459F2-4911-4B6A-9C10-1666D803B138}"/>
    <cellStyle name="Comma 2 6" xfId="191" xr:uid="{DD04B59A-8101-4C25-BB15-77A5E360AF5B}"/>
    <cellStyle name="Comma 2 6 10" xfId="987" xr:uid="{B30912EB-D2BC-4F79-98AC-2DB09AD25EC1}"/>
    <cellStyle name="Comma 2 6 10 2" xfId="1355" xr:uid="{279BA1D9-4CA9-4747-8EBA-F712A4255EF7}"/>
    <cellStyle name="Comma 2 6 10 2 2" xfId="2335" xr:uid="{F00EA809-D390-46A4-BD84-74A8C208DCEF}"/>
    <cellStyle name="Comma 2 6 10 2 2 2" xfId="6900" xr:uid="{4251B655-0052-4C80-967D-047CF727486A}"/>
    <cellStyle name="Comma 2 6 10 2 3" xfId="5357" xr:uid="{C6DB807D-085D-4DCA-9799-FE56B2372B05}"/>
    <cellStyle name="Comma 2 6 10 2 3 2" xfId="9535" xr:uid="{AD072876-9174-4F9F-94AE-21D019699284}"/>
    <cellStyle name="Comma 2 6 10 2 4" xfId="5921" xr:uid="{107A146D-370E-496F-B8AE-13130EED876F}"/>
    <cellStyle name="Comma 2 6 10 3" xfId="1589" xr:uid="{9D68E833-6CD1-4BD1-A74D-02F7070D5AB8}"/>
    <cellStyle name="Comma 2 6 10 3 2" xfId="2569" xr:uid="{886E95B7-241F-44B9-A831-F17C3C511452}"/>
    <cellStyle name="Comma 2 6 10 3 2 2" xfId="7134" xr:uid="{4FED3F67-CC19-4836-AE19-257E27B632C9}"/>
    <cellStyle name="Comma 2 6 10 3 3" xfId="5397" xr:uid="{D0BDCECF-B4CD-404B-A584-0397F33565F3}"/>
    <cellStyle name="Comma 2 6 10 3 3 2" xfId="9574" xr:uid="{65244EA3-A544-45A7-8504-CF183ADA7823}"/>
    <cellStyle name="Comma 2 6 10 3 4" xfId="6155" xr:uid="{38FD06D7-6C4C-4CED-B3EA-D4F4BD4E00E7}"/>
    <cellStyle name="Comma 2 6 10 4" xfId="1823" xr:uid="{71E4E33F-3D17-4DC3-988F-4DA914BA8295}"/>
    <cellStyle name="Comma 2 6 10 4 2" xfId="2802" xr:uid="{5AAF668A-6441-4794-9A15-2C4FB1E39398}"/>
    <cellStyle name="Comma 2 6 10 4 2 2" xfId="7367" xr:uid="{C163AF21-D5CF-4B0C-B4F9-9744FF66A68F}"/>
    <cellStyle name="Comma 2 6 10 4 3" xfId="5450" xr:uid="{E0519443-CF59-43A4-99F7-F0BDC39D2109}"/>
    <cellStyle name="Comma 2 6 10 4 3 2" xfId="9626" xr:uid="{11BEBCC1-B315-43A8-9A81-703799EE91AF}"/>
    <cellStyle name="Comma 2 6 10 4 4" xfId="6388" xr:uid="{2D333AF4-046B-474C-BBBF-9EE949FFFACC}"/>
    <cellStyle name="Comma 2 6 10 5" xfId="2060" xr:uid="{FF0F0D07-821C-4DBE-B600-C1D0F90403C0}"/>
    <cellStyle name="Comma 2 6 10 5 2" xfId="6625" xr:uid="{BAF01D45-28C8-48E3-8044-535D18DD3D5E}"/>
    <cellStyle name="Comma 2 6 10 6" xfId="5269" xr:uid="{EA49C435-7C2A-4CDE-AB50-31F3395936FB}"/>
    <cellStyle name="Comma 2 6 10 6 2" xfId="9491" xr:uid="{1EDA08EE-3D91-4241-B68C-177AA40C4B9F}"/>
    <cellStyle name="Comma 2 6 10 7" xfId="5646" xr:uid="{A544CA9D-BF02-416D-B6B3-CC84B889D497}"/>
    <cellStyle name="Comma 2 6 11" xfId="1093" xr:uid="{5CB05CD2-7C86-4575-A3C5-06F48E4CE313}"/>
    <cellStyle name="Comma 2 6 11 2" xfId="2137" xr:uid="{6873BDBD-E03A-474D-B71D-8F35BC54B24B}"/>
    <cellStyle name="Comma 2 6 11 2 2" xfId="6702" xr:uid="{A164B096-9A42-4F30-8207-6A73B15DC4D1}"/>
    <cellStyle name="Comma 2 6 11 3" xfId="5285" xr:uid="{B6600157-EA13-46B3-968C-71D8027290A9}"/>
    <cellStyle name="Comma 2 6 11 3 2" xfId="9504" xr:uid="{43E4A01B-B936-412D-A62F-9BE8F2BD6D4B}"/>
    <cellStyle name="Comma 2 6 11 4" xfId="5723" xr:uid="{CB5020A3-977C-44CC-A396-B0B556B85EBA}"/>
    <cellStyle name="Comma 2 6 12" xfId="1195" xr:uid="{F4F07C35-16A4-485D-A698-59E3049A983C}"/>
    <cellStyle name="Comma 2 6 12 2" xfId="2181" xr:uid="{8B5397BA-361D-431F-B4AB-89E32B37F031}"/>
    <cellStyle name="Comma 2 6 12 2 2" xfId="6746" xr:uid="{08DC1052-B481-403E-B4A7-1678B737F0A9}"/>
    <cellStyle name="Comma 2 6 12 3" xfId="5325" xr:uid="{5D5F6659-FDB3-42FF-9078-5644CF569ABD}"/>
    <cellStyle name="Comma 2 6 12 3 2" xfId="9511" xr:uid="{7A542185-9B0C-42A4-A668-9AF8C71E8458}"/>
    <cellStyle name="Comma 2 6 12 4" xfId="5767" xr:uid="{343073BD-1107-4A36-B388-1EF32F9D72DD}"/>
    <cellStyle name="Comma 2 6 13" xfId="1435" xr:uid="{D27C4F03-5A1F-4152-8EE3-03046A595C11}"/>
    <cellStyle name="Comma 2 6 13 2" xfId="2415" xr:uid="{84DA7120-AC9C-4F7F-B6D8-399817965AA4}"/>
    <cellStyle name="Comma 2 6 13 2 2" xfId="6980" xr:uid="{F51A3715-F467-4068-A22E-96C2D338171F}"/>
    <cellStyle name="Comma 2 6 13 3" xfId="5372" xr:uid="{5D79F95B-AFD9-43C0-A424-7D45E82CB836}"/>
    <cellStyle name="Comma 2 6 13 3 2" xfId="9550" xr:uid="{C8333D38-4E17-448B-82BF-6EB080438463}"/>
    <cellStyle name="Comma 2 6 13 4" xfId="6001" xr:uid="{BFC51A3B-E54A-4731-967A-AA83FF594C82}"/>
    <cellStyle name="Comma 2 6 14" xfId="1686" xr:uid="{A2982A10-DD05-49A3-809F-10C09A3143D3}"/>
    <cellStyle name="Comma 2 6 14 2" xfId="2666" xr:uid="{59BB2B90-7BF5-4146-ADD5-792C8A73ABBA}"/>
    <cellStyle name="Comma 2 6 14 2 2" xfId="7231" xr:uid="{B49CBE44-40C1-4E39-916D-05C938B28E3B}"/>
    <cellStyle name="Comma 2 6 14 3" xfId="5417" xr:uid="{7E9B523F-DCE3-43A3-8E20-EF0EED7FDFE9}"/>
    <cellStyle name="Comma 2 6 14 3 2" xfId="9594" xr:uid="{98BB16E6-3809-443D-946C-1AE680525923}"/>
    <cellStyle name="Comma 2 6 14 4" xfId="6252" xr:uid="{515F174B-9CDD-4B9E-8DB6-E2D66C5DD82F}"/>
    <cellStyle name="Comma 2 6 15" xfId="1906" xr:uid="{F809710B-967B-42E3-939B-05525F9A033D}"/>
    <cellStyle name="Comma 2 6 15 2" xfId="6471" xr:uid="{93F6A015-392D-4C5F-8B75-5F8070F97ACF}"/>
    <cellStyle name="Comma 2 6 16" xfId="5492" xr:uid="{4EE8158F-B302-46C8-A621-21B0213CD59D}"/>
    <cellStyle name="Comma 2 6 2" xfId="192" xr:uid="{45C4585D-95B9-48D8-BFB1-6FA598F89F2C}"/>
    <cellStyle name="Comma 2 6 2 10" xfId="2888" xr:uid="{10EBD612-4BD9-48A8-BEB9-7F8BB2102BF1}"/>
    <cellStyle name="Comma 2 6 2 10 2" xfId="7452" xr:uid="{DEF38A83-1FA1-4037-866C-DBFC9D1AFE55}"/>
    <cellStyle name="Comma 2 6 2 11" xfId="5493" xr:uid="{55B68D90-4E5D-418A-9257-9D849641292F}"/>
    <cellStyle name="Comma 2 6 2 2" xfId="842" xr:uid="{3C3B6BFD-F5D9-4451-97F8-7CC2E746CD63}"/>
    <cellStyle name="Comma 2 6 2 2 2" xfId="948" xr:uid="{9E182DF2-17FB-4EC9-ACC8-157CDEC3FEF1}"/>
    <cellStyle name="Comma 2 6 2 2 2 2" xfId="1321" xr:uid="{83895096-AE65-4389-A366-A8BE806F6069}"/>
    <cellStyle name="Comma 2 6 2 2 2 2 2" xfId="2301" xr:uid="{A58BBAFF-A85C-4EF0-BB0A-2BC01547E324}"/>
    <cellStyle name="Comma 2 6 2 2 2 2 2 2" xfId="4686" xr:uid="{B8987CCC-09F8-4F27-A2A1-E6FADACB97C4}"/>
    <cellStyle name="Comma 2 6 2 2 2 2 2 2 2" xfId="8932" xr:uid="{F6A41BDE-D803-46FB-B43E-61570B1C754E}"/>
    <cellStyle name="Comma 2 6 2 2 2 2 2 3" xfId="6866" xr:uid="{A5D5B638-BF5C-4B56-B519-ED18415B3969}"/>
    <cellStyle name="Comma 2 6 2 2 2 2 3" xfId="3554" xr:uid="{75CACFB6-68FD-4C0D-861C-27B8E882D2E1}"/>
    <cellStyle name="Comma 2 6 2 2 2 2 3 2" xfId="8021" xr:uid="{E6C4AD87-0D60-43A3-BD27-11801BF1BE3C}"/>
    <cellStyle name="Comma 2 6 2 2 2 2 4" xfId="5887" xr:uid="{FC57FBC6-D0F2-480B-8C2D-70BEAFBE2C89}"/>
    <cellStyle name="Comma 2 6 2 2 2 3" xfId="1555" xr:uid="{EA9D8B40-0F44-4E58-B450-39B88FA195A8}"/>
    <cellStyle name="Comma 2 6 2 2 2 3 2" xfId="2535" xr:uid="{3CE12281-3F35-4F50-B47B-947C9DC7B37D}"/>
    <cellStyle name="Comma 2 6 2 2 2 3 2 2" xfId="5062" xr:uid="{AF0AC7E2-BDA7-4301-8030-1602E4E0EE4A}"/>
    <cellStyle name="Comma 2 6 2 2 2 3 2 2 2" xfId="9288" xr:uid="{8094D762-3B68-42CC-9D1E-6406B41C9466}"/>
    <cellStyle name="Comma 2 6 2 2 2 3 2 3" xfId="7100" xr:uid="{F493E8D5-A204-4550-839B-A15177DA46DD}"/>
    <cellStyle name="Comma 2 6 2 2 2 3 3" xfId="3960" xr:uid="{24525506-751F-4EBA-926D-F300D8ABB415}"/>
    <cellStyle name="Comma 2 6 2 2 2 3 3 2" xfId="8409" xr:uid="{E607B1E3-3192-4ECC-B4AD-A05F9D996EA1}"/>
    <cellStyle name="Comma 2 6 2 2 2 3 4" xfId="6121" xr:uid="{308281D9-2B94-4B35-8281-5BD801AEEDFD}"/>
    <cellStyle name="Comma 2 6 2 2 2 4" xfId="1789" xr:uid="{B6A382EE-71BC-4E86-B50E-12CB627BD3C5}"/>
    <cellStyle name="Comma 2 6 2 2 2 4 2" xfId="2768" xr:uid="{2BBDB2F2-35D2-4D44-AB45-89C2B0DFF665}"/>
    <cellStyle name="Comma 2 6 2 2 2 4 2 2" xfId="7333" xr:uid="{1806E05C-BE2D-4A6B-BCB7-B81A5242F967}"/>
    <cellStyle name="Comma 2 6 2 2 2 4 3" xfId="4460" xr:uid="{61833482-5AC7-49EE-9ADC-BB3EF622A8A3}"/>
    <cellStyle name="Comma 2 6 2 2 2 4 3 2" xfId="8737" xr:uid="{01B8FB8D-B57A-4BBB-972E-6C01340BD22C}"/>
    <cellStyle name="Comma 2 6 2 2 2 4 4" xfId="6354" xr:uid="{5A7EFDF1-B410-49F2-B825-C217283ECD4E}"/>
    <cellStyle name="Comma 2 6 2 2 2 5" xfId="2026" xr:uid="{28F69997-5B63-42EA-9B74-E170C3B60800}"/>
    <cellStyle name="Comma 2 6 2 2 2 5 2" xfId="6591" xr:uid="{CCAAA6DA-CE75-46E8-B3B6-EE97EA0365A5}"/>
    <cellStyle name="Comma 2 6 2 2 2 6" xfId="3138" xr:uid="{09275DD9-A615-4D55-84DC-6BBE8C551801}"/>
    <cellStyle name="Comma 2 6 2 2 2 6 2" xfId="7633" xr:uid="{926C163B-EA1B-43A7-9922-BEA63A80F06E}"/>
    <cellStyle name="Comma 2 6 2 2 2 7" xfId="5612" xr:uid="{927466D0-2A0B-4925-B604-D0C1753327BB}"/>
    <cellStyle name="Comma 2 6 2 2 3" xfId="1030" xr:uid="{FF2A80EE-E711-4E71-A47E-1923070BEC29}"/>
    <cellStyle name="Comma 2 6 2 2 3 2" xfId="1398" xr:uid="{0B139E06-C736-4D3B-B05D-DF629D208873}"/>
    <cellStyle name="Comma 2 6 2 2 3 2 2" xfId="2378" xr:uid="{64423288-8280-437C-BFD8-F98102C97F06}"/>
    <cellStyle name="Comma 2 6 2 2 3 2 2 2" xfId="5167" xr:uid="{F71D2DC0-F021-48DF-A311-3E77A670E6A1}"/>
    <cellStyle name="Comma 2 6 2 2 3 2 2 2 2" xfId="9392" xr:uid="{174EF627-90C1-420A-96EF-40D8B416BE68}"/>
    <cellStyle name="Comma 2 6 2 2 3 2 2 3" xfId="6943" xr:uid="{CD6C1DEB-3577-4646-8F1C-2980AA2EF5B1}"/>
    <cellStyle name="Comma 2 6 2 2 3 2 3" xfId="3659" xr:uid="{9D68E6DE-6D31-4E7C-8590-0909A2E50956}"/>
    <cellStyle name="Comma 2 6 2 2 3 2 3 2" xfId="8126" xr:uid="{6555A25C-2F38-4374-9207-7312B918928F}"/>
    <cellStyle name="Comma 2 6 2 2 3 2 4" xfId="5964" xr:uid="{6FBADC0D-A7D6-47FB-9FEF-5890E31F041F}"/>
    <cellStyle name="Comma 2 6 2 2 3 3" xfId="1632" xr:uid="{1D036BA9-26FD-48A0-8F4E-9E4393C95530}"/>
    <cellStyle name="Comma 2 6 2 2 3 3 2" xfId="2612" xr:uid="{CB4548AF-BAD5-47A5-A21C-90D2745C92B4}"/>
    <cellStyle name="Comma 2 6 2 2 3 3 2 2" xfId="7177" xr:uid="{0D39735E-AD00-40FC-9EAA-9C640C161104}"/>
    <cellStyle name="Comma 2 6 2 2 3 3 3" xfId="4065" xr:uid="{7344EEB0-360A-48E7-8FDB-4B9AC1DB3CB3}"/>
    <cellStyle name="Comma 2 6 2 2 3 3 3 2" xfId="8514" xr:uid="{D087792E-172C-4A38-A53A-D486B8921917}"/>
    <cellStyle name="Comma 2 6 2 2 3 3 4" xfId="6198" xr:uid="{5B797F9A-E989-4178-B141-D3772BFF5C92}"/>
    <cellStyle name="Comma 2 6 2 2 3 4" xfId="1866" xr:uid="{AFCD4CB0-ECA1-47C1-93CA-57391C1F7F79}"/>
    <cellStyle name="Comma 2 6 2 2 3 4 2" xfId="2845" xr:uid="{BD804052-5FFF-461E-9E1F-9DC8BCFDBAC7}"/>
    <cellStyle name="Comma 2 6 2 2 3 4 2 2" xfId="7410" xr:uid="{6943EF59-E149-4F44-A083-D9CFB4F1B7BD}"/>
    <cellStyle name="Comma 2 6 2 2 3 4 3" xfId="4602" xr:uid="{2D4F7FA0-CA33-4D42-8C55-E292D55C35F6}"/>
    <cellStyle name="Comma 2 6 2 2 3 4 3 2" xfId="8854" xr:uid="{6A0665A7-6DA0-4B3F-A4DF-F63EBD4CC8A9}"/>
    <cellStyle name="Comma 2 6 2 2 3 4 4" xfId="6431" xr:uid="{70930710-ABA6-4105-8EED-7AA8413AF0F6}"/>
    <cellStyle name="Comma 2 6 2 2 3 5" xfId="2103" xr:uid="{687612DB-5204-442E-BA75-65DACA86A273}"/>
    <cellStyle name="Comma 2 6 2 2 3 5 2" xfId="6668" xr:uid="{70E1EA96-926D-4735-AC35-572CA0A98280}"/>
    <cellStyle name="Comma 2 6 2 2 3 6" xfId="3244" xr:uid="{FD4C9C5E-AE9A-45D3-82D9-8A45CF98A40C}"/>
    <cellStyle name="Comma 2 6 2 2 3 6 2" xfId="7738" xr:uid="{B73DA77F-3681-423F-9704-EF2D903B9BAB}"/>
    <cellStyle name="Comma 2 6 2 2 3 7" xfId="5689" xr:uid="{2648E20B-4D4A-4379-9CA6-5DEE4E0C5570}"/>
    <cellStyle name="Comma 2 6 2 2 4" xfId="1242" xr:uid="{BC81314E-5E6F-4B78-B1BF-F9A14047CF30}"/>
    <cellStyle name="Comma 2 6 2 2 4 2" xfId="2224" xr:uid="{ECC92DAF-A134-46F4-8B9B-601316B5EE68}"/>
    <cellStyle name="Comma 2 6 2 2 4 2 2" xfId="4959" xr:uid="{082C7FBA-78D8-45A0-9D27-21C800F8714F}"/>
    <cellStyle name="Comma 2 6 2 2 4 2 2 2" xfId="9189" xr:uid="{9F36BCFE-47A8-4BA3-9F62-A599B043BBDB}"/>
    <cellStyle name="Comma 2 6 2 2 4 2 3" xfId="3448" xr:uid="{F5B7FC82-305E-4BC9-A8A3-D71BE275D90C}"/>
    <cellStyle name="Comma 2 6 2 2 4 2 3 2" xfId="7916" xr:uid="{CDCDE44F-21FC-459F-89D6-71E33FED158C}"/>
    <cellStyle name="Comma 2 6 2 2 4 2 4" xfId="6789" xr:uid="{429C6C5B-0A4F-4548-9BC5-67A04A64F9BA}"/>
    <cellStyle name="Comma 2 6 2 2 4 3" xfId="3855" xr:uid="{4A3AF4F9-1215-4F55-93FD-C6802181651F}"/>
    <cellStyle name="Comma 2 6 2 2 4 3 2" xfId="8304" xr:uid="{63BCE1C3-7D65-46AE-BB5B-8149B5F8A120}"/>
    <cellStyle name="Comma 2 6 2 2 4 4" xfId="4549" xr:uid="{69622B7C-3732-44E2-8B5F-C67C936B80CB}"/>
    <cellStyle name="Comma 2 6 2 2 4 4 2" xfId="8806" xr:uid="{EB2A0299-4F5B-4A8E-BAA5-AADC0399E7D8}"/>
    <cellStyle name="Comma 2 6 2 2 4 5" xfId="2998" xr:uid="{F4B29130-E236-4BCD-8447-CF1153772A67}"/>
    <cellStyle name="Comma 2 6 2 2 4 5 2" xfId="7528" xr:uid="{734481DF-3548-4966-A25D-868A93C93A56}"/>
    <cellStyle name="Comma 2 6 2 2 4 6" xfId="5810" xr:uid="{46A4099E-9EE7-454E-8208-6B37183BE334}"/>
    <cellStyle name="Comma 2 6 2 2 5" xfId="1478" xr:uid="{6697EFFC-5D57-492C-8CCD-ACC648124E0D}"/>
    <cellStyle name="Comma 2 6 2 2 5 2" xfId="2458" xr:uid="{B32FA01D-C509-4FB7-B743-6660C40BEA78}"/>
    <cellStyle name="Comma 2 6 2 2 5 2 2" xfId="4968" xr:uid="{AE7E32FD-CE07-4B1D-BF65-3D97AA372EAF}"/>
    <cellStyle name="Comma 2 6 2 2 5 2 2 2" xfId="9198" xr:uid="{333C0418-9674-4A1D-9802-67DD9B831A62}"/>
    <cellStyle name="Comma 2 6 2 2 5 2 3" xfId="7023" xr:uid="{7013DB67-B3B3-4C91-B599-FEFA3C03896C}"/>
    <cellStyle name="Comma 2 6 2 2 5 3" xfId="3406" xr:uid="{9945985E-A344-458C-B3F7-007AE9FE384C}"/>
    <cellStyle name="Comma 2 6 2 2 5 3 2" xfId="7874" xr:uid="{82BD2EE3-0EA2-4E8D-9D08-771FCC3D1BFB}"/>
    <cellStyle name="Comma 2 6 2 2 5 4" xfId="6044" xr:uid="{EA53E8B6-7208-4ACE-8D39-0CB032ACA009}"/>
    <cellStyle name="Comma 2 6 2 2 6" xfId="1661" xr:uid="{E633F2FF-FBC7-484C-BFEB-EB8EC0DE8C3B}"/>
    <cellStyle name="Comma 2 6 2 2 6 2" xfId="2641" xr:uid="{9D4F855B-38D5-42CB-9492-F337EA0DD79D}"/>
    <cellStyle name="Comma 2 6 2 2 6 2 2" xfId="7206" xr:uid="{626221E7-6156-494B-B53F-03042387D9AA}"/>
    <cellStyle name="Comma 2 6 2 2 6 3" xfId="3813" xr:uid="{D8032D61-6A5F-4F98-B244-7E4629C6B3DB}"/>
    <cellStyle name="Comma 2 6 2 2 6 3 2" xfId="8262" xr:uid="{3C6DD9A4-B960-4D60-96A3-DE65F82101E8}"/>
    <cellStyle name="Comma 2 6 2 2 6 4" xfId="6227" xr:uid="{F38C4988-85D8-4060-9C19-252F82B73A20}"/>
    <cellStyle name="Comma 2 6 2 2 7" xfId="1949" xr:uid="{B40DA203-D999-4E3C-9ECE-CC56CEA6B296}"/>
    <cellStyle name="Comma 2 6 2 2 7 2" xfId="4349" xr:uid="{09A85BC8-57E7-4B1A-8FD2-E16E5BAA37F7}"/>
    <cellStyle name="Comma 2 6 2 2 7 2 2" xfId="8665" xr:uid="{E1BC8172-4113-441A-BE82-D1A6693F924E}"/>
    <cellStyle name="Comma 2 6 2 2 7 3" xfId="6514" xr:uid="{1A6AADF7-3099-4744-B83E-A6433934E5D3}"/>
    <cellStyle name="Comma 2 6 2 2 8" xfId="2924" xr:uid="{1CDBB5D2-D620-4A48-A367-39CADDAECB37}"/>
    <cellStyle name="Comma 2 6 2 2 8 2" xfId="7486" xr:uid="{C0745339-55B7-4503-8B53-084705936836}"/>
    <cellStyle name="Comma 2 6 2 2 9" xfId="5535" xr:uid="{1448E378-04FD-40CC-A91C-C0B4B8C87F3B}"/>
    <cellStyle name="Comma 2 6 2 3" xfId="882" xr:uid="{24234674-B9FE-4AA9-A318-262DCD1D5ED3}"/>
    <cellStyle name="Comma 2 6 2 3 2" xfId="1277" xr:uid="{099649DB-F7A2-4DF8-8CC0-750A467BD62C}"/>
    <cellStyle name="Comma 2 6 2 3 2 2" xfId="2259" xr:uid="{504D36C6-AC92-4DB7-8AF0-39857B621FF4}"/>
    <cellStyle name="Comma 2 6 2 3 2 2 2" xfId="5093" xr:uid="{6AF623B0-169B-49C1-916B-5E726630FB4D}"/>
    <cellStyle name="Comma 2 6 2 3 2 2 2 2" xfId="9318" xr:uid="{7ABCC917-A0A0-4B7E-9F4D-A341C6CFDFF5}"/>
    <cellStyle name="Comma 2 6 2 3 2 2 3" xfId="3585" xr:uid="{19B0C42B-532C-47B1-B819-BC8ABAB7A7E8}"/>
    <cellStyle name="Comma 2 6 2 3 2 2 3 2" xfId="8052" xr:uid="{42CF5F8C-98B3-4C30-A1C6-36270A4E8248}"/>
    <cellStyle name="Comma 2 6 2 3 2 2 4" xfId="6824" xr:uid="{4ADBADD1-B9F7-4A45-9843-81AFAAD78612}"/>
    <cellStyle name="Comma 2 6 2 3 2 3" xfId="3991" xr:uid="{E0980AE8-1AAD-40EA-A729-8D275E9986D0}"/>
    <cellStyle name="Comma 2 6 2 3 2 3 2" xfId="8440" xr:uid="{91A80486-2BF6-431A-A285-4625B8105007}"/>
    <cellStyle name="Comma 2 6 2 3 2 4" xfId="4710" xr:uid="{CAA43135-B54A-4677-B632-1E481011B9CA}"/>
    <cellStyle name="Comma 2 6 2 3 2 4 2" xfId="8956" xr:uid="{1C358ABB-3070-4D12-BB2E-8F82AC0DC090}"/>
    <cellStyle name="Comma 2 6 2 3 2 5" xfId="3169" xr:uid="{5D9757D4-7F1E-4FF4-A3BC-D5516FA756F8}"/>
    <cellStyle name="Comma 2 6 2 3 2 5 2" xfId="7664" xr:uid="{633665ED-1A31-4201-A313-EE10BBB8DB51}"/>
    <cellStyle name="Comma 2 6 2 3 2 6" xfId="5845" xr:uid="{2C76D95F-18AE-4353-B4F5-1403591571F2}"/>
    <cellStyle name="Comma 2 6 2 3 3" xfId="1513" xr:uid="{1C8A5485-5531-4A16-A31C-94596774F6CF}"/>
    <cellStyle name="Comma 2 6 2 3 3 2" xfId="2493" xr:uid="{4015E8D8-EA42-478B-822C-FD0C1A0EF6E4}"/>
    <cellStyle name="Comma 2 6 2 3 3 2 2" xfId="5198" xr:uid="{BE6FEF54-CB6C-4E83-9598-B969E3F30066}"/>
    <cellStyle name="Comma 2 6 2 3 3 2 2 2" xfId="9423" xr:uid="{CD8A930A-C35F-4959-BCD3-E09402E46C93}"/>
    <cellStyle name="Comma 2 6 2 3 3 2 3" xfId="3690" xr:uid="{79D23275-C0B5-4335-A646-C85DBD4649A4}"/>
    <cellStyle name="Comma 2 6 2 3 3 2 3 2" xfId="8157" xr:uid="{1944849F-52C2-47C8-BCB5-A7CBC2B7777A}"/>
    <cellStyle name="Comma 2 6 2 3 3 2 4" xfId="7058" xr:uid="{BCCE7D4F-2185-47C0-9C5E-2B567533E910}"/>
    <cellStyle name="Comma 2 6 2 3 3 3" xfId="4096" xr:uid="{EF03C39F-8A1F-4543-921D-34FF743DE29A}"/>
    <cellStyle name="Comma 2 6 2 3 3 3 2" xfId="8545" xr:uid="{9DBD138A-8E11-47A5-A7D9-7F9CA629F968}"/>
    <cellStyle name="Comma 2 6 2 3 3 4" xfId="4804" xr:uid="{2F241474-0C20-4657-9878-0578CDA87F55}"/>
    <cellStyle name="Comma 2 6 2 3 3 4 2" xfId="9050" xr:uid="{D5EEE6F9-3D47-4109-B919-81D603BB76E7}"/>
    <cellStyle name="Comma 2 6 2 3 3 5" xfId="3276" xr:uid="{61434EF6-1228-4849-9F4F-D8CDF18FF4E4}"/>
    <cellStyle name="Comma 2 6 2 3 3 5 2" xfId="7769" xr:uid="{C7C9F74E-7195-48B9-A924-2FA443EC00DE}"/>
    <cellStyle name="Comma 2 6 2 3 3 6" xfId="6079" xr:uid="{0B398029-F7E6-4763-922B-1D60A81FB39B}"/>
    <cellStyle name="Comma 2 6 2 3 4" xfId="1747" xr:uid="{76352BE3-F1F0-45BE-849C-FCA0227DE112}"/>
    <cellStyle name="Comma 2 6 2 3 4 2" xfId="2726" xr:uid="{C8D8027A-10BC-4862-85E6-1F5658F493ED}"/>
    <cellStyle name="Comma 2 6 2 3 4 2 2" xfId="4857" xr:uid="{31FC1929-7D51-4F23-8FB1-D0D59FEC7F07}"/>
    <cellStyle name="Comma 2 6 2 3 4 2 2 2" xfId="9092" xr:uid="{81892503-5E80-4949-B7C8-C23EB949329F}"/>
    <cellStyle name="Comma 2 6 2 3 4 2 3" xfId="7291" xr:uid="{BFC397A3-C64E-44CF-9C52-D3F9D9DA1066}"/>
    <cellStyle name="Comma 2 6 2 3 4 3" xfId="3480" xr:uid="{44E473EE-A36A-4FD2-9963-B97DABA223B5}"/>
    <cellStyle name="Comma 2 6 2 3 4 3 2" xfId="7947" xr:uid="{1F0D3CA7-F51E-4538-98C9-0D4197522DAB}"/>
    <cellStyle name="Comma 2 6 2 3 4 4" xfId="6312" xr:uid="{1322E2C8-1388-44F8-860D-193B8AAF8C82}"/>
    <cellStyle name="Comma 2 6 2 3 5" xfId="1984" xr:uid="{9BD0F677-B144-4453-AC69-AC8CA88190A9}"/>
    <cellStyle name="Comma 2 6 2 3 5 2" xfId="3886" xr:uid="{D071FFE9-C195-42CB-89B3-1275C5D136EE}"/>
    <cellStyle name="Comma 2 6 2 3 5 2 2" xfId="8335" xr:uid="{78235B27-DBAC-4393-B6A8-F55AFB9BFE79}"/>
    <cellStyle name="Comma 2 6 2 3 5 3" xfId="6549" xr:uid="{F8E9881A-50F6-4602-A9CF-350C36287494}"/>
    <cellStyle name="Comma 2 6 2 3 6" xfId="4633" xr:uid="{CF1450B3-6AD7-48DF-A234-AAA9E384D34C}"/>
    <cellStyle name="Comma 2 6 2 3 6 2" xfId="8879" xr:uid="{8B8AEF3F-2A4A-4CB0-9E60-2708FB9D8902}"/>
    <cellStyle name="Comma 2 6 2 3 7" xfId="3049" xr:uid="{291E241E-7BB4-4E6D-B1C9-C9197907C9A7}"/>
    <cellStyle name="Comma 2 6 2 3 7 2" xfId="7559" xr:uid="{E89C05E0-47B5-483C-BB10-0E80C3D06272}"/>
    <cellStyle name="Comma 2 6 2 3 8" xfId="5570" xr:uid="{EA29E5CE-3E49-43B0-B9ED-B0F54A8FE05F}"/>
    <cellStyle name="Comma 2 6 2 4" xfId="988" xr:uid="{6CA02052-802A-49D8-A569-25080A06C8CC}"/>
    <cellStyle name="Comma 2 6 2 4 2" xfId="1356" xr:uid="{C10C340D-91D3-43D2-8B69-66D3A2AB8213}"/>
    <cellStyle name="Comma 2 6 2 4 2 2" xfId="2336" xr:uid="{EF298AD2-6031-49EC-8C74-DEC1DCE24BA7}"/>
    <cellStyle name="Comma 2 6 2 4 2 2 2" xfId="5127" xr:uid="{10D2420E-089E-4E37-931F-6E9B1CD89B6C}"/>
    <cellStyle name="Comma 2 6 2 4 2 2 2 2" xfId="9352" xr:uid="{94980A92-A717-431E-8A43-59193710AFDC}"/>
    <cellStyle name="Comma 2 6 2 4 2 2 3" xfId="3619" xr:uid="{A8DAD853-6A69-44BF-97A2-BDDE5FE87798}"/>
    <cellStyle name="Comma 2 6 2 4 2 2 3 2" xfId="8086" xr:uid="{F9946A51-6F7B-416D-BA4D-C7BA96267BB8}"/>
    <cellStyle name="Comma 2 6 2 4 2 2 4" xfId="6901" xr:uid="{25727E92-45D5-4396-B765-B9E81E837D76}"/>
    <cellStyle name="Comma 2 6 2 4 2 3" xfId="4025" xr:uid="{BA5BA98C-0F83-42ED-8EAB-3ADCD7005732}"/>
    <cellStyle name="Comma 2 6 2 4 2 3 2" xfId="8474" xr:uid="{89BB3AFD-BD7F-43CB-84FE-97099FEC94DA}"/>
    <cellStyle name="Comma 2 6 2 4 2 4" xfId="4743" xr:uid="{AD09FE2F-CA4F-4B0D-9083-617D20B5E123}"/>
    <cellStyle name="Comma 2 6 2 4 2 4 2" xfId="8989" xr:uid="{7F18F1C1-C092-4801-BE5D-455F506A0673}"/>
    <cellStyle name="Comma 2 6 2 4 2 5" xfId="3203" xr:uid="{F6E36B2B-5A47-45AA-A539-64A93A284BCF}"/>
    <cellStyle name="Comma 2 6 2 4 2 5 2" xfId="7698" xr:uid="{7FF1D1D7-A437-4D6D-BFEA-BE3E2CE79580}"/>
    <cellStyle name="Comma 2 6 2 4 2 6" xfId="5922" xr:uid="{F7AFE002-81B1-4233-9204-64D70E20CBC9}"/>
    <cellStyle name="Comma 2 6 2 4 3" xfId="1590" xr:uid="{888873D9-64A3-4BEC-B856-3C835912A8CE}"/>
    <cellStyle name="Comma 2 6 2 4 3 2" xfId="2570" xr:uid="{0E4C2A04-C794-4CE5-842E-9B3C3B324D91}"/>
    <cellStyle name="Comma 2 6 2 4 3 2 2" xfId="5232" xr:uid="{9B876678-6C55-421F-92AF-327F8FF1AEF5}"/>
    <cellStyle name="Comma 2 6 2 4 3 2 2 2" xfId="9457" xr:uid="{5AD2AB44-39D8-4497-8139-46125EE828B8}"/>
    <cellStyle name="Comma 2 6 2 4 3 2 3" xfId="3724" xr:uid="{74C94B64-3C30-44B9-9432-2B1D1764F9A4}"/>
    <cellStyle name="Comma 2 6 2 4 3 2 3 2" xfId="8191" xr:uid="{AE29CD2E-42B6-448B-97ED-CFD573B6C3E3}"/>
    <cellStyle name="Comma 2 6 2 4 3 2 4" xfId="7135" xr:uid="{29DD1F07-22B4-44AD-88E2-61B2D9F91238}"/>
    <cellStyle name="Comma 2 6 2 4 3 3" xfId="4130" xr:uid="{34858641-6877-4B52-9BBD-997E9EEEB614}"/>
    <cellStyle name="Comma 2 6 2 4 3 3 2" xfId="8579" xr:uid="{3A9752AF-722A-495D-A552-BD6A1C9AD08E}"/>
    <cellStyle name="Comma 2 6 2 4 3 4" xfId="4819" xr:uid="{9D616EFE-91C1-49D9-B739-D84D62048564}"/>
    <cellStyle name="Comma 2 6 2 4 3 4 2" xfId="9065" xr:uid="{E6752D7D-130E-4C81-B548-C7983662A9AE}"/>
    <cellStyle name="Comma 2 6 2 4 3 5" xfId="3314" xr:uid="{3934F879-562B-4F53-9F72-8FFB0C880030}"/>
    <cellStyle name="Comma 2 6 2 4 3 5 2" xfId="7803" xr:uid="{F7740897-32A6-4CA7-93B7-88DE048F2752}"/>
    <cellStyle name="Comma 2 6 2 4 3 6" xfId="6156" xr:uid="{D4F4B767-07C2-42F6-807B-8CD186E9AA36}"/>
    <cellStyle name="Comma 2 6 2 4 4" xfId="1824" xr:uid="{C886C01E-916F-415B-9F51-F5FF6F3E646E}"/>
    <cellStyle name="Comma 2 6 2 4 4 2" xfId="2803" xr:uid="{207C7E1B-45E8-4C07-878F-95D6DB009B72}"/>
    <cellStyle name="Comma 2 6 2 4 4 2 2" xfId="5023" xr:uid="{AAF255C5-A73E-4E7E-83D7-F5E501DBD190}"/>
    <cellStyle name="Comma 2 6 2 4 4 2 2 2" xfId="9249" xr:uid="{62F24181-A2BD-4276-B0B0-0DC483307F0C}"/>
    <cellStyle name="Comma 2 6 2 4 4 2 3" xfId="7368" xr:uid="{E2C9D2CD-CB10-4A5C-A34B-A05E312B705D}"/>
    <cellStyle name="Comma 2 6 2 4 4 3" xfId="3514" xr:uid="{5F8B32A3-BDF9-44DF-A91D-DEE354F76545}"/>
    <cellStyle name="Comma 2 6 2 4 4 3 2" xfId="7981" xr:uid="{06BF7D13-649F-4F96-8051-3371F2229851}"/>
    <cellStyle name="Comma 2 6 2 4 4 4" xfId="6389" xr:uid="{666FC99F-916C-4D24-9722-EFEF81C9AAF9}"/>
    <cellStyle name="Comma 2 6 2 4 5" xfId="2061" xr:uid="{30E9C9C3-8581-4AF3-BED8-2CF5BDE94814}"/>
    <cellStyle name="Comma 2 6 2 4 5 2" xfId="3920" xr:uid="{8FAB2944-64E4-4C46-A625-3639680A8D37}"/>
    <cellStyle name="Comma 2 6 2 4 5 2 2" xfId="8369" xr:uid="{05C035A9-4B80-4117-8136-681DD2C0BECE}"/>
    <cellStyle name="Comma 2 6 2 4 5 3" xfId="6626" xr:uid="{EC5C1198-1D58-4CBA-A482-34816E7D0867}"/>
    <cellStyle name="Comma 2 6 2 4 6" xfId="4663" xr:uid="{BE4D9381-6EBE-46D5-8231-16FA9F0E0362}"/>
    <cellStyle name="Comma 2 6 2 4 6 2" xfId="8909" xr:uid="{16EC8C46-0B50-4C22-A82C-46A17740CC93}"/>
    <cellStyle name="Comma 2 6 2 4 7" xfId="3087" xr:uid="{1C7719B4-7BA2-4D00-A6E2-3628FC6F0A20}"/>
    <cellStyle name="Comma 2 6 2 4 7 2" xfId="7593" xr:uid="{B7F57182-A92E-4F90-B2CD-5A41AB503D15}"/>
    <cellStyle name="Comma 2 6 2 4 8" xfId="5647" xr:uid="{7FF6FC79-D8A6-4A5F-8F24-C35BFBA206B3}"/>
    <cellStyle name="Comma 2 6 2 5" xfId="1094" xr:uid="{2C8792F0-C4ED-47C5-B4A4-C5D4126CBC2F}"/>
    <cellStyle name="Comma 2 6 2 5 2" xfId="2138" xr:uid="{B782EF76-E737-4590-95C7-87F7A21E8D50}"/>
    <cellStyle name="Comma 2 6 2 5 2 2" xfId="6703" xr:uid="{73DF6C56-D358-48BA-B522-0B2AA1D21E77}"/>
    <cellStyle name="Comma 2 6 2 5 3" xfId="2964" xr:uid="{98ACB134-C4CE-4108-ABE9-92373F8CD67E}"/>
    <cellStyle name="Comma 2 6 2 5 4" xfId="5286" xr:uid="{87802D22-1ACD-4CCE-9317-E6EE08F6451E}"/>
    <cellStyle name="Comma 2 6 2 5 4 2" xfId="9505" xr:uid="{31DB192D-A945-44EF-B632-1C3CCAE21342}"/>
    <cellStyle name="Comma 2 6 2 5 5" xfId="5724" xr:uid="{9383B05F-EDBD-4949-B7DF-93A21DA41015}"/>
    <cellStyle name="Comma 2 6 2 6" xfId="1196" xr:uid="{BB1F62E7-4D5A-4901-A774-B6B03CD64DE6}"/>
    <cellStyle name="Comma 2 6 2 6 2" xfId="2182" xr:uid="{778E10BD-5ED7-4ED7-B1AB-6CF9A8DEBDBF}"/>
    <cellStyle name="Comma 2 6 2 6 2 2" xfId="6747" xr:uid="{019850C5-F5E9-4E3A-B2E4-54A83D3B17ED}"/>
    <cellStyle name="Comma 2 6 2 6 3" xfId="3353" xr:uid="{BB157AD2-68A9-4873-A2EE-35A468C1FB01}"/>
    <cellStyle name="Comma 2 6 2 6 3 2" xfId="7840" xr:uid="{F0D3AD23-44F5-40CE-850C-B7698A9E4A80}"/>
    <cellStyle name="Comma 2 6 2 6 4" xfId="5768" xr:uid="{DFE1E7B2-CE00-438C-A7EB-B801AE94ABE9}"/>
    <cellStyle name="Comma 2 6 2 7" xfId="1436" xr:uid="{E30ECBCC-54A3-41BF-92FC-4EF072E96E0E}"/>
    <cellStyle name="Comma 2 6 2 7 2" xfId="2416" xr:uid="{0F8EAB46-D047-4184-8F9F-2A01959754BE}"/>
    <cellStyle name="Comma 2 6 2 7 2 2" xfId="6981" xr:uid="{EF7EE05A-FA26-48D3-81BE-B6F7AFA3D908}"/>
    <cellStyle name="Comma 2 6 2 7 3" xfId="3776" xr:uid="{2E36CAB6-EEFB-4724-B5A0-D30515E3F6E0}"/>
    <cellStyle name="Comma 2 6 2 7 3 2" xfId="8228" xr:uid="{97882CA4-C6E4-4441-8331-87C2E66FD4DA}"/>
    <cellStyle name="Comma 2 6 2 7 4" xfId="6002" xr:uid="{4C0287DA-4AFB-4418-99E9-6F87F0860462}"/>
    <cellStyle name="Comma 2 6 2 8" xfId="1687" xr:uid="{C2FAA350-77B1-4B30-9A3E-5E62D45A1235}"/>
    <cellStyle name="Comma 2 6 2 8 2" xfId="2667" xr:uid="{38493C42-F41A-479B-BC3F-137AE18A7CF2}"/>
    <cellStyle name="Comma 2 6 2 8 2 2" xfId="7232" xr:uid="{F1B2B7DA-F5C4-4DF3-B23B-FD99072CE51A}"/>
    <cellStyle name="Comma 2 6 2 8 3" xfId="5418" xr:uid="{22B03900-C7AA-4125-BF72-AEBFBC4D0BDB}"/>
    <cellStyle name="Comma 2 6 2 8 3 2" xfId="9595" xr:uid="{5C03780E-6894-4069-8093-70FD8CCFD19D}"/>
    <cellStyle name="Comma 2 6 2 8 4" xfId="6253" xr:uid="{911FB082-AA3C-450B-A159-7E60A6297297}"/>
    <cellStyle name="Comma 2 6 2 9" xfId="1907" xr:uid="{7CB75DCF-E53E-4991-8A48-4458FDF08A52}"/>
    <cellStyle name="Comma 2 6 2 9 2" xfId="6472" xr:uid="{A64C626D-C597-469C-AB11-8BABF9C50B4F}"/>
    <cellStyle name="Comma 2 6 3" xfId="193" xr:uid="{E300248D-F029-4DB7-B7A0-D3D0B410F40C}"/>
    <cellStyle name="Comma 2 6 4" xfId="194" xr:uid="{EB5BE764-D797-4B1C-A3C6-D4B4EF28367D}"/>
    <cellStyle name="Comma 2 6 4 2" xfId="195" xr:uid="{0BB717B8-32A2-435F-A29E-EBAA70564629}"/>
    <cellStyle name="Comma 2 6 4 3" xfId="196" xr:uid="{952F886C-5228-4042-8A87-B1B39AA08AD1}"/>
    <cellStyle name="Comma 2 6 5" xfId="197" xr:uid="{851BE33F-029B-4187-8B15-4DAB1173F127}"/>
    <cellStyle name="Comma 2 6 6" xfId="707" xr:uid="{FEF16412-10DB-4B66-BCFD-D9C808E16893}"/>
    <cellStyle name="Comma 2 6 6 10" xfId="2889" xr:uid="{C37040C1-690B-4FF5-AD3C-447F5F131C1B}"/>
    <cellStyle name="Comma 2 6 6 10 2" xfId="7453" xr:uid="{3142F022-EADD-4744-9FE5-4CD42D7794B5}"/>
    <cellStyle name="Comma 2 6 6 11" xfId="5520" xr:uid="{8B7A71D6-24F1-4D9A-B6D1-4B0E005384AB}"/>
    <cellStyle name="Comma 2 6 6 2" xfId="927" xr:uid="{7BA8977B-1C98-460C-93C5-103373B90345}"/>
    <cellStyle name="Comma 2 6 6 2 2" xfId="1304" xr:uid="{FFEC62C6-6FD1-4354-A870-B2C34677FC19}"/>
    <cellStyle name="Comma 2 6 6 2 2 2" xfId="2286" xr:uid="{C7C176A1-38FB-497C-983B-F8B8B1BEB6A4}"/>
    <cellStyle name="Comma 2 6 6 2 2 2 2" xfId="4711" xr:uid="{1A0E85C7-01A6-482D-806C-F49F1FA6564C}"/>
    <cellStyle name="Comma 2 6 6 2 2 2 2 2" xfId="8957" xr:uid="{44CABD2B-E1BD-45BB-A60D-95E389BD8E8B}"/>
    <cellStyle name="Comma 2 6 6 2 2 2 3" xfId="3586" xr:uid="{804FDCC1-E830-4D8C-9427-536F948851E6}"/>
    <cellStyle name="Comma 2 6 6 2 2 2 3 2" xfId="8053" xr:uid="{2F748FDE-8A20-4C02-9B24-6619D6CB4AD7}"/>
    <cellStyle name="Comma 2 6 6 2 2 2 4" xfId="6851" xr:uid="{CD41DF54-EED7-4568-B61C-5E3F2904673A}"/>
    <cellStyle name="Comma 2 6 6 2 2 3" xfId="3992" xr:uid="{9E2E0C11-2D7D-4B01-98FB-14FC6A79D467}"/>
    <cellStyle name="Comma 2 6 6 2 2 3 2" xfId="5094" xr:uid="{F9B4ACAF-8B17-4540-872C-A8C1FEFE5BBC}"/>
    <cellStyle name="Comma 2 6 6 2 2 3 2 2" xfId="9319" xr:uid="{D83C9E67-A3A8-462E-8457-3C8692D8B856}"/>
    <cellStyle name="Comma 2 6 6 2 2 3 3" xfId="8441" xr:uid="{F45155D7-AB1B-4697-ADE5-763F04FA71FF}"/>
    <cellStyle name="Comma 2 6 6 2 2 4" xfId="4461" xr:uid="{27365E92-B216-4184-AAA7-6539AA53263A}"/>
    <cellStyle name="Comma 2 6 6 2 2 4 2" xfId="8738" xr:uid="{18F48A3D-16E3-4951-AAEF-DD06BF7B1E55}"/>
    <cellStyle name="Comma 2 6 6 2 2 5" xfId="3170" xr:uid="{C9280D0B-0540-4AB1-9D2F-B491DF8CC0E0}"/>
    <cellStyle name="Comma 2 6 6 2 2 5 2" xfId="7665" xr:uid="{6A4DE216-35F4-4F42-854C-E9B4C6D538F3}"/>
    <cellStyle name="Comma 2 6 6 2 2 6" xfId="5872" xr:uid="{036A6972-CC2E-4DDC-AE0E-9D6CF6303BC4}"/>
    <cellStyle name="Comma 2 6 6 2 3" xfId="1540" xr:uid="{360AD326-FF9A-469F-B98F-68BA846571B8}"/>
    <cellStyle name="Comma 2 6 6 2 3 2" xfId="2520" xr:uid="{CCE02F89-6B6C-499C-9E95-1990B54527C6}"/>
    <cellStyle name="Comma 2 6 6 2 3 2 2" xfId="5199" xr:uid="{FEB7140D-97FD-4506-A50C-D18786BDE137}"/>
    <cellStyle name="Comma 2 6 6 2 3 2 2 2" xfId="9424" xr:uid="{255C827B-C438-48E0-A7D9-AF82FE77EAE1}"/>
    <cellStyle name="Comma 2 6 6 2 3 2 3" xfId="3691" xr:uid="{50FE8171-4DC1-4304-B130-50D4322E0BC9}"/>
    <cellStyle name="Comma 2 6 6 2 3 2 3 2" xfId="8158" xr:uid="{EFA3FBEE-487D-4A48-8521-4513D4F1DB55}"/>
    <cellStyle name="Comma 2 6 6 2 3 2 4" xfId="7085" xr:uid="{24580DE5-B247-470A-9380-BD3AB59F1276}"/>
    <cellStyle name="Comma 2 6 6 2 3 3" xfId="4097" xr:uid="{A0A83D88-9711-43F1-B0F9-801BBD6BA340}"/>
    <cellStyle name="Comma 2 6 6 2 3 3 2" xfId="8546" xr:uid="{12B5AE49-2A89-4A45-89FE-5450C78C8356}"/>
    <cellStyle name="Comma 2 6 6 2 3 4" xfId="4603" xr:uid="{1CAD8836-ED5D-49BE-9E07-216FB5D707BD}"/>
    <cellStyle name="Comma 2 6 6 2 3 4 2" xfId="8855" xr:uid="{E5048CEA-BC9A-4097-8E4C-75449FAB823C}"/>
    <cellStyle name="Comma 2 6 6 2 3 5" xfId="3277" xr:uid="{0BA2F154-85D5-4A6D-9499-0FE7FDD35368}"/>
    <cellStyle name="Comma 2 6 6 2 3 5 2" xfId="7770" xr:uid="{0F8A6372-7ED9-4D67-B339-FE6997FD9158}"/>
    <cellStyle name="Comma 2 6 6 2 3 6" xfId="6106" xr:uid="{20AC2909-5184-4E43-BFA8-782D840ED6DD}"/>
    <cellStyle name="Comma 2 6 6 2 4" xfId="1774" xr:uid="{77AA0EDD-F447-44F7-9C6C-F6D96081191C}"/>
    <cellStyle name="Comma 2 6 6 2 4 2" xfId="2753" xr:uid="{626C482A-6AE8-4C05-9C5F-1F8BB09D3F46}"/>
    <cellStyle name="Comma 2 6 6 2 4 2 2" xfId="4923" xr:uid="{E97B9575-68EC-4AB5-93D0-950A18C43810}"/>
    <cellStyle name="Comma 2 6 6 2 4 2 2 2" xfId="9153" xr:uid="{30458947-7489-41E5-8365-39828D4D28DA}"/>
    <cellStyle name="Comma 2 6 6 2 4 2 3" xfId="3481" xr:uid="{1C8AEA85-897B-45D6-923A-7F676D5CBF14}"/>
    <cellStyle name="Comma 2 6 6 2 4 2 3 2" xfId="7948" xr:uid="{0F35E4A2-165C-475C-AE5D-3229B9C8A679}"/>
    <cellStyle name="Comma 2 6 6 2 4 2 4" xfId="7318" xr:uid="{EE700DE3-1888-440B-B442-BCCBEF611DDD}"/>
    <cellStyle name="Comma 2 6 6 2 4 3" xfId="3887" xr:uid="{FBB6E31F-DA17-4EB2-8096-2589A132D693}"/>
    <cellStyle name="Comma 2 6 6 2 4 3 2" xfId="8336" xr:uid="{A71D1BD3-5AA0-408C-9F88-A77BDD20CC33}"/>
    <cellStyle name="Comma 2 6 6 2 4 4" xfId="4634" xr:uid="{8D4B7BFE-70C1-4CE6-8B50-5192E9125ED0}"/>
    <cellStyle name="Comma 2 6 6 2 4 4 2" xfId="8880" xr:uid="{E41F90EC-4CCF-47AB-856A-3688BA86C385}"/>
    <cellStyle name="Comma 2 6 6 2 4 5" xfId="3050" xr:uid="{9082E3CC-1E4A-412F-B9CC-3C36F3640693}"/>
    <cellStyle name="Comma 2 6 6 2 4 5 2" xfId="7560" xr:uid="{F3C6F423-1777-496B-93AC-70F003D0A2E2}"/>
    <cellStyle name="Comma 2 6 6 2 4 6" xfId="6339" xr:uid="{936A5A7D-8894-441B-85F4-ED50E3E3D792}"/>
    <cellStyle name="Comma 2 6 6 2 5" xfId="2011" xr:uid="{1B87D6C0-51F0-4FEC-96A9-7AF368B19F20}"/>
    <cellStyle name="Comma 2 6 6 2 5 2" xfId="4969" xr:uid="{53D6048D-162C-45EA-A0F2-B779E681FC7F}"/>
    <cellStyle name="Comma 2 6 6 2 5 2 2" xfId="9199" xr:uid="{0624B32F-36C8-484B-B2CA-4406ACF59A81}"/>
    <cellStyle name="Comma 2 6 6 2 5 3" xfId="3407" xr:uid="{850C4DEE-8C25-40C3-9B42-FD576EBAB8D2}"/>
    <cellStyle name="Comma 2 6 6 2 5 3 2" xfId="7875" xr:uid="{57B64B7E-2A2B-4709-B2F8-AA6F57E44EBA}"/>
    <cellStyle name="Comma 2 6 6 2 5 4" xfId="6576" xr:uid="{508153FC-E956-4208-BF08-681EF4BB2621}"/>
    <cellStyle name="Comma 2 6 6 2 6" xfId="3814" xr:uid="{38C6FDAD-3150-413A-AFCD-3A3E35FF57B0}"/>
    <cellStyle name="Comma 2 6 6 2 6 2" xfId="8263" xr:uid="{1D179317-A250-4429-B2C3-0D2FBA5DEE95}"/>
    <cellStyle name="Comma 2 6 6 2 7" xfId="4350" xr:uid="{EE2330C6-D703-48A9-84CC-436E2A2ED5CB}"/>
    <cellStyle name="Comma 2 6 6 2 7 2" xfId="8666" xr:uid="{10E0EAD1-DCD0-473E-B6B0-0AE0379AAA62}"/>
    <cellStyle name="Comma 2 6 6 2 8" xfId="2925" xr:uid="{4E6E3CA2-14C6-42D1-A819-DD3737B0FA87}"/>
    <cellStyle name="Comma 2 6 6 2 8 2" xfId="7487" xr:uid="{AAB5F445-A7F6-4718-AAFF-DBEDB9E7ABCE}"/>
    <cellStyle name="Comma 2 6 6 2 9" xfId="5597" xr:uid="{2D4BE457-FCB3-43EF-9DBF-0570EE87FEB7}"/>
    <cellStyle name="Comma 2 6 6 3" xfId="1015" xr:uid="{E1D202B9-23A2-4C41-9BFC-3EE67BE81BF4}"/>
    <cellStyle name="Comma 2 6 6 3 2" xfId="1383" xr:uid="{91FCC81E-0495-4C32-A40D-A921743AFCCC}"/>
    <cellStyle name="Comma 2 6 6 3 2 2" xfId="2363" xr:uid="{493737A8-C64D-4E21-8DE2-85D4B50ABC87}"/>
    <cellStyle name="Comma 2 6 6 3 2 2 2" xfId="5128" xr:uid="{4ECB7FE7-1E79-4447-8061-F8637DAE52CB}"/>
    <cellStyle name="Comma 2 6 6 3 2 2 2 2" xfId="9353" xr:uid="{7055033E-4FF4-4B6F-A96B-CCC57766C170}"/>
    <cellStyle name="Comma 2 6 6 3 2 2 3" xfId="3620" xr:uid="{3FF7B1E4-6FA8-4F47-8698-62EEF9758C77}"/>
    <cellStyle name="Comma 2 6 6 3 2 2 3 2" xfId="8087" xr:uid="{587B4043-DBF6-43C6-B37C-A382ABC8F6FE}"/>
    <cellStyle name="Comma 2 6 6 3 2 2 4" xfId="6928" xr:uid="{3ADDCE9E-9D6C-404B-B96A-00FD620EE7CE}"/>
    <cellStyle name="Comma 2 6 6 3 2 3" xfId="4026" xr:uid="{40BB2E55-3DFB-4FAF-B75D-F9110B9A75FD}"/>
    <cellStyle name="Comma 2 6 6 3 2 3 2" xfId="8475" xr:uid="{B6B9446C-BF91-4B1E-BFC4-DE87C5005513}"/>
    <cellStyle name="Comma 2 6 6 3 2 4" xfId="4744" xr:uid="{ED6B2ED9-F87E-487A-A538-5147E6FEF4C1}"/>
    <cellStyle name="Comma 2 6 6 3 2 4 2" xfId="8990" xr:uid="{D8D3DE9C-EF1A-43DF-B441-A89F5C12CC69}"/>
    <cellStyle name="Comma 2 6 6 3 2 5" xfId="3204" xr:uid="{7B4CDB9D-DD08-4E8A-84DC-2EC678EFFB6C}"/>
    <cellStyle name="Comma 2 6 6 3 2 5 2" xfId="7699" xr:uid="{38ABC644-5ED2-453E-AD26-4AD4A3C34C34}"/>
    <cellStyle name="Comma 2 6 6 3 2 6" xfId="5949" xr:uid="{32E5CB81-2E84-4B3D-878F-462ACDECE820}"/>
    <cellStyle name="Comma 2 6 6 3 3" xfId="1617" xr:uid="{5B790152-F9F5-4697-828A-B77A03D1F076}"/>
    <cellStyle name="Comma 2 6 6 3 3 2" xfId="2597" xr:uid="{A490CF5E-DB81-46AF-B0F9-F3A592FD55A0}"/>
    <cellStyle name="Comma 2 6 6 3 3 2 2" xfId="5233" xr:uid="{706380DF-D146-4135-91A0-81A48B0E0564}"/>
    <cellStyle name="Comma 2 6 6 3 3 2 2 2" xfId="9458" xr:uid="{DD3F0F9A-5A7C-4DB7-BA61-2593C2FD259D}"/>
    <cellStyle name="Comma 2 6 6 3 3 2 3" xfId="3725" xr:uid="{9D5D2408-0864-498C-9928-E2B2C1DEDADD}"/>
    <cellStyle name="Comma 2 6 6 3 3 2 3 2" xfId="8192" xr:uid="{133E229E-2313-4F75-9A15-6B25AFD1291F}"/>
    <cellStyle name="Comma 2 6 6 3 3 2 4" xfId="7162" xr:uid="{ABA5C33E-0BC2-42A8-AEE6-51B0DC71B7D6}"/>
    <cellStyle name="Comma 2 6 6 3 3 3" xfId="4131" xr:uid="{6382C1DE-5B20-4681-BDBE-02DEC9B184FB}"/>
    <cellStyle name="Comma 2 6 6 3 3 3 2" xfId="8580" xr:uid="{5B6F6CA7-270D-44C8-8293-2E15A42D7D86}"/>
    <cellStyle name="Comma 2 6 6 3 3 4" xfId="4820" xr:uid="{E7D4D9EF-6F5B-4C17-A59E-FD06557A86F4}"/>
    <cellStyle name="Comma 2 6 6 3 3 4 2" xfId="9066" xr:uid="{70F0BEDF-6C56-4488-90FC-2E1D8D4F7DDB}"/>
    <cellStyle name="Comma 2 6 6 3 3 5" xfId="3315" xr:uid="{5FD1DFD2-43A7-4EDE-986A-E4AFA9A86B52}"/>
    <cellStyle name="Comma 2 6 6 3 3 5 2" xfId="7804" xr:uid="{A269C241-23E2-4D67-9128-BDB45DF8370A}"/>
    <cellStyle name="Comma 2 6 6 3 3 6" xfId="6183" xr:uid="{2C433612-DC17-4EEA-8D71-5CB56BC59F36}"/>
    <cellStyle name="Comma 2 6 6 3 4" xfId="1851" xr:uid="{ACA9FD4B-C5F6-4BF8-B16E-4718150C1F1E}"/>
    <cellStyle name="Comma 2 6 6 3 4 2" xfId="2830" xr:uid="{1070E096-360E-484B-896B-0A09AD2E765E}"/>
    <cellStyle name="Comma 2 6 6 3 4 2 2" xfId="5024" xr:uid="{0501E283-2047-4BEF-AE62-2B1A057127E7}"/>
    <cellStyle name="Comma 2 6 6 3 4 2 2 2" xfId="9250" xr:uid="{95C4E5A5-CC81-42C0-94D1-4450DCC79533}"/>
    <cellStyle name="Comma 2 6 6 3 4 2 3" xfId="7395" xr:uid="{D9A09E54-7C6A-46BD-B3FF-8D4650CC0A9E}"/>
    <cellStyle name="Comma 2 6 6 3 4 3" xfId="3515" xr:uid="{99CDE3BA-D864-46F0-9744-5EBF5C672B72}"/>
    <cellStyle name="Comma 2 6 6 3 4 3 2" xfId="7982" xr:uid="{2FB55970-3A3C-404C-82EF-568164A3B3C6}"/>
    <cellStyle name="Comma 2 6 6 3 4 4" xfId="6416" xr:uid="{3824236A-DD39-4F73-8290-46C1BF8B34BE}"/>
    <cellStyle name="Comma 2 6 6 3 5" xfId="2088" xr:uid="{2A449738-4002-432D-9198-7973C8A0DC8C}"/>
    <cellStyle name="Comma 2 6 6 3 5 2" xfId="3921" xr:uid="{CDEAD420-00AB-4E70-A9B4-892AECADC46E}"/>
    <cellStyle name="Comma 2 6 6 3 5 2 2" xfId="8370" xr:uid="{4A6936C6-C757-45D2-A4AA-D46C7A59C70F}"/>
    <cellStyle name="Comma 2 6 6 3 5 3" xfId="6653" xr:uid="{39EE1247-BC08-47C9-B590-32787ACCFD15}"/>
    <cellStyle name="Comma 2 6 6 3 6" xfId="4664" xr:uid="{905DDDE0-3C1D-4676-A00E-BC4A95EB4AB8}"/>
    <cellStyle name="Comma 2 6 6 3 6 2" xfId="8910" xr:uid="{6A0C4690-8B80-42C6-93F0-F4115C20CD8A}"/>
    <cellStyle name="Comma 2 6 6 3 7" xfId="3088" xr:uid="{BB4A3091-7E51-4E07-A3CE-8C4A3B8F956A}"/>
    <cellStyle name="Comma 2 6 6 3 7 2" xfId="7594" xr:uid="{9DAEA668-C3E2-40FB-B0A3-1DA1901A4626}"/>
    <cellStyle name="Comma 2 6 6 3 8" xfId="5674" xr:uid="{2F229CF2-B7D6-49A4-9EB9-CDB165BDA953}"/>
    <cellStyle name="Comma 2 6 6 4" xfId="1095" xr:uid="{AC1CAFC4-BF00-49CC-B006-FEE379665F90}"/>
    <cellStyle name="Comma 2 6 6 4 2" xfId="2139" xr:uid="{A84BF1B5-38ED-44B2-9ED3-C5AADA6359B2}"/>
    <cellStyle name="Comma 2 6 6 4 2 2" xfId="5063" xr:uid="{1164FD89-29C0-42F0-8132-76833044B6FB}"/>
    <cellStyle name="Comma 2 6 6 4 2 2 2" xfId="9289" xr:uid="{A3DE7DB0-AD71-48C1-93C8-1892D579C168}"/>
    <cellStyle name="Comma 2 6 6 4 2 3" xfId="3555" xr:uid="{367B8793-70D2-4288-9B9F-168A98E51B24}"/>
    <cellStyle name="Comma 2 6 6 4 2 3 2" xfId="8022" xr:uid="{7E0F8047-B6E6-4C35-A176-4E348E15393B}"/>
    <cellStyle name="Comma 2 6 6 4 2 4" xfId="6704" xr:uid="{A41CED5E-BDA9-4DF0-9BDB-45F0BF6173A7}"/>
    <cellStyle name="Comma 2 6 6 4 3" xfId="3961" xr:uid="{3345DE41-D5C4-4C27-9A98-BB7F9FDC2925}"/>
    <cellStyle name="Comma 2 6 6 4 3 2" xfId="8410" xr:uid="{DE3F154B-2A56-4BD0-8511-BB9503BA80C6}"/>
    <cellStyle name="Comma 2 6 6 4 4" xfId="4687" xr:uid="{BFAB4581-BCE3-476B-8165-04BA3D76914F}"/>
    <cellStyle name="Comma 2 6 6 4 4 2" xfId="8933" xr:uid="{F1D5ABDD-5BCF-4A77-8EDB-1288DD84424B}"/>
    <cellStyle name="Comma 2 6 6 4 5" xfId="3139" xr:uid="{B172340E-AD0B-45AF-9184-82E6CCC5E18A}"/>
    <cellStyle name="Comma 2 6 6 4 5 2" xfId="7634" xr:uid="{FE15F9B5-5D5C-47C5-B611-43046978F6E2}"/>
    <cellStyle name="Comma 2 6 6 4 6" xfId="5725" xr:uid="{D981B3CB-F76A-447C-B380-6A0B673AC61D}"/>
    <cellStyle name="Comma 2 6 6 5" xfId="1225" xr:uid="{A41D3104-711A-4DA1-890D-824184A889A7}"/>
    <cellStyle name="Comma 2 6 6 5 2" xfId="2209" xr:uid="{9366F939-9682-4D33-8BB9-3397FB38F6C2}"/>
    <cellStyle name="Comma 2 6 6 5 2 2" xfId="5168" xr:uid="{C86112D9-14C7-4F38-B161-755FCEBFD327}"/>
    <cellStyle name="Comma 2 6 6 5 2 2 2" xfId="9393" xr:uid="{B0D7C511-1FAC-42B0-9A11-14CDDE421576}"/>
    <cellStyle name="Comma 2 6 6 5 2 3" xfId="3660" xr:uid="{CEB1739F-3DD5-45CA-B187-A71BED5A512B}"/>
    <cellStyle name="Comma 2 6 6 5 2 3 2" xfId="8127" xr:uid="{95AC7F3A-EABE-4B7C-8C79-CF93DDED3977}"/>
    <cellStyle name="Comma 2 6 6 5 2 4" xfId="6774" xr:uid="{EC2AD727-6302-404E-B882-FB790EA7255F}"/>
    <cellStyle name="Comma 2 6 6 5 3" xfId="4066" xr:uid="{B4310F00-B293-4775-AAF8-68174AB80840}"/>
    <cellStyle name="Comma 2 6 6 5 3 2" xfId="8515" xr:uid="{8B03EA34-26B6-4DAF-88ED-EB029FD9CCAB}"/>
    <cellStyle name="Comma 2 6 6 5 4" xfId="4783" xr:uid="{5BB5E8E9-A956-4FE3-AFA4-4304BBD2FCCA}"/>
    <cellStyle name="Comma 2 6 6 5 4 2" xfId="9029" xr:uid="{A34B2077-E1E1-42C0-928C-F167D35ECE7E}"/>
    <cellStyle name="Comma 2 6 6 5 5" xfId="3245" xr:uid="{AB9E8D54-1154-4BCA-87B4-21A540CCA075}"/>
    <cellStyle name="Comma 2 6 6 5 5 2" xfId="7739" xr:uid="{F2653469-25CF-45BA-B00C-F79B7ECA158D}"/>
    <cellStyle name="Comma 2 6 6 5 6" xfId="5795" xr:uid="{8E6AEB32-EC82-45F1-BC4B-3D3D8E1CEB5F}"/>
    <cellStyle name="Comma 2 6 6 6" xfId="1463" xr:uid="{C76B9A40-34F3-4FE0-B54B-BD9ECCF36792}"/>
    <cellStyle name="Comma 2 6 6 6 2" xfId="2443" xr:uid="{D30945B2-5BD4-4F86-8EAF-D0812C15E091}"/>
    <cellStyle name="Comma 2 6 6 6 2 2" xfId="4883" xr:uid="{BC0D19A5-26D1-451C-A609-90F441B96CF9}"/>
    <cellStyle name="Comma 2 6 6 6 2 2 2" xfId="9116" xr:uid="{DF0C59A1-D3B6-4E24-9FAB-AA1A4457CD72}"/>
    <cellStyle name="Comma 2 6 6 6 2 3" xfId="3449" xr:uid="{64E5D449-CC1E-409F-8271-4E60D13097FC}"/>
    <cellStyle name="Comma 2 6 6 6 2 3 2" xfId="7917" xr:uid="{2DEA924A-ED4D-460A-99FE-C1515B542E1B}"/>
    <cellStyle name="Comma 2 6 6 6 2 4" xfId="7008" xr:uid="{FF6E13B6-8AC5-4D92-9422-BFC36ED6B912}"/>
    <cellStyle name="Comma 2 6 6 6 3" xfId="3856" xr:uid="{0605C1D9-3A00-436B-941F-8AC8CDED6B1D}"/>
    <cellStyle name="Comma 2 6 6 6 3 2" xfId="8305" xr:uid="{7CF5A287-F719-4042-8036-4EA8BD3D0800}"/>
    <cellStyle name="Comma 2 6 6 6 4" xfId="4624" xr:uid="{FBEE18E1-BC28-4B6A-B739-B071B9C60591}"/>
    <cellStyle name="Comma 2 6 6 6 4 2" xfId="8871" xr:uid="{3C2C27EF-3C60-4FA7-9DD0-0EBC256F08AB}"/>
    <cellStyle name="Comma 2 6 6 6 5" xfId="2999" xr:uid="{3224D524-E1AB-4A35-9236-9CEE8964F757}"/>
    <cellStyle name="Comma 2 6 6 6 5 2" xfId="7529" xr:uid="{7B9D23F2-90BF-4766-8220-F8C114C6DA58}"/>
    <cellStyle name="Comma 2 6 6 6 6" xfId="6029" xr:uid="{865030C5-178C-43FC-9962-DE6C6D015017}"/>
    <cellStyle name="Comma 2 6 6 7" xfId="1688" xr:uid="{0495A872-B3F0-471D-AD96-FC32BC5EF522}"/>
    <cellStyle name="Comma 2 6 6 7 2" xfId="2668" xr:uid="{7664030E-FDC3-45C0-AB83-B8D96651FACB}"/>
    <cellStyle name="Comma 2 6 6 7 2 2" xfId="7233" xr:uid="{CE042913-7793-4FB9-85AE-67E2F9CAEA02}"/>
    <cellStyle name="Comma 2 6 6 7 3" xfId="3354" xr:uid="{B9DD14EC-EDE6-432F-A124-E6FECA4E3AC4}"/>
    <cellStyle name="Comma 2 6 6 7 3 2" xfId="7841" xr:uid="{2C6E08B9-2FB3-43B1-A4D5-13A7BB7BB078}"/>
    <cellStyle name="Comma 2 6 6 7 4" xfId="6254" xr:uid="{AED2BC24-5331-4A50-A332-59F3D4D035AD}"/>
    <cellStyle name="Comma 2 6 6 8" xfId="1934" xr:uid="{2C6CAD79-AABB-48C4-9590-2B84826524D3}"/>
    <cellStyle name="Comma 2 6 6 8 2" xfId="3777" xr:uid="{747BE6D8-60EC-4562-9DF3-873C8E01D7F5}"/>
    <cellStyle name="Comma 2 6 6 8 2 2" xfId="8229" xr:uid="{74DBCEAE-76CA-4492-B99D-253EB65FD2D0}"/>
    <cellStyle name="Comma 2 6 6 8 3" xfId="6499" xr:uid="{AB00952B-429F-435C-97EA-ABEB3D79854F}"/>
    <cellStyle name="Comma 2 6 6 9" xfId="4221" xr:uid="{E2AC4134-5BB3-4F90-A870-B0999610906C}"/>
    <cellStyle name="Comma 2 6 7" xfId="706" xr:uid="{7BADB191-C22D-49D6-91C8-5C467A555DB2}"/>
    <cellStyle name="Comma 2 6 8" xfId="841" xr:uid="{1179037C-E743-468B-ADEE-99F7D3ED8BBA}"/>
    <cellStyle name="Comma 2 6 8 10" xfId="5534" xr:uid="{666BA02E-8FBE-4411-8F88-857C124A5418}"/>
    <cellStyle name="Comma 2 6 8 2" xfId="947" xr:uid="{98FEDB1F-C302-432B-AF47-94818B84F276}"/>
    <cellStyle name="Comma 2 6 8 2 2" xfId="1320" xr:uid="{13E7CFE2-489A-4F47-B930-5B537A3B5EB5}"/>
    <cellStyle name="Comma 2 6 8 2 2 2" xfId="2300" xr:uid="{EBBD3818-405B-47B0-A200-4BD44E5B2214}"/>
    <cellStyle name="Comma 2 6 8 2 2 2 2" xfId="6865" xr:uid="{A6EEFB5B-B065-4557-B0E8-A8952812ED79}"/>
    <cellStyle name="Comma 2 6 8 2 2 3" xfId="4454" xr:uid="{C7833372-14E3-4E3F-BED4-7F855C9B4AB7}"/>
    <cellStyle name="Comma 2 6 8 2 2 3 2" xfId="8731" xr:uid="{B631810A-70A0-4F07-859C-6B82DB108A01}"/>
    <cellStyle name="Comma 2 6 8 2 2 4" xfId="5886" xr:uid="{AE3820AF-8779-4E7F-94A7-4F2E6C5A3409}"/>
    <cellStyle name="Comma 2 6 8 2 3" xfId="1554" xr:uid="{2BD00593-ADAF-4A7B-9D83-71D396A76160}"/>
    <cellStyle name="Comma 2 6 8 2 3 2" xfId="2534" xr:uid="{49362520-8E52-4D0E-840B-81C8DD76381D}"/>
    <cellStyle name="Comma 2 6 8 2 3 2 2" xfId="7099" xr:uid="{BB65657B-3DE2-4606-8A42-FC6CEF5D1D10}"/>
    <cellStyle name="Comma 2 6 8 2 3 3" xfId="4588" xr:uid="{539DC56C-C76B-471F-BE5E-6CD2FA55505C}"/>
    <cellStyle name="Comma 2 6 8 2 3 3 2" xfId="8843" xr:uid="{2BC3D36A-7923-4A65-9F4F-F730900FF166}"/>
    <cellStyle name="Comma 2 6 8 2 3 4" xfId="6120" xr:uid="{A6226A88-5600-4AFD-B93E-7B565AF1241D}"/>
    <cellStyle name="Comma 2 6 8 2 4" xfId="1788" xr:uid="{50299EBC-CB5D-4871-B94F-07C730312CF3}"/>
    <cellStyle name="Comma 2 6 8 2 4 2" xfId="2767" xr:uid="{7687665B-A060-4736-8D56-AF247A069664}"/>
    <cellStyle name="Comma 2 6 8 2 4 2 2" xfId="7332" xr:uid="{71ACCB05-5239-4AC3-9956-C674DCC1C754}"/>
    <cellStyle name="Comma 2 6 8 2 4 3" xfId="4953" xr:uid="{6E8DBD21-EF9D-4DD5-840C-3D0282CCCBF5}"/>
    <cellStyle name="Comma 2 6 8 2 4 3 2" xfId="9183" xr:uid="{C69F76FC-1160-487B-87D9-87B2DDA00C22}"/>
    <cellStyle name="Comma 2 6 8 2 4 4" xfId="6353" xr:uid="{E1935789-39C6-4969-A7C5-AEBFE7ED2E27}"/>
    <cellStyle name="Comma 2 6 8 2 5" xfId="2025" xr:uid="{8CA7B5CC-1FC3-4116-9FC3-5A35D3DA68B1}"/>
    <cellStyle name="Comma 2 6 8 2 5 2" xfId="6590" xr:uid="{00301526-29D0-4A5E-A42A-2293DC049E8C}"/>
    <cellStyle name="Comma 2 6 8 2 6" xfId="4306" xr:uid="{60113001-606E-4AE0-B7C0-87A5E9F1C517}"/>
    <cellStyle name="Comma 2 6 8 2 6 2" xfId="8659" xr:uid="{8599501E-5CFB-47FC-802C-A8BD81C74756}"/>
    <cellStyle name="Comma 2 6 8 2 7" xfId="5611" xr:uid="{31C896FE-C27F-4D5B-9D9E-B0D297837535}"/>
    <cellStyle name="Comma 2 6 8 3" xfId="1029" xr:uid="{5D25D31D-D188-487C-953A-CE480EFAD196}"/>
    <cellStyle name="Comma 2 6 8 3 2" xfId="1397" xr:uid="{3E3078A5-EC39-4058-AD88-0DDFD2A6CB86}"/>
    <cellStyle name="Comma 2 6 8 3 2 2" xfId="2377" xr:uid="{0F40A4E6-2189-484D-8C27-6A2664FB772C}"/>
    <cellStyle name="Comma 2 6 8 3 2 2 2" xfId="6942" xr:uid="{C65AF00B-D0C1-47AF-85FE-2DF77102FF7F}"/>
    <cellStyle name="Comma 2 6 8 3 2 3" xfId="5364" xr:uid="{F01B984D-C212-4B9A-A785-C48D9E0AC407}"/>
    <cellStyle name="Comma 2 6 8 3 2 3 2" xfId="9542" xr:uid="{7914D731-3CDF-4477-BC1F-CC4B7AF6BFA6}"/>
    <cellStyle name="Comma 2 6 8 3 2 4" xfId="5963" xr:uid="{DE52CEBF-450C-469E-9354-DD3A311006F8}"/>
    <cellStyle name="Comma 2 6 8 3 3" xfId="1631" xr:uid="{18CB70C5-EDEE-4BBC-B790-9B431F3BA498}"/>
    <cellStyle name="Comma 2 6 8 3 3 2" xfId="2611" xr:uid="{D2085642-96D5-422E-92AD-DF4F1140442A}"/>
    <cellStyle name="Comma 2 6 8 3 3 2 2" xfId="7176" xr:uid="{FA4C6E30-38DE-4C57-BC53-A734686A3AE3}"/>
    <cellStyle name="Comma 2 6 8 3 3 3" xfId="5404" xr:uid="{FA63D30D-2CE3-4B15-B792-E523CC93ED27}"/>
    <cellStyle name="Comma 2 6 8 3 3 3 2" xfId="9581" xr:uid="{41E58A27-6B7E-44B8-9BA2-C2525839CDD0}"/>
    <cellStyle name="Comma 2 6 8 3 3 4" xfId="6197" xr:uid="{D1B7ADDF-F322-4F7E-8225-39E749526E0B}"/>
    <cellStyle name="Comma 2 6 8 3 4" xfId="1865" xr:uid="{30C80256-2FC1-4C4D-8C76-1FC2D78D8DC6}"/>
    <cellStyle name="Comma 2 6 8 3 4 2" xfId="2844" xr:uid="{16D5D7A4-2107-4743-A6D0-51079240A34D}"/>
    <cellStyle name="Comma 2 6 8 3 4 2 2" xfId="7409" xr:uid="{E931551A-F1DA-42E2-BF4C-28755302AAB6}"/>
    <cellStyle name="Comma 2 6 8 3 4 3" xfId="5460" xr:uid="{D1544CDF-64BB-4562-B59E-88DE616F37A1}"/>
    <cellStyle name="Comma 2 6 8 3 4 3 2" xfId="9636" xr:uid="{0765967C-F4C7-4DE3-9790-D0BE6F6C9373}"/>
    <cellStyle name="Comma 2 6 8 3 4 4" xfId="6430" xr:uid="{F7A51D60-5A14-43A6-8FEE-01343A94C15C}"/>
    <cellStyle name="Comma 2 6 8 3 5" xfId="2102" xr:uid="{9D4D7ED1-E718-4CAB-981D-BFE592786A0B}"/>
    <cellStyle name="Comma 2 6 8 3 5 2" xfId="6667" xr:uid="{91E63BB9-A81C-4AA0-8C13-4A3B2DFBDFCB}"/>
    <cellStyle name="Comma 2 6 8 3 6" xfId="4351" xr:uid="{06A88D9F-A0DC-4382-A43F-AF2728617D5B}"/>
    <cellStyle name="Comma 2 6 8 3 7" xfId="5274" xr:uid="{04D60B75-CEC1-4888-8BF7-32DCF4690A18}"/>
    <cellStyle name="Comma 2 6 8 3 7 2" xfId="9496" xr:uid="{A18390DA-5FF2-43D0-AF3F-81821D183500}"/>
    <cellStyle name="Comma 2 6 8 3 8" xfId="5688" xr:uid="{0F627421-E909-4ADF-8358-2149B1E94298}"/>
    <cellStyle name="Comma 2 6 8 4" xfId="1096" xr:uid="{9BC6F47D-2383-47E9-9E40-47CF17C08DC2}"/>
    <cellStyle name="Comma 2 6 8 4 2" xfId="4426" xr:uid="{6B830540-4C22-4C92-87E9-3059A240A767}"/>
    <cellStyle name="Comma 2 6 8 4 2 2" xfId="8703" xr:uid="{231FD397-60A5-40D3-831A-C703B033E297}"/>
    <cellStyle name="Comma 2 6 8 5" xfId="1241" xr:uid="{5602E227-49F0-437F-B0A0-63B55D523812}"/>
    <cellStyle name="Comma 2 6 8 5 2" xfId="2223" xr:uid="{D22E7DC2-E5FB-4230-B998-93E8C4ADA40D}"/>
    <cellStyle name="Comma 2 6 8 5 2 2" xfId="6788" xr:uid="{1E16554C-68F1-4807-8ABF-C363481567CF}"/>
    <cellStyle name="Comma 2 6 8 5 3" xfId="4559" xr:uid="{076473CF-C357-4390-95AB-14B3D0B2C085}"/>
    <cellStyle name="Comma 2 6 8 5 3 2" xfId="8815" xr:uid="{2E528F8F-49F1-4A02-B4E4-93F38BD50C56}"/>
    <cellStyle name="Comma 2 6 8 5 4" xfId="5809" xr:uid="{48A097A9-EECC-4C3D-A980-9A716558FB65}"/>
    <cellStyle name="Comma 2 6 8 6" xfId="1477" xr:uid="{03E9EE90-8BE0-4E80-86EC-B8D63AB8478B}"/>
    <cellStyle name="Comma 2 6 8 6 2" xfId="2457" xr:uid="{D1581DDE-8722-4AEF-A6DE-40062955F238}"/>
    <cellStyle name="Comma 2 6 8 6 2 2" xfId="7022" xr:uid="{5DDD8E4F-13BE-43A0-8B6D-36B23C39CB32}"/>
    <cellStyle name="Comma 2 6 8 6 3" xfId="4925" xr:uid="{B160CB4F-38B7-4322-94E2-0A734791B23B}"/>
    <cellStyle name="Comma 2 6 8 6 3 2" xfId="9155" xr:uid="{B7200A4A-E1F8-486F-9E96-7C123F3A5500}"/>
    <cellStyle name="Comma 2 6 8 6 4" xfId="6043" xr:uid="{24621AEC-CE1C-4015-98EC-74FEC608B770}"/>
    <cellStyle name="Comma 2 6 8 7" xfId="1662" xr:uid="{6A52A9E7-6185-4D1C-ADE6-601E5873FE3B}"/>
    <cellStyle name="Comma 2 6 8 7 2" xfId="2642" xr:uid="{8FB86404-C993-4844-B1AF-D5291AF658EF}"/>
    <cellStyle name="Comma 2 6 8 7 2 2" xfId="7207" xr:uid="{9C6C2C8E-3A9B-4BA6-8D79-DEBF95AC4433}"/>
    <cellStyle name="Comma 2 6 8 7 3" xfId="5416" xr:uid="{A0CBA43E-D0F7-482D-8A67-B206619B68E7}"/>
    <cellStyle name="Comma 2 6 8 7 3 2" xfId="9593" xr:uid="{A76051EE-6928-415D-84EF-D4A03010EDA8}"/>
    <cellStyle name="Comma 2 6 8 7 4" xfId="6228" xr:uid="{0A64D09B-8C71-4C3F-BAC7-E24537EB117F}"/>
    <cellStyle name="Comma 2 6 8 8" xfId="1948" xr:uid="{446EEAF9-D94A-45C5-8B17-22EB44F8042F}"/>
    <cellStyle name="Comma 2 6 8 8 2" xfId="6513" xr:uid="{2EB6FA3C-0ED1-4AFF-AC77-33034C043BE1}"/>
    <cellStyle name="Comma 2 6 8 9" xfId="4275" xr:uid="{81511A5E-732C-4450-BE4A-BE1CCEE6353B}"/>
    <cellStyle name="Comma 2 6 8 9 2" xfId="8631" xr:uid="{5E2FE76A-C91C-4A1A-A89C-FF091018F732}"/>
    <cellStyle name="Comma 2 6 9" xfId="881" xr:uid="{3D1CDF08-1F09-4BED-9D9E-3FA0D72ECF83}"/>
    <cellStyle name="Comma 2 6 9 2" xfId="1276" xr:uid="{BC0AE044-FD39-454F-B3C4-D288E96F1966}"/>
    <cellStyle name="Comma 2 6 9 2 2" xfId="2258" xr:uid="{3E956C5F-0DA9-4EC4-93C7-BDE856183902}"/>
    <cellStyle name="Comma 2 6 9 2 2 2" xfId="6823" xr:uid="{64FF39F5-94C6-4A5C-B12F-938A855B3CA7}"/>
    <cellStyle name="Comma 2 6 9 2 3" xfId="5342" xr:uid="{5B43B433-ECF1-42B6-B735-10CB16AC0B79}"/>
    <cellStyle name="Comma 2 6 9 2 3 2" xfId="9523" xr:uid="{53D9AEA2-B07E-498D-A644-5C3FEE30633B}"/>
    <cellStyle name="Comma 2 6 9 2 4" xfId="5844" xr:uid="{836843FB-8FCC-4FB1-B51C-79B1DDF2B066}"/>
    <cellStyle name="Comma 2 6 9 3" xfId="1512" xr:uid="{D452E1BA-827A-4447-B744-C9A139B32E3C}"/>
    <cellStyle name="Comma 2 6 9 3 2" xfId="2492" xr:uid="{37191DF9-DFB4-4481-928E-879CCD9FE6A6}"/>
    <cellStyle name="Comma 2 6 9 3 2 2" xfId="7057" xr:uid="{C5ED2267-7BED-4C07-A52A-7B131AB183BD}"/>
    <cellStyle name="Comma 2 6 9 3 3" xfId="5385" xr:uid="{620CC309-08D1-4FF2-8CED-B0BF94F24DDF}"/>
    <cellStyle name="Comma 2 6 9 3 3 2" xfId="9562" xr:uid="{427C9CA8-8DB9-4113-B9DA-46192C17C69D}"/>
    <cellStyle name="Comma 2 6 9 3 4" xfId="6078" xr:uid="{2C6C4518-7989-497F-8E17-BC657FB710CC}"/>
    <cellStyle name="Comma 2 6 9 4" xfId="1746" xr:uid="{4340741F-0017-47BD-A999-9F1CCBCA8972}"/>
    <cellStyle name="Comma 2 6 9 4 2" xfId="2725" xr:uid="{11C2A253-691B-4911-A64D-562E6F5C5597}"/>
    <cellStyle name="Comma 2 6 9 4 2 2" xfId="7290" xr:uid="{44CFE38B-25D2-4251-B2D2-6F10E1027DB1}"/>
    <cellStyle name="Comma 2 6 9 4 3" xfId="5432" xr:uid="{6E04AD9F-5601-4CB2-BE5C-6D35DCD650B8}"/>
    <cellStyle name="Comma 2 6 9 4 3 2" xfId="9608" xr:uid="{31D3914C-EE32-42FA-8AE8-6B1378249ACA}"/>
    <cellStyle name="Comma 2 6 9 4 4" xfId="6311" xr:uid="{9C0F9998-6700-494E-AE03-CF0CA75E2D97}"/>
    <cellStyle name="Comma 2 6 9 5" xfId="1983" xr:uid="{69F6BEF5-B658-41A3-894E-B8DB71EF90C6}"/>
    <cellStyle name="Comma 2 6 9 5 2" xfId="6548" xr:uid="{521C5F62-098C-421B-81B9-219274B9FE6B}"/>
    <cellStyle name="Comma 2 6 9 6" xfId="5260" xr:uid="{E483EB37-76EB-475B-AE6F-18E54A5E8557}"/>
    <cellStyle name="Comma 2 6 9 6 2" xfId="9482" xr:uid="{607AB399-AC85-4C4F-BF1D-A912D807D9DF}"/>
    <cellStyle name="Comma 2 6 9 7" xfId="5569" xr:uid="{603C73B5-01B0-49D4-AE35-E87D6EE3BCC0}"/>
    <cellStyle name="Comma 2 7" xfId="2963" xr:uid="{07743713-EE5B-4A65-956A-5A9FC79C0290}"/>
    <cellStyle name="Comma 22" xfId="198" xr:uid="{534834CC-0FB7-442E-955D-B854E26566EB}"/>
    <cellStyle name="Comma 22 2" xfId="4352" xr:uid="{B136FD6F-AAEE-4B62-992C-219D586F5DE8}"/>
    <cellStyle name="Comma 22 3" xfId="4222" xr:uid="{85B337ED-07AF-48A0-999F-58568EA5E061}"/>
    <cellStyle name="Comma 3" xfId="199" xr:uid="{336E337D-06BD-496B-B4EB-705182EC01FF}"/>
    <cellStyle name="Comma 3 2" xfId="200" xr:uid="{6B4297B6-135B-49C1-9F52-48BBDDA5CFCE}"/>
    <cellStyle name="Comma 3 2 2" xfId="201" xr:uid="{0BB68635-E2DA-428D-A91D-49E10315DA5E}"/>
    <cellStyle name="Comma 3 2 2 2" xfId="202" xr:uid="{BEADCCB8-C224-43CB-8777-DBC5158416F8}"/>
    <cellStyle name="Comma 3 2 2 2 2" xfId="705" xr:uid="{9EAD8523-D9E5-4F7B-B34F-ECC1638A0882}"/>
    <cellStyle name="Comma 3 2 2 2 2 2" xfId="3000" xr:uid="{0F8AFA47-1EC6-4D44-9380-2ED7AD700774}"/>
    <cellStyle name="Comma 3 2 2 2 2 3" xfId="2965" xr:uid="{9A35DC89-E5DD-4918-A70A-592F53D2A0CB}"/>
    <cellStyle name="Comma 3 2 2 2 3" xfId="704" xr:uid="{881DEFED-F2FA-4B3E-AEDB-26AF4A18EBC7}"/>
    <cellStyle name="Comma 3 2 2 2 4" xfId="1097" xr:uid="{D5EA7354-04DB-4FC0-B22E-F1A5E9F92037}"/>
    <cellStyle name="Comma 3 2 2 2 4 2" xfId="4353" xr:uid="{A12A7818-9772-49B0-BF32-ED5C930CCBAD}"/>
    <cellStyle name="Comma 3 2 2 2 4 3" xfId="4276" xr:uid="{103C05D0-5EC1-4A5E-A69F-FA9BF8B34987}"/>
    <cellStyle name="Comma 3 2 2 3" xfId="703" xr:uid="{406D96B4-B6A9-4B91-8D81-4A0745ABCA4F}"/>
    <cellStyle name="Comma 3 2 3" xfId="203" xr:uid="{E2FE198B-37C1-4DCF-9D1B-08B7676D9F0D}"/>
    <cellStyle name="Comma 3 2 3 2" xfId="702" xr:uid="{3B7C2660-677F-4EE8-BD19-12DDD814D030}"/>
    <cellStyle name="Comma 3 2 4" xfId="701" xr:uid="{E1735D2A-180E-42B3-B483-B550D522E183}"/>
    <cellStyle name="Comma 3 3" xfId="204" xr:uid="{191F4F9F-A38F-4205-B582-3E0A61EE56A1}"/>
    <cellStyle name="Comma 3 3 10" xfId="1689" xr:uid="{1B15D857-986D-4E94-A33D-24B875563052}"/>
    <cellStyle name="Comma 3 3 10 2" xfId="2669" xr:uid="{B0CE698C-4B65-49B3-B12E-8B6C4FB6D54C}"/>
    <cellStyle name="Comma 3 3 10 2 2" xfId="7234" xr:uid="{D55EBDAC-2C49-4FD5-840C-C9E6BB2F468B}"/>
    <cellStyle name="Comma 3 3 10 3" xfId="5419" xr:uid="{6745828E-C051-4DCB-AAA1-02E754CA0344}"/>
    <cellStyle name="Comma 3 3 10 3 2" xfId="9596" xr:uid="{3CF68DA5-2B7D-4A17-830A-7ECF45B6F61D}"/>
    <cellStyle name="Comma 3 3 10 4" xfId="6255" xr:uid="{6EA3DD7A-3BEF-4A48-9E17-CA49AE3AAF44}"/>
    <cellStyle name="Comma 3 3 11" xfId="1908" xr:uid="{DFAB848C-7194-4DFD-9A90-2274A49EC586}"/>
    <cellStyle name="Comma 3 3 11 2" xfId="6473" xr:uid="{6286E294-EBFD-41D8-8E12-830602C07DF9}"/>
    <cellStyle name="Comma 3 3 12" xfId="5494" xr:uid="{84F5D4F0-B2BF-4343-AD7C-AE58A6B27033}"/>
    <cellStyle name="Comma 3 3 2" xfId="700" xr:uid="{77A91470-8809-4015-BB2D-338A5091AFF8}"/>
    <cellStyle name="Comma 3 3 2 10" xfId="2890" xr:uid="{16B07B50-47D5-44EF-9276-1101B7DE998D}"/>
    <cellStyle name="Comma 3 3 2 10 2" xfId="7454" xr:uid="{3026702C-E955-428C-BCC7-E8DCB80598F8}"/>
    <cellStyle name="Comma 3 3 2 11" xfId="5519" xr:uid="{F35B4647-5332-4C9F-B4B7-785FC223A81C}"/>
    <cellStyle name="Comma 3 3 2 2" xfId="926" xr:uid="{F3331752-B84B-458E-B1C1-2A64C3A72D9F}"/>
    <cellStyle name="Comma 3 3 2 2 2" xfId="1303" xr:uid="{A9CFC38A-37AE-450C-BBA7-75195821DF27}"/>
    <cellStyle name="Comma 3 3 2 2 2 2" xfId="2285" xr:uid="{412012BE-AEDE-404B-9803-CE1AFA453584}"/>
    <cellStyle name="Comma 3 3 2 2 2 2 2" xfId="5095" xr:uid="{FE2D8F84-76E5-4693-9121-32B43C55EC7F}"/>
    <cellStyle name="Comma 3 3 2 2 2 2 2 2" xfId="9320" xr:uid="{93CD67C2-A514-4090-8885-06BB51DFD9C7}"/>
    <cellStyle name="Comma 3 3 2 2 2 2 3" xfId="3587" xr:uid="{5D4E6C20-5C58-47FF-8DF1-A06100F4AA82}"/>
    <cellStyle name="Comma 3 3 2 2 2 2 3 2" xfId="8054" xr:uid="{72F44C0E-4689-457F-992E-E69E665F26D1}"/>
    <cellStyle name="Comma 3 3 2 2 2 2 4" xfId="6850" xr:uid="{57B0D03A-FCCE-48E2-8D99-EFA6F0F03A87}"/>
    <cellStyle name="Comma 3 3 2 2 2 3" xfId="3993" xr:uid="{76A1F293-5D93-4F72-9834-DAE1043ECD0A}"/>
    <cellStyle name="Comma 3 3 2 2 2 3 2" xfId="8442" xr:uid="{C9949902-DB91-471E-BA79-B9405231A4AB}"/>
    <cellStyle name="Comma 3 3 2 2 2 4" xfId="4712" xr:uid="{C0A1EF4D-B093-4177-83E2-A95A6458BCC8}"/>
    <cellStyle name="Comma 3 3 2 2 2 4 2" xfId="8958" xr:uid="{AF6E0937-99A9-40C1-ABDB-0FCA8B6E6229}"/>
    <cellStyle name="Comma 3 3 2 2 2 5" xfId="3171" xr:uid="{45C053BE-7E14-4BA0-A2B5-5AA77162DCA7}"/>
    <cellStyle name="Comma 3 3 2 2 2 5 2" xfId="7666" xr:uid="{1FC20B12-8820-4C93-99D5-C9A6863EF710}"/>
    <cellStyle name="Comma 3 3 2 2 2 6" xfId="5871" xr:uid="{28EF027A-13F4-4695-A511-1A4EC47BE96C}"/>
    <cellStyle name="Comma 3 3 2 2 3" xfId="1539" xr:uid="{4BB96554-16D7-42DA-ABD6-B9B50C570AB6}"/>
    <cellStyle name="Comma 3 3 2 2 3 2" xfId="2519" xr:uid="{3299B626-5373-4A5B-BACE-68CC34415B6D}"/>
    <cellStyle name="Comma 3 3 2 2 3 2 2" xfId="5200" xr:uid="{2FCBED53-9E9F-4BFE-84E4-92A950468741}"/>
    <cellStyle name="Comma 3 3 2 2 3 2 2 2" xfId="9425" xr:uid="{2F5CE4E0-A497-4D03-B672-1F3C6EBC84FA}"/>
    <cellStyle name="Comma 3 3 2 2 3 2 3" xfId="3692" xr:uid="{AEFB4D8B-B608-49F7-94AD-E9CC20444ACE}"/>
    <cellStyle name="Comma 3 3 2 2 3 2 3 2" xfId="8159" xr:uid="{519F7D00-B2E5-49DB-8D44-C4BD23412BA1}"/>
    <cellStyle name="Comma 3 3 2 2 3 2 4" xfId="7084" xr:uid="{4DB7B906-75B4-4840-A1F4-5B17404AAE1B}"/>
    <cellStyle name="Comma 3 3 2 2 3 3" xfId="4098" xr:uid="{17AD652A-20FF-43F3-8DA5-E52138915309}"/>
    <cellStyle name="Comma 3 3 2 2 3 3 2" xfId="8547" xr:uid="{BB854332-E31F-4883-AD27-34E12EB9B6F7}"/>
    <cellStyle name="Comma 3 3 2 2 3 4" xfId="4805" xr:uid="{D04F227E-F58D-49FE-8CE3-7E339BC420C0}"/>
    <cellStyle name="Comma 3 3 2 2 3 4 2" xfId="9051" xr:uid="{DD98B52F-DFD6-4F3A-82D1-E5930135D0C0}"/>
    <cellStyle name="Comma 3 3 2 2 3 5" xfId="3278" xr:uid="{D678EC9B-6C6C-430E-9405-243C122FD27E}"/>
    <cellStyle name="Comma 3 3 2 2 3 5 2" xfId="7771" xr:uid="{E11455F4-9286-41C0-999F-9CEDDF514D19}"/>
    <cellStyle name="Comma 3 3 2 2 3 6" xfId="6105" xr:uid="{B0F3737F-A4C3-4E42-B71C-687890D02752}"/>
    <cellStyle name="Comma 3 3 2 2 4" xfId="1773" xr:uid="{AF524F68-5B93-4333-9F47-AA447789CEB8}"/>
    <cellStyle name="Comma 3 3 2 2 4 2" xfId="2752" xr:uid="{9B67C86F-F19F-4F28-AF65-B7151DB38F11}"/>
    <cellStyle name="Comma 3 3 2 2 4 2 2" xfId="4962" xr:uid="{B675532F-6C19-4E9A-A9E3-351F0BF3B0EE}"/>
    <cellStyle name="Comma 3 3 2 2 4 2 2 2" xfId="9192" xr:uid="{A9DB6C36-F4C1-4DC1-B393-7EDA1E01E7D6}"/>
    <cellStyle name="Comma 3 3 2 2 4 2 3" xfId="3482" xr:uid="{03C28E15-EF75-49FA-BDC3-29E891A61B11}"/>
    <cellStyle name="Comma 3 3 2 2 4 2 3 2" xfId="7949" xr:uid="{277A4844-6FD7-4ED2-8C98-7EF6DFE9E1A8}"/>
    <cellStyle name="Comma 3 3 2 2 4 2 4" xfId="7317" xr:uid="{8EE04D80-6456-4D4A-A9B8-0F8A4F61F6E6}"/>
    <cellStyle name="Comma 3 3 2 2 4 3" xfId="3888" xr:uid="{22FC3509-903B-4396-B2A0-D4BBE9EEAA39}"/>
    <cellStyle name="Comma 3 3 2 2 4 3 2" xfId="8337" xr:uid="{B642B19F-2893-4BC5-933F-E91054F4F4A5}"/>
    <cellStyle name="Comma 3 3 2 2 4 4" xfId="4635" xr:uid="{ACC36B1B-6CD0-4AD2-A584-DDE33103461B}"/>
    <cellStyle name="Comma 3 3 2 2 4 4 2" xfId="8881" xr:uid="{CB5B0024-4B3C-497D-8EB8-9C1401AB7746}"/>
    <cellStyle name="Comma 3 3 2 2 4 5" xfId="3051" xr:uid="{859EFD58-A325-4DA7-8F08-3BDBCE97A26B}"/>
    <cellStyle name="Comma 3 3 2 2 4 5 2" xfId="7561" xr:uid="{5900C8AA-7F80-4274-9A53-F79F38E41FC3}"/>
    <cellStyle name="Comma 3 3 2 2 4 6" xfId="6338" xr:uid="{AB85816C-4449-4FBB-A91D-AB8E2456D6F6}"/>
    <cellStyle name="Comma 3 3 2 2 5" xfId="2010" xr:uid="{1EFEDAB9-0764-4631-82CA-EBC4A27D2BCB}"/>
    <cellStyle name="Comma 3 3 2 2 5 2" xfId="4536" xr:uid="{4C17715F-069B-439D-896B-4F800FC7F5CB}"/>
    <cellStyle name="Comma 3 3 2 2 5 2 2" xfId="8798" xr:uid="{7615B597-C75B-4685-87AD-77ED16AE936D}"/>
    <cellStyle name="Comma 3 3 2 2 5 3" xfId="3408" xr:uid="{C70DEF3C-85D6-426E-8102-FBC9370E0E2C}"/>
    <cellStyle name="Comma 3 3 2 2 5 3 2" xfId="7876" xr:uid="{42E5A630-4A0C-4D66-8E13-FFD13464F309}"/>
    <cellStyle name="Comma 3 3 2 2 5 4" xfId="6575" xr:uid="{1E925F12-EE90-4FC0-93CC-DE41C06A35BF}"/>
    <cellStyle name="Comma 3 3 2 2 6" xfId="3815" xr:uid="{AE4366CB-B7E6-4C6C-BE08-98A07DD8A46F}"/>
    <cellStyle name="Comma 3 3 2 2 6 2" xfId="4885" xr:uid="{2ACBC840-3F91-472A-B43D-929F257EFF2F}"/>
    <cellStyle name="Comma 3 3 2 2 6 2 2" xfId="9117" xr:uid="{38BD357C-22E4-4559-BA56-541D98E63A46}"/>
    <cellStyle name="Comma 3 3 2 2 6 3" xfId="8264" xr:uid="{D2F82682-288B-46EB-B86E-7CE884A6AC40}"/>
    <cellStyle name="Comma 3 3 2 2 7" xfId="4462" xr:uid="{84AA5D10-8388-4B14-AF1F-4184E329DAFD}"/>
    <cellStyle name="Comma 3 3 2 2 7 2" xfId="8739" xr:uid="{44C31EB5-5666-47A0-9E87-9BD0BE239D3D}"/>
    <cellStyle name="Comma 3 3 2 2 8" xfId="2926" xr:uid="{703BC16E-3748-43B2-918D-49F8EC569B49}"/>
    <cellStyle name="Comma 3 3 2 2 8 2" xfId="7488" xr:uid="{C059BCB3-3725-442D-A4E9-AC43758F88C2}"/>
    <cellStyle name="Comma 3 3 2 2 9" xfId="5596" xr:uid="{EA120AE7-C1CE-4F8A-B8D8-B3CCC9599CC7}"/>
    <cellStyle name="Comma 3 3 2 3" xfId="1014" xr:uid="{327DE4E3-F4F2-4936-9FD0-C3FED00F7898}"/>
    <cellStyle name="Comma 3 3 2 3 2" xfId="1382" xr:uid="{3B564864-FFA5-43CD-AC72-28CCDF2C55E5}"/>
    <cellStyle name="Comma 3 3 2 3 2 2" xfId="2362" xr:uid="{6E94334B-7237-41C6-B89F-D73D0EA77414}"/>
    <cellStyle name="Comma 3 3 2 3 2 2 2" xfId="5129" xr:uid="{90911725-79B5-49E0-BFD6-A3419F3BF447}"/>
    <cellStyle name="Comma 3 3 2 3 2 2 2 2" xfId="9354" xr:uid="{4244D508-AE9E-4BEC-83A8-91BDD6364E69}"/>
    <cellStyle name="Comma 3 3 2 3 2 2 3" xfId="3621" xr:uid="{45B407FA-6E71-4556-8644-414100BF9C1A}"/>
    <cellStyle name="Comma 3 3 2 3 2 2 3 2" xfId="8088" xr:uid="{B61CDDAB-5A59-455D-9340-B8B7FA21E215}"/>
    <cellStyle name="Comma 3 3 2 3 2 2 4" xfId="6927" xr:uid="{BBE6D1C0-C3CD-42CF-A118-BC335D611B25}"/>
    <cellStyle name="Comma 3 3 2 3 2 3" xfId="4027" xr:uid="{39326831-CFF3-4FC9-94A5-63D3741B7E22}"/>
    <cellStyle name="Comma 3 3 2 3 2 3 2" xfId="8476" xr:uid="{8135EE13-C3FF-4A99-A0BE-F14373291B5E}"/>
    <cellStyle name="Comma 3 3 2 3 2 4" xfId="4745" xr:uid="{BA0DBAB7-4725-4249-8C74-03D774C4DF50}"/>
    <cellStyle name="Comma 3 3 2 3 2 4 2" xfId="8991" xr:uid="{114408BE-63E4-49EA-A158-37FFB0818801}"/>
    <cellStyle name="Comma 3 3 2 3 2 5" xfId="3205" xr:uid="{41EEBA8C-ECDA-47EE-9988-AF94233F3814}"/>
    <cellStyle name="Comma 3 3 2 3 2 5 2" xfId="7700" xr:uid="{33C0F816-B02B-45CB-B2BF-0382CC58ED18}"/>
    <cellStyle name="Comma 3 3 2 3 2 6" xfId="5948" xr:uid="{193920C3-E746-40DD-84CD-4684BC6BBDB7}"/>
    <cellStyle name="Comma 3 3 2 3 3" xfId="1616" xr:uid="{DC40BF1A-5B89-4D38-87D1-BBDD1D0DC1C5}"/>
    <cellStyle name="Comma 3 3 2 3 3 2" xfId="2596" xr:uid="{4268C5BF-65D3-4E7C-BC81-BDF73FF5F769}"/>
    <cellStyle name="Comma 3 3 2 3 3 2 2" xfId="5234" xr:uid="{9ADA37A9-0BD7-4F43-8186-4B5C14092F30}"/>
    <cellStyle name="Comma 3 3 2 3 3 2 2 2" xfId="9459" xr:uid="{D52CFC44-0B18-474E-8205-374DE2958C9E}"/>
    <cellStyle name="Comma 3 3 2 3 3 2 3" xfId="3726" xr:uid="{ED57FCAF-0E4F-4C01-9C88-8D2389C23ED4}"/>
    <cellStyle name="Comma 3 3 2 3 3 2 3 2" xfId="8193" xr:uid="{B2C51A1E-1015-4ECF-9076-942E5B9A4326}"/>
    <cellStyle name="Comma 3 3 2 3 3 2 4" xfId="7161" xr:uid="{ECFF0BD6-78FE-4837-93D7-6B5F7EA9CFD7}"/>
    <cellStyle name="Comma 3 3 2 3 3 3" xfId="4132" xr:uid="{A197C7AB-EEC3-467B-B30F-F176B6F7A3EA}"/>
    <cellStyle name="Comma 3 3 2 3 3 3 2" xfId="8581" xr:uid="{3C0130EC-F60C-4320-AB06-3DC69CD08BD2}"/>
    <cellStyle name="Comma 3 3 2 3 3 4" xfId="4821" xr:uid="{78123BA5-B360-47FD-B21E-15B4F5ADEC32}"/>
    <cellStyle name="Comma 3 3 2 3 3 4 2" xfId="9067" xr:uid="{48E03213-ED24-43D0-A1EA-1D2547CC2EF8}"/>
    <cellStyle name="Comma 3 3 2 3 3 5" xfId="3316" xr:uid="{5B15617E-AC21-46F0-AA3E-F83BF54CDBC0}"/>
    <cellStyle name="Comma 3 3 2 3 3 5 2" xfId="7805" xr:uid="{5C276818-1171-4291-B002-D6BB11E50782}"/>
    <cellStyle name="Comma 3 3 2 3 3 6" xfId="6182" xr:uid="{A212FC9B-7011-47E7-A944-5D6F1E4DDEBB}"/>
    <cellStyle name="Comma 3 3 2 3 4" xfId="1850" xr:uid="{DFC37B75-DB64-4FF1-9F21-8213C3009EB8}"/>
    <cellStyle name="Comma 3 3 2 3 4 2" xfId="2829" xr:uid="{BDF31725-6873-4E82-88F7-D56E6985D71C}"/>
    <cellStyle name="Comma 3 3 2 3 4 2 2" xfId="5025" xr:uid="{447EF521-AF7D-4B79-A471-A7D582425F2B}"/>
    <cellStyle name="Comma 3 3 2 3 4 2 2 2" xfId="9251" xr:uid="{090B221C-A359-4029-A118-D662A5A7FDEA}"/>
    <cellStyle name="Comma 3 3 2 3 4 2 3" xfId="7394" xr:uid="{1B8CE095-3350-462C-908B-01E3DF635B68}"/>
    <cellStyle name="Comma 3 3 2 3 4 3" xfId="3516" xr:uid="{741AD50A-221C-4FE7-88DD-5C5E5167C866}"/>
    <cellStyle name="Comma 3 3 2 3 4 3 2" xfId="7983" xr:uid="{9F81F841-200E-4FD4-BA52-580D5DFA9A03}"/>
    <cellStyle name="Comma 3 3 2 3 4 4" xfId="6415" xr:uid="{5D102F6D-ABE4-4BD7-B962-23F579D81739}"/>
    <cellStyle name="Comma 3 3 2 3 5" xfId="2087" xr:uid="{C4CF1A1F-DDE4-42C7-B52B-EB4AEBB890F8}"/>
    <cellStyle name="Comma 3 3 2 3 5 2" xfId="3922" xr:uid="{5693CE90-1935-410A-9952-58BCDE686E8B}"/>
    <cellStyle name="Comma 3 3 2 3 5 2 2" xfId="8371" xr:uid="{B9CBC845-599F-47FB-AC28-61E031472E84}"/>
    <cellStyle name="Comma 3 3 2 3 5 3" xfId="6652" xr:uid="{0B0D16AC-4D93-449F-80CB-940804C618D3}"/>
    <cellStyle name="Comma 3 3 2 3 6" xfId="4604" xr:uid="{ED86FB44-0756-4C5F-A371-14B90257E07B}"/>
    <cellStyle name="Comma 3 3 2 3 6 2" xfId="8856" xr:uid="{E5AB40A8-5243-4E3C-BA93-13279773E887}"/>
    <cellStyle name="Comma 3 3 2 3 7" xfId="3089" xr:uid="{6F7FE7AF-290B-427B-AB7D-04102F7F7FE3}"/>
    <cellStyle name="Comma 3 3 2 3 7 2" xfId="7595" xr:uid="{264E13F9-2D64-46A2-B153-6A6909990A70}"/>
    <cellStyle name="Comma 3 3 2 3 8" xfId="5673" xr:uid="{0AD9E16A-003C-4296-B331-FCDE1E813F31}"/>
    <cellStyle name="Comma 3 3 2 4" xfId="1099" xr:uid="{2718D292-955E-40FA-B345-E39D61C3E676}"/>
    <cellStyle name="Comma 3 3 2 4 2" xfId="2141" xr:uid="{B062BACC-B2E9-44F8-81B9-D35540E62D00}"/>
    <cellStyle name="Comma 3 3 2 4 2 2" xfId="5064" xr:uid="{8B56DF24-8687-4C9F-B49F-9B2C515880D5}"/>
    <cellStyle name="Comma 3 3 2 4 2 2 2" xfId="9290" xr:uid="{4105BC93-9F31-47C7-BF4B-6499EE6B6F1E}"/>
    <cellStyle name="Comma 3 3 2 4 2 3" xfId="3556" xr:uid="{84EB462E-CE15-4CB0-9E79-4B461614C080}"/>
    <cellStyle name="Comma 3 3 2 4 2 3 2" xfId="8023" xr:uid="{0E89C5FF-95CC-4FCC-99D6-31FA3C7FAC2D}"/>
    <cellStyle name="Comma 3 3 2 4 2 4" xfId="6706" xr:uid="{BB40877D-E422-4F32-A113-4EE11AB3446D}"/>
    <cellStyle name="Comma 3 3 2 4 3" xfId="3962" xr:uid="{C13FEEA7-9FC3-413A-AB8C-B198A81CE56F}"/>
    <cellStyle name="Comma 3 3 2 4 3 2" xfId="8411" xr:uid="{FFBD1C41-9526-48F4-9A37-0B124B9B74CD}"/>
    <cellStyle name="Comma 3 3 2 4 4" xfId="4688" xr:uid="{8BFA1701-7619-4056-AEAF-EA1202B0F4E7}"/>
    <cellStyle name="Comma 3 3 2 4 4 2" xfId="8934" xr:uid="{5E6A660F-CF8E-4784-9A17-695DC407F315}"/>
    <cellStyle name="Comma 3 3 2 4 5" xfId="3140" xr:uid="{D2381274-F2A6-4CB5-87C0-D56A0973203C}"/>
    <cellStyle name="Comma 3 3 2 4 5 2" xfId="7635" xr:uid="{95DF78DA-C062-4391-815F-1B7E51CF71C8}"/>
    <cellStyle name="Comma 3 3 2 4 6" xfId="5727" xr:uid="{C78967E4-6EBA-46A2-A802-830733214F7D}"/>
    <cellStyle name="Comma 3 3 2 5" xfId="1224" xr:uid="{8D101682-C4E3-4CA8-A1BB-69988AA01AAC}"/>
    <cellStyle name="Comma 3 3 2 5 2" xfId="2208" xr:uid="{547BA3E6-208C-4F37-8384-DAFC168E65B1}"/>
    <cellStyle name="Comma 3 3 2 5 2 2" xfId="5169" xr:uid="{1E7BE8A6-108D-48FF-A454-5DC5CA467C6A}"/>
    <cellStyle name="Comma 3 3 2 5 2 2 2" xfId="9394" xr:uid="{43C1E0D5-90E1-429D-BE8B-0059FF78D060}"/>
    <cellStyle name="Comma 3 3 2 5 2 3" xfId="3661" xr:uid="{B2336F13-7F23-49E8-B202-F1DAAC20FC53}"/>
    <cellStyle name="Comma 3 3 2 5 2 3 2" xfId="8128" xr:uid="{AA6885DE-F063-4C15-8455-D67F4D960156}"/>
    <cellStyle name="Comma 3 3 2 5 2 4" xfId="6773" xr:uid="{9EE39EDA-3BED-471F-92D4-23D497F2E57A}"/>
    <cellStyle name="Comma 3 3 2 5 3" xfId="4067" xr:uid="{7F7B136B-014D-486A-87FE-E376343B0A26}"/>
    <cellStyle name="Comma 3 3 2 5 3 2" xfId="8516" xr:uid="{351D14D1-51C4-479E-B5DA-68C59F1572EC}"/>
    <cellStyle name="Comma 3 3 2 5 4" xfId="4784" xr:uid="{4F00B925-E8CF-4163-8C23-C87AE14696C6}"/>
    <cellStyle name="Comma 3 3 2 5 4 2" xfId="9030" xr:uid="{51220D61-F0D4-4293-B8D7-B8126D6BEF2F}"/>
    <cellStyle name="Comma 3 3 2 5 5" xfId="3246" xr:uid="{29C7E974-7F18-4639-9112-A744EBDEA7EA}"/>
    <cellStyle name="Comma 3 3 2 5 5 2" xfId="7740" xr:uid="{7583B9E0-AB93-449A-AE5C-B31D5D73E5F4}"/>
    <cellStyle name="Comma 3 3 2 5 6" xfId="5794" xr:uid="{6B46C9D2-2E84-4697-AEF4-36838C2E6652}"/>
    <cellStyle name="Comma 3 3 2 6" xfId="1462" xr:uid="{10360CD1-70BE-422B-BEAE-7EAD76CA9089}"/>
    <cellStyle name="Comma 3 3 2 6 2" xfId="2442" xr:uid="{14FC5A95-2705-40D2-BEBD-1CD7441A5116}"/>
    <cellStyle name="Comma 3 3 2 6 2 2" xfId="4873" xr:uid="{942A789C-6903-4C93-971C-968292895E3B}"/>
    <cellStyle name="Comma 3 3 2 6 2 2 2" xfId="9107" xr:uid="{C187DA36-4705-4930-9F69-4216A0911106}"/>
    <cellStyle name="Comma 3 3 2 6 2 3" xfId="3450" xr:uid="{38897528-8133-4F22-B314-7D89B8C72A81}"/>
    <cellStyle name="Comma 3 3 2 6 2 3 2" xfId="7918" xr:uid="{75DD9EF7-A13C-420F-A41A-83BFE268494C}"/>
    <cellStyle name="Comma 3 3 2 6 2 4" xfId="7007" xr:uid="{B1D6DB0E-A2EC-4E72-8493-FC6BBF44416D}"/>
    <cellStyle name="Comma 3 3 2 6 3" xfId="3857" xr:uid="{2532380B-45BC-456C-AD90-3AE4CACB09B9}"/>
    <cellStyle name="Comma 3 3 2 6 3 2" xfId="8306" xr:uid="{E84B8595-2DD9-4A69-8130-664FEC1C6051}"/>
    <cellStyle name="Comma 3 3 2 6 4" xfId="4625" xr:uid="{5C40EE56-6341-423A-B690-4C778DF4C196}"/>
    <cellStyle name="Comma 3 3 2 6 4 2" xfId="8872" xr:uid="{77201AFD-0F04-4733-BCF1-22AF1F954B84}"/>
    <cellStyle name="Comma 3 3 2 6 5" xfId="3001" xr:uid="{7D8253C1-3D6F-45B6-B992-118D38F513BF}"/>
    <cellStyle name="Comma 3 3 2 6 5 2" xfId="7530" xr:uid="{8AEC93E1-BB44-4C0C-87F1-8177EF3D9B61}"/>
    <cellStyle name="Comma 3 3 2 6 6" xfId="6028" xr:uid="{76E832B8-1E49-485B-9437-3CCE6DCE9F10}"/>
    <cellStyle name="Comma 3 3 2 7" xfId="1690" xr:uid="{BCEAD785-1127-45BE-BF8E-90D74BC7B8C7}"/>
    <cellStyle name="Comma 3 3 2 7 2" xfId="2670" xr:uid="{764752E3-3FF6-4671-9A72-007C9CC2F843}"/>
    <cellStyle name="Comma 3 3 2 7 2 2" xfId="4971" xr:uid="{FF879C4D-FEC6-47BE-8422-11E0A718C3C4}"/>
    <cellStyle name="Comma 3 3 2 7 2 2 2" xfId="9200" xr:uid="{4A840444-A830-42BA-97AF-BC587B22CABE}"/>
    <cellStyle name="Comma 3 3 2 7 2 3" xfId="7235" xr:uid="{5C4D69FB-7002-40F6-818E-45700D134CDB}"/>
    <cellStyle name="Comma 3 3 2 7 3" xfId="3355" xr:uid="{43D6CE8B-35BE-4E6C-9496-47CF654924AD}"/>
    <cellStyle name="Comma 3 3 2 7 3 2" xfId="7842" xr:uid="{52D3F37B-E52F-43AB-98A0-2AB4AEF2D319}"/>
    <cellStyle name="Comma 3 3 2 7 4" xfId="6256" xr:uid="{EBE1F760-370F-4DB6-AFE4-AEA2609A4757}"/>
    <cellStyle name="Comma 3 3 2 8" xfId="1933" xr:uid="{6C29BDD6-46C4-43F2-B3B4-9708055EA291}"/>
    <cellStyle name="Comma 3 3 2 8 2" xfId="3778" xr:uid="{099269BA-DE7C-4A15-B7D4-D37618F90D37}"/>
    <cellStyle name="Comma 3 3 2 8 2 2" xfId="8230" xr:uid="{48D4411C-BB50-48BF-B43F-FCD37524C2AF}"/>
    <cellStyle name="Comma 3 3 2 8 3" xfId="6498" xr:uid="{41CA4AD4-6FD4-4CA1-836E-9140D3B1CF64}"/>
    <cellStyle name="Comma 3 3 2 9" xfId="4354" xr:uid="{D64ED959-84A2-4745-8426-2DDEF289E770}"/>
    <cellStyle name="Comma 3 3 2 9 2" xfId="8667" xr:uid="{F1C5454C-B71B-4420-92D2-15042866E12E}"/>
    <cellStyle name="Comma 3 3 3" xfId="699" xr:uid="{7412F427-4281-4F04-8151-A614CA4A565F}"/>
    <cellStyle name="Comma 3 3 4" xfId="843" xr:uid="{DB4C2358-EAD1-4C9F-847A-F2A2E08DEA0D}"/>
    <cellStyle name="Comma 3 3 4 10" xfId="5536" xr:uid="{972261B4-05FB-404A-BA9B-34E7983C60C9}"/>
    <cellStyle name="Comma 3 3 4 2" xfId="949" xr:uid="{CA995670-6B9F-44C1-B294-98A522FB6255}"/>
    <cellStyle name="Comma 3 3 4 2 2" xfId="1322" xr:uid="{7183A85A-129A-4169-9EE4-C17658AB9773}"/>
    <cellStyle name="Comma 3 3 4 2 2 2" xfId="2302" xr:uid="{A7942746-F4AE-4A76-8A34-537F7CB0FF2C}"/>
    <cellStyle name="Comma 3 3 4 2 2 2 2" xfId="6867" xr:uid="{E7EB7EBB-2E43-4ABB-9C7C-D8D3816F2DC9}"/>
    <cellStyle name="Comma 3 3 4 2 2 3" xfId="5352" xr:uid="{89A77F23-C004-401C-8735-0044A484C168}"/>
    <cellStyle name="Comma 3 3 4 2 2 3 2" xfId="9530" xr:uid="{B3E42E6C-396B-410F-8F1D-5FA2D4485A13}"/>
    <cellStyle name="Comma 3 3 4 2 2 4" xfId="5888" xr:uid="{ADF7CE4C-46DC-49E3-B172-4E28170A03BF}"/>
    <cellStyle name="Comma 3 3 4 2 3" xfId="1556" xr:uid="{A15C1467-5067-46D5-A5C9-06423BC5E07D}"/>
    <cellStyle name="Comma 3 3 4 2 3 2" xfId="2536" xr:uid="{EE4FD4EA-41F7-4381-B1B0-5734553975E1}"/>
    <cellStyle name="Comma 3 3 4 2 3 2 2" xfId="7101" xr:uid="{055FD914-AC34-406B-81A4-B741233561E9}"/>
    <cellStyle name="Comma 3 3 4 2 3 3" xfId="5391" xr:uid="{67FE1E81-7149-4F3D-930F-224FE85A6FAC}"/>
    <cellStyle name="Comma 3 3 4 2 3 3 2" xfId="9568" xr:uid="{4E80242D-CE65-41BE-BEF2-72A60AC64704}"/>
    <cellStyle name="Comma 3 3 4 2 3 4" xfId="6122" xr:uid="{814ED725-0406-4E6F-8D81-86481A620EC8}"/>
    <cellStyle name="Comma 3 3 4 2 4" xfId="1790" xr:uid="{E11F22D9-0E8F-442A-AFDE-894A69539466}"/>
    <cellStyle name="Comma 3 3 4 2 4 2" xfId="2769" xr:uid="{C182E22B-2656-48A6-9E29-9302D1200BE8}"/>
    <cellStyle name="Comma 3 3 4 2 4 2 2" xfId="7334" xr:uid="{348653C7-72BF-4BEC-B201-981B721D3EF4}"/>
    <cellStyle name="Comma 3 3 4 2 4 3" xfId="5441" xr:uid="{74B3F82C-5E48-49DB-9FF3-281961788035}"/>
    <cellStyle name="Comma 3 3 4 2 4 3 2" xfId="9617" xr:uid="{0438669F-828E-4533-9EBE-ACBF4F967C65}"/>
    <cellStyle name="Comma 3 3 4 2 4 4" xfId="6355" xr:uid="{BD41C645-4FD1-4758-90AC-D8B8E0049F9B}"/>
    <cellStyle name="Comma 3 3 4 2 5" xfId="2027" xr:uid="{AE97A0BE-0919-4B84-8323-94B79A5AF57B}"/>
    <cellStyle name="Comma 3 3 4 2 5 2" xfId="6592" xr:uid="{0C50247D-976F-42E6-9F4E-E30FE9F28333}"/>
    <cellStyle name="Comma 3 3 4 2 6" xfId="5264" xr:uid="{248F67CC-3FE7-4649-ADC8-F5AC3141BFFC}"/>
    <cellStyle name="Comma 3 3 4 2 6 2" xfId="9486" xr:uid="{142BD0B9-8EB7-4C2B-AC12-684777B100EA}"/>
    <cellStyle name="Comma 3 3 4 2 7" xfId="5613" xr:uid="{FC091AA4-5F49-499D-9DA8-CE188B4BAE03}"/>
    <cellStyle name="Comma 3 3 4 3" xfId="1031" xr:uid="{BC8E1DCF-4F6C-45CF-8AE0-E3881D8FDD60}"/>
    <cellStyle name="Comma 3 3 4 3 2" xfId="1399" xr:uid="{A1A30FF5-3117-4D6C-9CE5-D8DE53B71B5B}"/>
    <cellStyle name="Comma 3 3 4 3 2 2" xfId="2379" xr:uid="{0A0878EB-6280-4A6F-BA43-38604206DBF2}"/>
    <cellStyle name="Comma 3 3 4 3 2 2 2" xfId="6944" xr:uid="{175C8AC0-E675-4507-9F35-9B597E64940D}"/>
    <cellStyle name="Comma 3 3 4 3 2 3" xfId="5365" xr:uid="{656B24C2-2E66-4A6D-B078-083BB3214C00}"/>
    <cellStyle name="Comma 3 3 4 3 2 3 2" xfId="9543" xr:uid="{770991A0-167F-40F2-8836-C10BFAC6449F}"/>
    <cellStyle name="Comma 3 3 4 3 2 4" xfId="5965" xr:uid="{DA886386-FBF1-46D7-9996-49131DE2EE77}"/>
    <cellStyle name="Comma 3 3 4 3 3" xfId="1633" xr:uid="{1CFDE4EE-0779-4692-8CFD-6AA472289B0A}"/>
    <cellStyle name="Comma 3 3 4 3 3 2" xfId="2613" xr:uid="{734DF304-67E1-4575-93EF-BF0929C0EA61}"/>
    <cellStyle name="Comma 3 3 4 3 3 2 2" xfId="7178" xr:uid="{70D13AB4-7159-424E-927A-8290EAEC7F58}"/>
    <cellStyle name="Comma 3 3 4 3 3 3" xfId="5405" xr:uid="{3E994E97-0F52-4F03-BDCA-C834EE5B8148}"/>
    <cellStyle name="Comma 3 3 4 3 3 3 2" xfId="9582" xr:uid="{478CD713-DF8E-4B17-991E-DA05695BE671}"/>
    <cellStyle name="Comma 3 3 4 3 3 4" xfId="6199" xr:uid="{D114DBFB-0E33-4795-BFF5-DFFE5CF8BAD1}"/>
    <cellStyle name="Comma 3 3 4 3 4" xfId="1867" xr:uid="{78FB3F2E-ACA4-4574-B37D-9170FE0B28F5}"/>
    <cellStyle name="Comma 3 3 4 3 4 2" xfId="2846" xr:uid="{9954BCC0-A9E6-483E-8140-5B5F6E7CAA74}"/>
    <cellStyle name="Comma 3 3 4 3 4 2 2" xfId="7411" xr:uid="{316D2140-C3B7-4CE1-B6B6-99F46782ECFD}"/>
    <cellStyle name="Comma 3 3 4 3 4 3" xfId="5461" xr:uid="{57147F68-A8C3-4BBB-9979-2C37CBAD19E8}"/>
    <cellStyle name="Comma 3 3 4 3 4 3 2" xfId="9637" xr:uid="{FAE1D649-832D-4898-B210-8CF6A3B8ABAD}"/>
    <cellStyle name="Comma 3 3 4 3 4 4" xfId="6432" xr:uid="{2CB58AEE-E7E1-4032-97D5-211DD4D38325}"/>
    <cellStyle name="Comma 3 3 4 3 5" xfId="2104" xr:uid="{71D9A9BE-3009-4EEF-8288-DB169E4A58B3}"/>
    <cellStyle name="Comma 3 3 4 3 5 2" xfId="6669" xr:uid="{E09D2F9A-9AF6-4D94-AFCF-B43A3BFE6D03}"/>
    <cellStyle name="Comma 3 3 4 3 6" xfId="5275" xr:uid="{F22ECA8E-659C-4834-AD77-87838956BB7F}"/>
    <cellStyle name="Comma 3 3 4 3 6 2" xfId="9497" xr:uid="{B79F042E-205E-4C08-80AD-55AD168A6F20}"/>
    <cellStyle name="Comma 3 3 4 3 7" xfId="5690" xr:uid="{1B8D5179-D5B5-4127-8244-D163C2BF031E}"/>
    <cellStyle name="Comma 3 3 4 4" xfId="1243" xr:uid="{DEB9E8CA-1CF4-404A-BE21-99D4327317AA}"/>
    <cellStyle name="Comma 3 3 4 4 2" xfId="2225" xr:uid="{C1446AA6-573B-4873-9F27-5F2131A7D8AC}"/>
    <cellStyle name="Comma 3 3 4 4 2 2" xfId="6790" xr:uid="{E49ECF89-34A0-4521-AE89-C58B4CBFD8EA}"/>
    <cellStyle name="Comma 3 3 4 4 3" xfId="5336" xr:uid="{6A592E18-6F00-4DA3-89D2-44600737344F}"/>
    <cellStyle name="Comma 3 3 4 4 3 2" xfId="9518" xr:uid="{EF206B85-8290-40FF-A263-299C98BAD43F}"/>
    <cellStyle name="Comma 3 3 4 4 4" xfId="5811" xr:uid="{E9D8D44B-FD74-47F7-94C6-ED83E4A102E6}"/>
    <cellStyle name="Comma 3 3 4 5" xfId="1479" xr:uid="{FFC5F9D4-E7B0-4839-8C5E-7C3337ABA44C}"/>
    <cellStyle name="Comma 3 3 4 5 2" xfId="2459" xr:uid="{59E14C49-48A0-4B32-B218-6683C849786E}"/>
    <cellStyle name="Comma 3 3 4 5 2 2" xfId="7024" xr:uid="{F278E4F4-3D2D-48D1-B424-FE3AE524E007}"/>
    <cellStyle name="Comma 3 3 4 5 3" xfId="5379" xr:uid="{E60CCA43-5547-4AE1-8F4C-08903F5C95F9}"/>
    <cellStyle name="Comma 3 3 4 5 3 2" xfId="9557" xr:uid="{175DA0CE-3D41-45E2-8372-EBD7D2E1415E}"/>
    <cellStyle name="Comma 3 3 4 5 4" xfId="6045" xr:uid="{1978FDB5-C363-476C-9E77-CD6B217DEC18}"/>
    <cellStyle name="Comma 3 3 4 6" xfId="1660" xr:uid="{93D6A7B4-B5C4-46B6-A068-9F73468D6217}"/>
    <cellStyle name="Comma 3 3 4 6 2" xfId="2640" xr:uid="{A053AB7E-94F5-4C3D-905C-21C7F3FF4F82}"/>
    <cellStyle name="Comma 3 3 4 6 2 2" xfId="7205" xr:uid="{95CD6EE1-D858-42BA-8600-62E4987D2EE5}"/>
    <cellStyle name="Comma 3 3 4 6 3" xfId="5415" xr:uid="{F40A02EF-DA47-4AB4-9FC6-F76856B422FE}"/>
    <cellStyle name="Comma 3 3 4 6 3 2" xfId="9592" xr:uid="{0B7EFBCC-40A1-4CB3-A4FA-1E3858625555}"/>
    <cellStyle name="Comma 3 3 4 6 4" xfId="6226" xr:uid="{E03EA992-F211-4B61-94B7-52A78ECCE503}"/>
    <cellStyle name="Comma 3 3 4 7" xfId="1950" xr:uid="{2EE10191-4395-41A5-8CBE-9CD8A6488192}"/>
    <cellStyle name="Comma 3 3 4 7 2" xfId="6515" xr:uid="{1371013F-8344-4DFB-839F-698BA404436A}"/>
    <cellStyle name="Comma 3 3 4 8" xfId="4223" xr:uid="{11C250E3-96BD-4872-85F4-FAA9B762DCE7}"/>
    <cellStyle name="Comma 3 3 4 9" xfId="5257" xr:uid="{78E45F04-D055-4265-B521-CF72A72E25D3}"/>
    <cellStyle name="Comma 3 3 4 9 2" xfId="9479" xr:uid="{A2602914-0584-40AB-A539-2A9CC798CA13}"/>
    <cellStyle name="Comma 3 3 5" xfId="883" xr:uid="{198DA18F-D0D1-42E6-9AC5-236A1EA7D8DB}"/>
    <cellStyle name="Comma 3 3 5 2" xfId="1278" xr:uid="{75197758-35A5-46C3-8B0F-DB4F6C2515C1}"/>
    <cellStyle name="Comma 3 3 5 2 2" xfId="2260" xr:uid="{6C58F18C-41A1-472E-B947-6ED6A60B8BD1}"/>
    <cellStyle name="Comma 3 3 5 2 2 2" xfId="6825" xr:uid="{3D27A1DB-581B-4DA1-9090-0AC5B3FF9A0A}"/>
    <cellStyle name="Comma 3 3 5 2 3" xfId="5343" xr:uid="{26197AB5-B280-4DB4-BB37-376668C4135B}"/>
    <cellStyle name="Comma 3 3 5 2 3 2" xfId="9524" xr:uid="{2A38F3BB-86BE-44C7-9203-8365C9699DB1}"/>
    <cellStyle name="Comma 3 3 5 2 4" xfId="5846" xr:uid="{AAD605C8-FE5E-4D2F-8048-C7AC2DEB35C1}"/>
    <cellStyle name="Comma 3 3 5 3" xfId="1514" xr:uid="{DD17BF40-4271-44DC-B88C-51CE174D40C0}"/>
    <cellStyle name="Comma 3 3 5 3 2" xfId="2494" xr:uid="{EAC87F96-E6FA-4D61-9F03-C3F58AA73736}"/>
    <cellStyle name="Comma 3 3 5 3 2 2" xfId="7059" xr:uid="{205C25EF-C4F3-4A49-A12D-A22367FB8ABC}"/>
    <cellStyle name="Comma 3 3 5 3 3" xfId="5386" xr:uid="{28A91233-F2A3-440D-986E-D5D029C443A1}"/>
    <cellStyle name="Comma 3 3 5 3 3 2" xfId="9563" xr:uid="{F7B3131A-3BB2-457A-A847-BDC089C43155}"/>
    <cellStyle name="Comma 3 3 5 3 4" xfId="6080" xr:uid="{1E6A47FB-FA0A-4583-99BB-2D2FACCB16C5}"/>
    <cellStyle name="Comma 3 3 5 4" xfId="1748" xr:uid="{901DEC3E-7003-48B6-8CD8-E88698C20E52}"/>
    <cellStyle name="Comma 3 3 5 4 2" xfId="2727" xr:uid="{2FFB6A2C-FF14-4647-9D8E-B579380CA70A}"/>
    <cellStyle name="Comma 3 3 5 4 2 2" xfId="7292" xr:uid="{4627D8C9-99FE-4AF2-950E-8CEC74A0C12D}"/>
    <cellStyle name="Comma 3 3 5 4 3" xfId="5433" xr:uid="{52821C31-F1F6-4E22-BEDD-63AC06D604BC}"/>
    <cellStyle name="Comma 3 3 5 4 3 2" xfId="9609" xr:uid="{2BAF445E-F42F-4BE4-8C2F-676484EB47FE}"/>
    <cellStyle name="Comma 3 3 5 4 4" xfId="6313" xr:uid="{3BBAA8A1-3366-4FFB-8FDF-54549A05D7D8}"/>
    <cellStyle name="Comma 3 3 5 5" xfId="1985" xr:uid="{742AD4CE-CC30-4E0D-A2B6-49F662006C8F}"/>
    <cellStyle name="Comma 3 3 5 5 2" xfId="6550" xr:uid="{DD9930EF-67FE-4D39-8F1F-9C49BF11C81D}"/>
    <cellStyle name="Comma 3 3 5 6" xfId="5261" xr:uid="{3CBF0587-264F-4D7D-825D-5E3096FBA146}"/>
    <cellStyle name="Comma 3 3 5 6 2" xfId="9483" xr:uid="{46E58E62-A399-4DE8-A59F-5C628D3F93A2}"/>
    <cellStyle name="Comma 3 3 5 7" xfId="5571" xr:uid="{6D56422E-B778-448E-880D-791C80A99B42}"/>
    <cellStyle name="Comma 3 3 6" xfId="989" xr:uid="{E6D4432D-615F-4649-B527-CE3267C6A20B}"/>
    <cellStyle name="Comma 3 3 6 2" xfId="1357" xr:uid="{324FBFD8-BD9E-49CD-8F2B-8026FD090561}"/>
    <cellStyle name="Comma 3 3 6 2 2" xfId="2337" xr:uid="{33AEE2FE-8C98-4C23-A945-60DEDE33176F}"/>
    <cellStyle name="Comma 3 3 6 2 2 2" xfId="6902" xr:uid="{2760CB4B-3DFE-421E-9806-39026EFB06D4}"/>
    <cellStyle name="Comma 3 3 6 2 3" xfId="5358" xr:uid="{418FA354-570E-4015-B4D0-E2B49AB1C1D0}"/>
    <cellStyle name="Comma 3 3 6 2 3 2" xfId="9536" xr:uid="{65A76A3C-B576-43D6-A9DA-0777C339DF95}"/>
    <cellStyle name="Comma 3 3 6 2 4" xfId="5923" xr:uid="{B07398D8-0051-472D-8FCB-49BAAB6D24DB}"/>
    <cellStyle name="Comma 3 3 6 3" xfId="1591" xr:uid="{225D1C3F-D5E1-420B-9E6C-CAC2736CBBA5}"/>
    <cellStyle name="Comma 3 3 6 3 2" xfId="2571" xr:uid="{BDADABDB-64D7-4449-AF8D-A5901088F55F}"/>
    <cellStyle name="Comma 3 3 6 3 2 2" xfId="7136" xr:uid="{73BE6E4F-A7DD-4F27-BDCC-8C234194B744}"/>
    <cellStyle name="Comma 3 3 6 3 3" xfId="5398" xr:uid="{31B36130-0843-45BC-9D48-0C37020A79F1}"/>
    <cellStyle name="Comma 3 3 6 3 3 2" xfId="9575" xr:uid="{7D4A67F6-684C-4E80-A383-D41E67DCB6C6}"/>
    <cellStyle name="Comma 3 3 6 3 4" xfId="6157" xr:uid="{8B175BD4-253B-45A0-9A43-BFF00C6A7D20}"/>
    <cellStyle name="Comma 3 3 6 4" xfId="1825" xr:uid="{4FCF2409-0B63-43CC-994A-6F4F6683E9E9}"/>
    <cellStyle name="Comma 3 3 6 4 2" xfId="2804" xr:uid="{0C13751F-AF7C-4281-8F09-5EBC283CA4F1}"/>
    <cellStyle name="Comma 3 3 6 4 2 2" xfId="7369" xr:uid="{345F7E81-40AF-4C2C-9969-81C36A8FFA01}"/>
    <cellStyle name="Comma 3 3 6 4 3" xfId="5451" xr:uid="{053DA363-97AF-422B-9473-E6217BDF01C3}"/>
    <cellStyle name="Comma 3 3 6 4 3 2" xfId="9627" xr:uid="{F1D91BBC-DAF5-4DF0-93CA-317EE545277E}"/>
    <cellStyle name="Comma 3 3 6 4 4" xfId="6390" xr:uid="{C21CC20F-A820-494F-A238-8219B7BFF4B3}"/>
    <cellStyle name="Comma 3 3 6 5" xfId="2062" xr:uid="{0151CFC3-6F11-4E9E-B12E-40ECB39B8BBB}"/>
    <cellStyle name="Comma 3 3 6 5 2" xfId="6627" xr:uid="{12A74314-F918-4B04-8053-F6B330A73F21}"/>
    <cellStyle name="Comma 3 3 6 6" xfId="5270" xr:uid="{7D67E783-2CE6-4DE0-86AF-E3A7E682EEA9}"/>
    <cellStyle name="Comma 3 3 6 6 2" xfId="9492" xr:uid="{344C54F5-D185-46D4-93BF-815699574E95}"/>
    <cellStyle name="Comma 3 3 6 7" xfId="5648" xr:uid="{B1FF30BC-1307-4C64-812C-4C94B8F18DC7}"/>
    <cellStyle name="Comma 3 3 7" xfId="1098" xr:uid="{F744617B-3607-4AF7-BF9B-DB7568B8621A}"/>
    <cellStyle name="Comma 3 3 7 2" xfId="2140" xr:uid="{7CA68749-635B-495A-9891-F80372C2FD11}"/>
    <cellStyle name="Comma 3 3 7 2 2" xfId="6705" xr:uid="{EE9FBC02-D0E8-4D41-8D3A-FC1D736D7D8B}"/>
    <cellStyle name="Comma 3 3 7 3" xfId="5287" xr:uid="{D73DF0C6-340E-495C-9856-EF95499E1E92}"/>
    <cellStyle name="Comma 3 3 7 3 2" xfId="9506" xr:uid="{C8801C37-B577-40B4-B666-81E3CBB20A44}"/>
    <cellStyle name="Comma 3 3 7 4" xfId="5726" xr:uid="{8676F4D1-814E-4F50-9777-EDAAE803CF99}"/>
    <cellStyle name="Comma 3 3 8" xfId="1197" xr:uid="{16B2E6A5-9257-4533-8FE6-4D25DCD5C717}"/>
    <cellStyle name="Comma 3 3 8 2" xfId="2183" xr:uid="{6271F49F-8CAA-4736-BA1C-3A89B37DDE11}"/>
    <cellStyle name="Comma 3 3 8 2 2" xfId="6748" xr:uid="{3BE5CBF1-C33C-4AF5-9D86-DBE9F9D70F48}"/>
    <cellStyle name="Comma 3 3 8 3" xfId="5326" xr:uid="{8E0100E7-1C8D-48B4-8B34-B05D266015FE}"/>
    <cellStyle name="Comma 3 3 8 3 2" xfId="9512" xr:uid="{B4C42800-2DDD-41A7-B993-A1ED066CAAC0}"/>
    <cellStyle name="Comma 3 3 8 4" xfId="5769" xr:uid="{1E0CE2F5-528C-4D8D-898C-0BD133A4D9DC}"/>
    <cellStyle name="Comma 3 3 9" xfId="1437" xr:uid="{CB0AE758-5FB4-4EEA-86E4-8CD992836081}"/>
    <cellStyle name="Comma 3 3 9 2" xfId="2417" xr:uid="{85F28317-295B-4A33-92BF-0CF2362D5FBF}"/>
    <cellStyle name="Comma 3 3 9 2 2" xfId="6982" xr:uid="{F611987B-AA2A-420E-9DF8-AB3FE79F9076}"/>
    <cellStyle name="Comma 3 3 9 3" xfId="5373" xr:uid="{3E0830AF-FC9E-41E5-9260-A94900FBE302}"/>
    <cellStyle name="Comma 3 3 9 3 2" xfId="9551" xr:uid="{ABCA7DB9-88D0-4FF1-A8E3-25F954CF9ECE}"/>
    <cellStyle name="Comma 3 3 9 4" xfId="6003" xr:uid="{55D95C74-4AAB-4F47-B8EF-6597BDBE2D28}"/>
    <cellStyle name="Comma 4" xfId="205" xr:uid="{EF76FAB2-14A8-49C4-B645-A31581168CF3}"/>
    <cellStyle name="Comma 4 10" xfId="990" xr:uid="{2439805C-97EB-4931-8AE5-D37B095AC133}"/>
    <cellStyle name="Comma 4 10 2" xfId="1358" xr:uid="{6B0D53A6-C4AC-4D4A-9DD5-F99C1B94E7A3}"/>
    <cellStyle name="Comma 4 10 2 2" xfId="2338" xr:uid="{5F6A36DF-923E-4B5C-B7D0-B83888D30511}"/>
    <cellStyle name="Comma 4 10 2 2 2" xfId="6903" xr:uid="{040758C9-38ED-418A-84D7-2DA12F488EA2}"/>
    <cellStyle name="Comma 4 10 2 3" xfId="5359" xr:uid="{D20161A5-ABE2-4633-8D0E-F5753A133E68}"/>
    <cellStyle name="Comma 4 10 2 3 2" xfId="9537" xr:uid="{4AA79CFE-33BE-4865-9DDF-1D0D624BACF3}"/>
    <cellStyle name="Comma 4 10 2 4" xfId="5924" xr:uid="{47ED9FC8-D8A9-4523-BF53-C6A6E444E184}"/>
    <cellStyle name="Comma 4 10 3" xfId="1592" xr:uid="{801FAD2C-A7BB-400D-A440-C057A635FE5F}"/>
    <cellStyle name="Comma 4 10 3 2" xfId="2572" xr:uid="{B7DDD6C7-94E6-4FAF-B9BB-82998AD68A8B}"/>
    <cellStyle name="Comma 4 10 3 2 2" xfId="7137" xr:uid="{53A450A4-C425-4797-B3A9-501716A170B7}"/>
    <cellStyle name="Comma 4 10 3 3" xfId="5399" xr:uid="{235339CD-D94B-4379-B0A7-BAF9FA2B4524}"/>
    <cellStyle name="Comma 4 10 3 3 2" xfId="9576" xr:uid="{C772D2B7-A869-484A-B1F0-53E5D8AD059E}"/>
    <cellStyle name="Comma 4 10 3 4" xfId="6158" xr:uid="{E7D1A3EE-1297-491D-A2AB-049BD474E7E1}"/>
    <cellStyle name="Comma 4 10 4" xfId="1826" xr:uid="{033F6804-D7EB-4C28-9A57-B3006E15DE83}"/>
    <cellStyle name="Comma 4 10 4 2" xfId="2805" xr:uid="{2BD2437A-BCAF-4296-8A8D-61CCFC35411C}"/>
    <cellStyle name="Comma 4 10 4 2 2" xfId="7370" xr:uid="{91E75FF7-537E-416F-B6F3-FD784C6E99E8}"/>
    <cellStyle name="Comma 4 10 4 3" xfId="5452" xr:uid="{271EE194-D099-419A-87C0-2C78F525AB7E}"/>
    <cellStyle name="Comma 4 10 4 3 2" xfId="9628" xr:uid="{E9EA9F78-AEFA-4C56-B47E-BE0E3D6AEFED}"/>
    <cellStyle name="Comma 4 10 4 4" xfId="6391" xr:uid="{813E4ED0-DA29-4A56-9EE5-B0B53E4F0BE2}"/>
    <cellStyle name="Comma 4 10 5" xfId="2063" xr:uid="{6B7E5246-539D-4946-89BB-0E0EC0255BC4}"/>
    <cellStyle name="Comma 4 10 5 2" xfId="6628" xr:uid="{F3F4BE09-C4F2-459A-85C6-3BF94F40FCF5}"/>
    <cellStyle name="Comma 4 10 6" xfId="5271" xr:uid="{88DE2C4B-AF39-4158-A9B3-795D6BAE8E0A}"/>
    <cellStyle name="Comma 4 10 6 2" xfId="9493" xr:uid="{6783294E-3F4A-417A-8367-139C41AC5A94}"/>
    <cellStyle name="Comma 4 10 7" xfId="5649" xr:uid="{AD76C82F-2DF5-41D7-81DE-5E0CECE5D59D}"/>
    <cellStyle name="Comma 4 11" xfId="1100" xr:uid="{FCDC1B49-7906-4027-B3B2-8921FFD93A78}"/>
    <cellStyle name="Comma 4 11 2" xfId="2142" xr:uid="{41124BCF-49F3-44DC-93A1-3AD1B075F68A}"/>
    <cellStyle name="Comma 4 11 2 2" xfId="6707" xr:uid="{A48944DF-9E30-487D-8620-CA844731B4AB}"/>
    <cellStyle name="Comma 4 11 3" xfId="5288" xr:uid="{44668756-7D6C-4058-85EB-07B2EEF49E42}"/>
    <cellStyle name="Comma 4 11 3 2" xfId="9507" xr:uid="{BBD42047-A658-4957-A132-4B7D34A3DA33}"/>
    <cellStyle name="Comma 4 11 4" xfId="5728" xr:uid="{4183DB82-5683-4EA8-81E6-BA433EE19871}"/>
    <cellStyle name="Comma 4 12" xfId="1198" xr:uid="{C5B2B923-7E37-4210-AF99-CD063FC522C9}"/>
    <cellStyle name="Comma 4 12 2" xfId="2184" xr:uid="{E7E6D51B-ACBA-4E9F-82D4-D7EEABAACE3A}"/>
    <cellStyle name="Comma 4 12 2 2" xfId="6749" xr:uid="{42D094B1-6AAA-46AF-9E66-F82BBF254A8B}"/>
    <cellStyle name="Comma 4 12 3" xfId="5327" xr:uid="{311CDD98-28FF-4113-8088-652D985242D1}"/>
    <cellStyle name="Comma 4 12 3 2" xfId="9513" xr:uid="{9448DB4F-F51E-4BBE-AC89-C4E6A1F30084}"/>
    <cellStyle name="Comma 4 12 4" xfId="5770" xr:uid="{CBBA58E3-EBA7-4512-9A42-7D5D4EA80DB8}"/>
    <cellStyle name="Comma 4 13" xfId="1438" xr:uid="{BD8B7FC5-6969-4679-9505-4C0AE37CCB72}"/>
    <cellStyle name="Comma 4 13 2" xfId="2418" xr:uid="{0935993E-F420-4829-A99A-0566588AE764}"/>
    <cellStyle name="Comma 4 13 2 2" xfId="6983" xr:uid="{7F6DE62A-EB48-4E06-A0BA-9C6854F7327E}"/>
    <cellStyle name="Comma 4 13 3" xfId="5374" xr:uid="{D2EFB909-4C37-4C3E-BC9C-80999D05F3FA}"/>
    <cellStyle name="Comma 4 13 3 2" xfId="9552" xr:uid="{6A459B08-3EAD-4EAF-8CB8-CE8C1CA35B58}"/>
    <cellStyle name="Comma 4 13 4" xfId="6004" xr:uid="{7AF482A3-F7EC-4E92-886C-40D3FA838517}"/>
    <cellStyle name="Comma 4 14" xfId="1691" xr:uid="{C2E7D8DC-79C1-4F91-8CE8-B9B0B8A997CF}"/>
    <cellStyle name="Comma 4 14 2" xfId="2671" xr:uid="{143618D4-D8DB-4EFC-AAFC-42B4AC79CE54}"/>
    <cellStyle name="Comma 4 14 2 2" xfId="7236" xr:uid="{5C437973-BC8D-4A60-BB2B-58CEE2AEEF66}"/>
    <cellStyle name="Comma 4 14 3" xfId="5420" xr:uid="{188DCCF8-012A-4113-B076-798F0E8AD464}"/>
    <cellStyle name="Comma 4 14 3 2" xfId="9597" xr:uid="{1CA25BDB-3BB4-45E3-B3E0-27AB295D62B6}"/>
    <cellStyle name="Comma 4 14 4" xfId="6257" xr:uid="{419CA66B-62D9-4CA5-931A-A92413905F7E}"/>
    <cellStyle name="Comma 4 15" xfId="1909" xr:uid="{6AA7E935-A173-426C-A235-AFA94F186349}"/>
    <cellStyle name="Comma 4 15 2" xfId="6474" xr:uid="{9599A3DB-C0A0-4F00-87D1-50D8F3DD473B}"/>
    <cellStyle name="Comma 4 16" xfId="5495" xr:uid="{AA76056B-EDA1-47D7-946A-8E2FCC50255D}"/>
    <cellStyle name="Comma 4 2" xfId="206" xr:uid="{B5B9C4BD-0701-46A3-9995-D93CA4F0F012}"/>
    <cellStyle name="Comma 4 2 2" xfId="207" xr:uid="{AA919456-6F53-4E97-AB1D-6824ABD389FE}"/>
    <cellStyle name="Comma 4 2 3" xfId="208" xr:uid="{0A85F85B-82A8-4F73-9FA9-488A67186722}"/>
    <cellStyle name="Comma 4 3" xfId="209" xr:uid="{C471C080-AD3B-49B9-9058-150474131467}"/>
    <cellStyle name="Comma 4 3 2" xfId="210" xr:uid="{0C7EEC89-694D-49D8-BD61-2CA4EE3E324B}"/>
    <cellStyle name="Comma 4 3 3" xfId="211" xr:uid="{6B3390A4-6725-4B1C-AAB2-2CE9F7953A0B}"/>
    <cellStyle name="Comma 4 4" xfId="212" xr:uid="{B4C08821-6B69-4B7F-BF2C-AAABE8E9DC38}"/>
    <cellStyle name="Comma 4 4 10" xfId="1199" xr:uid="{86300B5B-893B-41A3-84D7-1E63B724C79D}"/>
    <cellStyle name="Comma 4 4 10 2" xfId="2185" xr:uid="{BF386A87-8FA2-467D-867E-9E258D9EFEB7}"/>
    <cellStyle name="Comma 4 4 10 2 2" xfId="6750" xr:uid="{C9EBDF9E-9946-48C5-9272-E56DB36A6142}"/>
    <cellStyle name="Comma 4 4 10 3" xfId="5328" xr:uid="{B87DBE5F-1CBD-4F43-A640-8C7DF68322D8}"/>
    <cellStyle name="Comma 4 4 10 3 2" xfId="9514" xr:uid="{0BB1247C-58D2-4B13-ADD2-75A03FBE7299}"/>
    <cellStyle name="Comma 4 4 10 4" xfId="5771" xr:uid="{8078069A-E151-407D-B707-60EC260601E9}"/>
    <cellStyle name="Comma 4 4 11" xfId="1439" xr:uid="{C06B5C24-FC92-4107-90F2-5810EDC169A2}"/>
    <cellStyle name="Comma 4 4 11 2" xfId="2419" xr:uid="{F7145515-B9DB-4AC1-89BD-02AF2C6E82B0}"/>
    <cellStyle name="Comma 4 4 11 2 2" xfId="6984" xr:uid="{7E18F937-AA62-4B78-811C-D89D7C05F0F7}"/>
    <cellStyle name="Comma 4 4 11 3" xfId="5375" xr:uid="{ED0B4C68-0C54-4F94-A199-D07ECC2A7E71}"/>
    <cellStyle name="Comma 4 4 11 3 2" xfId="9553" xr:uid="{E3B33221-7CC8-4385-83B2-66BEADF03CAA}"/>
    <cellStyle name="Comma 4 4 11 4" xfId="6005" xr:uid="{AE4F4584-61FB-453F-8D80-31835934AE95}"/>
    <cellStyle name="Comma 4 4 12" xfId="1692" xr:uid="{2A2A4AD2-AEB7-4BE1-A8E1-2465BE7F363D}"/>
    <cellStyle name="Comma 4 4 12 2" xfId="2672" xr:uid="{1230C91F-2B3B-4782-84BA-E07F7370040B}"/>
    <cellStyle name="Comma 4 4 12 2 2" xfId="7237" xr:uid="{6B1EEA80-6B9E-4090-B302-DEF25BFD5EEF}"/>
    <cellStyle name="Comma 4 4 12 3" xfId="5421" xr:uid="{9829C991-E138-4A0E-9D55-C55E90FB750E}"/>
    <cellStyle name="Comma 4 4 12 3 2" xfId="9598" xr:uid="{F1147E6F-5703-4153-A251-872ED4D8A25B}"/>
    <cellStyle name="Comma 4 4 12 4" xfId="6258" xr:uid="{ACD388D2-628C-4A97-97F8-BE9DE155DC32}"/>
    <cellStyle name="Comma 4 4 13" xfId="1910" xr:uid="{C2A5E6A8-F4F3-4A20-8B16-BBD9C45B0F21}"/>
    <cellStyle name="Comma 4 4 13 2" xfId="6475" xr:uid="{C7C772DC-216D-48A8-A18E-B22E399CB4FD}"/>
    <cellStyle name="Comma 4 4 14" xfId="5496" xr:uid="{D7867362-C32E-4F1C-9B83-E12D34A7FBF7}"/>
    <cellStyle name="Comma 4 4 2" xfId="213" xr:uid="{49AE5EAE-E0C0-428A-A86A-F886866B8BB8}"/>
    <cellStyle name="Comma 4 4 2 2" xfId="4355" xr:uid="{6C264FC0-826C-48F3-BB92-F16BECFF732D}"/>
    <cellStyle name="Comma 4 4 2 3" xfId="4224" xr:uid="{D34728CA-AA0A-42ED-AC37-DBCD2BBF295F}"/>
    <cellStyle name="Comma 4 4 3" xfId="214" xr:uid="{987DA91A-2BCA-40A7-8220-41FC14D313B0}"/>
    <cellStyle name="Comma 4 4 3 10" xfId="2891" xr:uid="{8E710F48-272C-4CFA-ACB1-6E2469601C98}"/>
    <cellStyle name="Comma 4 4 3 10 2" xfId="7455" xr:uid="{EEC47B39-EB88-4BDF-AC1E-B7F17A394D5D}"/>
    <cellStyle name="Comma 4 4 3 11" xfId="5497" xr:uid="{E497316C-32D5-4C50-8BCA-7B8CFF9EDAA9}"/>
    <cellStyle name="Comma 4 4 3 2" xfId="846" xr:uid="{5403E312-34C0-49DD-9BF9-E0958780C99D}"/>
    <cellStyle name="Comma 4 4 3 2 2" xfId="952" xr:uid="{F6B1664C-ED37-4538-91E8-9733C997C1E3}"/>
    <cellStyle name="Comma 4 4 3 2 2 2" xfId="1325" xr:uid="{00528E49-F1F4-4114-8721-350A9EC3512C}"/>
    <cellStyle name="Comma 4 4 3 2 2 2 2" xfId="2305" xr:uid="{A35CB020-7570-4FA5-8ECE-2CB7D512B55F}"/>
    <cellStyle name="Comma 4 4 3 2 2 2 2 2" xfId="4713" xr:uid="{6CE85BA5-B88C-4ABB-A93C-D9C264F38863}"/>
    <cellStyle name="Comma 4 4 3 2 2 2 2 2 2" xfId="8959" xr:uid="{7E048396-A164-463A-ADF5-C14D3C6D230F}"/>
    <cellStyle name="Comma 4 4 3 2 2 2 2 3" xfId="6870" xr:uid="{79122375-57FE-4AC0-9350-A46D23B5AD0D}"/>
    <cellStyle name="Comma 4 4 3 2 2 2 3" xfId="3588" xr:uid="{6985CB9D-2436-468C-892A-04B93F578DA6}"/>
    <cellStyle name="Comma 4 4 3 2 2 2 3 2" xfId="8055" xr:uid="{C442EEBA-3029-47C0-8904-4E6D8D99F4BD}"/>
    <cellStyle name="Comma 4 4 3 2 2 2 4" xfId="5891" xr:uid="{960F58E2-2A62-422B-A0C3-8A97D28FCC71}"/>
    <cellStyle name="Comma 4 4 3 2 2 3" xfId="1559" xr:uid="{AAB11FD5-363C-4F22-96A4-41BA0DE04413}"/>
    <cellStyle name="Comma 4 4 3 2 2 3 2" xfId="2539" xr:uid="{9C76F6F4-AF81-429D-A5BE-B2C9EE559B4D}"/>
    <cellStyle name="Comma 4 4 3 2 2 3 2 2" xfId="5096" xr:uid="{9D72F98F-F73D-4317-81BC-9CD79BD9DFAA}"/>
    <cellStyle name="Comma 4 4 3 2 2 3 2 2 2" xfId="9321" xr:uid="{21A1D5CE-5067-4724-AC08-C762F8DACD01}"/>
    <cellStyle name="Comma 4 4 3 2 2 3 2 3" xfId="7104" xr:uid="{11B8DFC2-C039-4394-B093-2C3DD56D5655}"/>
    <cellStyle name="Comma 4 4 3 2 2 3 3" xfId="3994" xr:uid="{C523A93A-D945-488F-ADE6-D3E0D5CE6BC5}"/>
    <cellStyle name="Comma 4 4 3 2 2 3 3 2" xfId="8443" xr:uid="{E648535E-08C9-49E8-93F6-52D37FFB5F55}"/>
    <cellStyle name="Comma 4 4 3 2 2 3 4" xfId="6125" xr:uid="{3A172E8F-207C-4F77-9F2D-AA7C1D01DB1D}"/>
    <cellStyle name="Comma 4 4 3 2 2 4" xfId="1793" xr:uid="{8ACDD040-3CD6-43F8-AD8C-7280C99593E3}"/>
    <cellStyle name="Comma 4 4 3 2 2 4 2" xfId="2772" xr:uid="{14A7198A-AD81-4E6A-B528-871CFB5226BE}"/>
    <cellStyle name="Comma 4 4 3 2 2 4 2 2" xfId="7337" xr:uid="{2018E3BA-11D6-43CE-863D-B12F7A094A2B}"/>
    <cellStyle name="Comma 4 4 3 2 2 4 3" xfId="4463" xr:uid="{0AE3AEC9-19EE-465F-8785-B5FB7E4F5E7B}"/>
    <cellStyle name="Comma 4 4 3 2 2 4 3 2" xfId="8740" xr:uid="{B4EECAB3-0A6D-45B3-89AB-158E89F4A1D2}"/>
    <cellStyle name="Comma 4 4 3 2 2 4 4" xfId="6358" xr:uid="{946CC12E-B71C-4F53-B119-E0E97BBB0F1D}"/>
    <cellStyle name="Comma 4 4 3 2 2 5" xfId="2030" xr:uid="{F76A47F5-794C-47CE-93A1-3B7E44E55D63}"/>
    <cellStyle name="Comma 4 4 3 2 2 5 2" xfId="6595" xr:uid="{E1404B71-FBB9-4A5E-8D43-447F35347581}"/>
    <cellStyle name="Comma 4 4 3 2 2 6" xfId="3172" xr:uid="{30DAD18B-EB1C-4C24-9B6D-ECBD3652A51C}"/>
    <cellStyle name="Comma 4 4 3 2 2 6 2" xfId="7667" xr:uid="{43755AEE-3FEF-47A3-9B4A-6DDEF51E954F}"/>
    <cellStyle name="Comma 4 4 3 2 2 7" xfId="5616" xr:uid="{F66EF25A-B26C-40F0-93AD-2DE5D01EDBC2}"/>
    <cellStyle name="Comma 4 4 3 2 3" xfId="1034" xr:uid="{CB57E1D4-597F-46A5-B930-97CC4922D80D}"/>
    <cellStyle name="Comma 4 4 3 2 3 2" xfId="1402" xr:uid="{B1EC3E76-93E4-46E4-A718-B10B10FD93E9}"/>
    <cellStyle name="Comma 4 4 3 2 3 2 2" xfId="2382" xr:uid="{EC8AD878-47D4-4801-877F-BBB1598CD0DA}"/>
    <cellStyle name="Comma 4 4 3 2 3 2 2 2" xfId="5201" xr:uid="{A5C5E4AD-9C02-42A7-A95D-3466D9C3769D}"/>
    <cellStyle name="Comma 4 4 3 2 3 2 2 2 2" xfId="9426" xr:uid="{93D20AA4-0120-4E35-B989-D37357902AC3}"/>
    <cellStyle name="Comma 4 4 3 2 3 2 2 3" xfId="6947" xr:uid="{0CAFD038-CA5A-4230-9151-D821C5462AC4}"/>
    <cellStyle name="Comma 4 4 3 2 3 2 3" xfId="3693" xr:uid="{6FB6D67D-4BA1-4149-8E48-C350BE1677B9}"/>
    <cellStyle name="Comma 4 4 3 2 3 2 3 2" xfId="8160" xr:uid="{7231A91D-231B-4042-B616-0053D9519B6E}"/>
    <cellStyle name="Comma 4 4 3 2 3 2 4" xfId="5968" xr:uid="{5D8C78DE-042B-4533-A547-FBA789C89EFB}"/>
    <cellStyle name="Comma 4 4 3 2 3 3" xfId="1636" xr:uid="{43B795E1-89E6-4DC9-9B04-7F9A9C853888}"/>
    <cellStyle name="Comma 4 4 3 2 3 3 2" xfId="2616" xr:uid="{25BCDCEE-9A2B-496B-86DC-79BCE9C8F3FA}"/>
    <cellStyle name="Comma 4 4 3 2 3 3 2 2" xfId="7181" xr:uid="{B410647F-41A6-4853-89DF-394D5F949EF3}"/>
    <cellStyle name="Comma 4 4 3 2 3 3 3" xfId="4099" xr:uid="{3DFB2AD9-8FA3-4570-8F38-AC3A03E046B9}"/>
    <cellStyle name="Comma 4 4 3 2 3 3 3 2" xfId="8548" xr:uid="{D1B2D7B1-0654-441B-867D-DAE6974D4ACB}"/>
    <cellStyle name="Comma 4 4 3 2 3 3 4" xfId="6202" xr:uid="{7E63D843-FD2E-45C2-AB55-66B9FFF8E847}"/>
    <cellStyle name="Comma 4 4 3 2 3 4" xfId="1870" xr:uid="{13F64206-7B98-4860-A661-A8F91722972E}"/>
    <cellStyle name="Comma 4 4 3 2 3 4 2" xfId="2849" xr:uid="{12E1B241-D314-46D8-896A-7D37C138298E}"/>
    <cellStyle name="Comma 4 4 3 2 3 4 2 2" xfId="7414" xr:uid="{F6C445C6-A7F0-4FCB-BB93-3D8C4E496C18}"/>
    <cellStyle name="Comma 4 4 3 2 3 4 3" xfId="4605" xr:uid="{B17E93E9-3AE9-408F-8D75-84BEE8DD9D71}"/>
    <cellStyle name="Comma 4 4 3 2 3 4 3 2" xfId="8857" xr:uid="{387B3304-E3C1-478F-9D31-923EED3C3D15}"/>
    <cellStyle name="Comma 4 4 3 2 3 4 4" xfId="6435" xr:uid="{4596DA1F-A03B-4E52-A454-399C28089E2C}"/>
    <cellStyle name="Comma 4 4 3 2 3 5" xfId="2107" xr:uid="{F9D5EDEB-7BF7-46D9-A1BE-DBC34E8537C3}"/>
    <cellStyle name="Comma 4 4 3 2 3 5 2" xfId="6672" xr:uid="{45AFC6FB-1F5E-4C19-B1FC-A6F22B35FF23}"/>
    <cellStyle name="Comma 4 4 3 2 3 6" xfId="3279" xr:uid="{FF6A92CC-55D0-4CE1-97A9-1A39C5B4637C}"/>
    <cellStyle name="Comma 4 4 3 2 3 6 2" xfId="7772" xr:uid="{8A1D58F9-DECD-4B61-B48A-98C388B9C1F3}"/>
    <cellStyle name="Comma 4 4 3 2 3 7" xfId="5693" xr:uid="{7AAB02A2-9A9B-4233-A032-EA027A162A5B}"/>
    <cellStyle name="Comma 4 4 3 2 4" xfId="1246" xr:uid="{F35B0EE9-F9DF-4785-881C-649FFB185BA4}"/>
    <cellStyle name="Comma 4 4 3 2 4 2" xfId="2228" xr:uid="{7DCF6558-9AF6-418D-B1DF-DFD084F3DFBC}"/>
    <cellStyle name="Comma 4 4 3 2 4 2 2" xfId="4888" xr:uid="{02408D35-FFAC-4C10-A53A-EE0D2C61F7DB}"/>
    <cellStyle name="Comma 4 4 3 2 4 2 2 2" xfId="9120" xr:uid="{D4154359-322A-4C7F-80A5-5B29118A897D}"/>
    <cellStyle name="Comma 4 4 3 2 4 2 3" xfId="3483" xr:uid="{224393B9-690E-40D3-B982-2446658A4B3C}"/>
    <cellStyle name="Comma 4 4 3 2 4 2 3 2" xfId="7950" xr:uid="{9EFAEC9C-B122-49E8-BB9A-62525C9E17BE}"/>
    <cellStyle name="Comma 4 4 3 2 4 2 4" xfId="6793" xr:uid="{99A68938-BBB0-4453-B5DA-012350455B4B}"/>
    <cellStyle name="Comma 4 4 3 2 4 3" xfId="3889" xr:uid="{5F0E21F2-E6B0-4473-98D7-F6DC255F2150}"/>
    <cellStyle name="Comma 4 4 3 2 4 3 2" xfId="8338" xr:uid="{C9BF5ED6-1B04-4EF6-8B73-5EDEF3187C3B}"/>
    <cellStyle name="Comma 4 4 3 2 4 4" xfId="4636" xr:uid="{24B74AC0-6C7C-44A7-A782-A6A6C01102EA}"/>
    <cellStyle name="Comma 4 4 3 2 4 4 2" xfId="8882" xr:uid="{7E8CFBA1-DBA1-49A5-A77E-B1F4D9DEC681}"/>
    <cellStyle name="Comma 4 4 3 2 4 5" xfId="3052" xr:uid="{270DFCD1-01F3-4F5F-A54F-8DAB02D916A9}"/>
    <cellStyle name="Comma 4 4 3 2 4 5 2" xfId="7562" xr:uid="{5DEAC2D5-1395-4E9E-9A56-BD5E01BF83B4}"/>
    <cellStyle name="Comma 4 4 3 2 4 6" xfId="5814" xr:uid="{E963E667-A610-4A81-8C8F-B644DC07FA6C}"/>
    <cellStyle name="Comma 4 4 3 2 5" xfId="1482" xr:uid="{80D16FAE-056E-4AD0-9DAE-75180370EA84}"/>
    <cellStyle name="Comma 4 4 3 2 5 2" xfId="2462" xr:uid="{20A39AEF-C4F5-43AD-AED5-D1525FAC4F34}"/>
    <cellStyle name="Comma 4 4 3 2 5 2 2" xfId="4973" xr:uid="{912B0F39-25F4-4D46-A68B-373773062B89}"/>
    <cellStyle name="Comma 4 4 3 2 5 2 2 2" xfId="9202" xr:uid="{ED2BEAE9-A469-410F-B2B5-B9611A9B4EEB}"/>
    <cellStyle name="Comma 4 4 3 2 5 2 3" xfId="7027" xr:uid="{F8B6357A-20C6-4293-A86E-EFA53253E342}"/>
    <cellStyle name="Comma 4 4 3 2 5 3" xfId="3409" xr:uid="{7264FB3C-C0F8-44CD-87EE-A1DD1ACE72C9}"/>
    <cellStyle name="Comma 4 4 3 2 5 3 2" xfId="7877" xr:uid="{395A1154-1AA0-4EF3-A567-D18CB51E5918}"/>
    <cellStyle name="Comma 4 4 3 2 5 4" xfId="6048" xr:uid="{07AFA8B4-6283-45BC-A296-78D6CD44C437}"/>
    <cellStyle name="Comma 4 4 3 2 6" xfId="1657" xr:uid="{B1B5EFAB-5ADE-4748-B5D1-928609A0C954}"/>
    <cellStyle name="Comma 4 4 3 2 6 2" xfId="2637" xr:uid="{A8A57B85-BA7D-4A3D-935D-674B6F97BB89}"/>
    <cellStyle name="Comma 4 4 3 2 6 2 2" xfId="7202" xr:uid="{81E4A857-A7F6-4AB5-85C7-668ADF7B2644}"/>
    <cellStyle name="Comma 4 4 3 2 6 3" xfId="3816" xr:uid="{2D8A6446-C1FE-4631-BA72-3A917F0882F2}"/>
    <cellStyle name="Comma 4 4 3 2 6 3 2" xfId="8265" xr:uid="{ED6404D0-C927-4368-A1D1-84B06CC5DA12}"/>
    <cellStyle name="Comma 4 4 3 2 6 4" xfId="6223" xr:uid="{C7639CB5-B233-4BCE-9B1F-7A9DFB4B2096}"/>
    <cellStyle name="Comma 4 4 3 2 7" xfId="1953" xr:uid="{E1D04FC0-18F5-43C5-B15E-6C3C0934703B}"/>
    <cellStyle name="Comma 4 4 3 2 7 2" xfId="4356" xr:uid="{8CA48D09-67D6-4809-87D6-F1690241ABE8}"/>
    <cellStyle name="Comma 4 4 3 2 7 2 2" xfId="8668" xr:uid="{EB38ED48-A110-416D-A4C7-A37BBE915B7E}"/>
    <cellStyle name="Comma 4 4 3 2 7 3" xfId="6518" xr:uid="{E80ABC2D-6AB5-46DA-A85A-64CCFB1E4B1C}"/>
    <cellStyle name="Comma 4 4 3 2 8" xfId="2927" xr:uid="{4D13E507-09B8-40DF-BB41-21F5345116D0}"/>
    <cellStyle name="Comma 4 4 3 2 8 2" xfId="7489" xr:uid="{88323341-31BD-4B1E-854F-6D8E6B73D0BF}"/>
    <cellStyle name="Comma 4 4 3 2 9" xfId="5539" xr:uid="{9C1FBBAD-EEB1-48C0-BD73-1A5A9B7583F2}"/>
    <cellStyle name="Comma 4 4 3 3" xfId="887" xr:uid="{E74FD9B1-1103-4BC9-A311-FBDF4A5941F8}"/>
    <cellStyle name="Comma 4 4 3 3 2" xfId="1281" xr:uid="{0C3B3A39-555F-4E78-B411-6479719582DA}"/>
    <cellStyle name="Comma 4 4 3 3 2 2" xfId="2263" xr:uid="{5B30FCB3-0221-4E1B-8442-BCEC85D03495}"/>
    <cellStyle name="Comma 4 4 3 3 2 2 2" xfId="5130" xr:uid="{D1ECD521-3978-4375-8628-FA41C99AEE27}"/>
    <cellStyle name="Comma 4 4 3 3 2 2 2 2" xfId="9355" xr:uid="{606B703C-0D4C-4529-823D-792062D24BA6}"/>
    <cellStyle name="Comma 4 4 3 3 2 2 3" xfId="3622" xr:uid="{06479A53-D3D5-4D61-8CF2-DA359F653B3F}"/>
    <cellStyle name="Comma 4 4 3 3 2 2 3 2" xfId="8089" xr:uid="{57F323F2-A818-4937-8BF6-5A1DAFD71EAB}"/>
    <cellStyle name="Comma 4 4 3 3 2 2 4" xfId="6828" xr:uid="{9D268C05-EF8C-4CB2-BBA5-0615ADF790F5}"/>
    <cellStyle name="Comma 4 4 3 3 2 3" xfId="4028" xr:uid="{EFCE557E-F97F-4AA0-887B-65C22D0DA2BC}"/>
    <cellStyle name="Comma 4 4 3 3 2 3 2" xfId="8477" xr:uid="{DCA21B07-50AA-41A8-9290-A8489B688DF2}"/>
    <cellStyle name="Comma 4 4 3 3 2 4" xfId="4746" xr:uid="{67FBE692-A7D7-4FAF-A2D1-D286876641A9}"/>
    <cellStyle name="Comma 4 4 3 3 2 4 2" xfId="8992" xr:uid="{1A6C31C6-ECC6-40EB-BFAA-7627A287C073}"/>
    <cellStyle name="Comma 4 4 3 3 2 5" xfId="3206" xr:uid="{42C1FB47-D103-4C99-9526-D28B8F5E0E0A}"/>
    <cellStyle name="Comma 4 4 3 3 2 5 2" xfId="7701" xr:uid="{922DB259-A9C6-4523-BC10-A5C24398190B}"/>
    <cellStyle name="Comma 4 4 3 3 2 6" xfId="5849" xr:uid="{08E02D4C-EF91-4DEC-94BD-0E8DB34E50F8}"/>
    <cellStyle name="Comma 4 4 3 3 3" xfId="1517" xr:uid="{6B496CC0-852B-4C88-B8BB-2F20376814A7}"/>
    <cellStyle name="Comma 4 4 3 3 3 2" xfId="2497" xr:uid="{60681684-15A5-4245-9E45-0E83BBED021B}"/>
    <cellStyle name="Comma 4 4 3 3 3 2 2" xfId="5235" xr:uid="{3BF942B7-AE25-4CC6-9429-6E54ECF80A81}"/>
    <cellStyle name="Comma 4 4 3 3 3 2 2 2" xfId="9460" xr:uid="{6B9BC267-61A7-4EB2-9DCB-5BDF5F182FF5}"/>
    <cellStyle name="Comma 4 4 3 3 3 2 3" xfId="3727" xr:uid="{8C081544-2C13-4073-9B82-381948E59DD2}"/>
    <cellStyle name="Comma 4 4 3 3 3 2 3 2" xfId="8194" xr:uid="{F8F70D8C-0286-417C-9145-DBD57A9008A8}"/>
    <cellStyle name="Comma 4 4 3 3 3 2 4" xfId="7062" xr:uid="{0DB0574A-9FB5-4961-8A8C-5818A50FD85C}"/>
    <cellStyle name="Comma 4 4 3 3 3 3" xfId="4133" xr:uid="{029ABCBA-ADC6-4D3D-984A-A98163F842D9}"/>
    <cellStyle name="Comma 4 4 3 3 3 3 2" xfId="8582" xr:uid="{6A5FE9E2-DADB-4AC8-A691-54A734BA437D}"/>
    <cellStyle name="Comma 4 4 3 3 3 4" xfId="4822" xr:uid="{E89CF227-78D0-45F7-8600-937E50B84EE6}"/>
    <cellStyle name="Comma 4 4 3 3 3 4 2" xfId="9068" xr:uid="{7BCB0F9B-DD4A-4102-AD0B-FDE65E60061E}"/>
    <cellStyle name="Comma 4 4 3 3 3 5" xfId="3317" xr:uid="{6632C760-E218-45DC-977E-69F5F70960CA}"/>
    <cellStyle name="Comma 4 4 3 3 3 5 2" xfId="7806" xr:uid="{F2BDF239-5BC0-4DD5-B6CE-A5216B5EB8AE}"/>
    <cellStyle name="Comma 4 4 3 3 3 6" xfId="6083" xr:uid="{A53C97B4-6BEF-4548-AE21-7F31F8A22E70}"/>
    <cellStyle name="Comma 4 4 3 3 4" xfId="1751" xr:uid="{F8BD59F0-65D8-4B2C-9DAD-89F9BBCFE1DD}"/>
    <cellStyle name="Comma 4 4 3 3 4 2" xfId="2730" xr:uid="{01866ABD-0D65-4649-98F8-DF9CF86879A9}"/>
    <cellStyle name="Comma 4 4 3 3 4 2 2" xfId="5026" xr:uid="{C1AF7117-5CFD-45F2-A8A1-4F9DC1632E1B}"/>
    <cellStyle name="Comma 4 4 3 3 4 2 2 2" xfId="9252" xr:uid="{D56D3ADD-E73F-498D-941B-455A25F5608D}"/>
    <cellStyle name="Comma 4 4 3 3 4 2 3" xfId="7295" xr:uid="{7C4B5734-E25E-4286-A777-16890F1A174A}"/>
    <cellStyle name="Comma 4 4 3 3 4 3" xfId="3517" xr:uid="{DB0DE1D2-C60C-49D2-A46F-A1E926A421A6}"/>
    <cellStyle name="Comma 4 4 3 3 4 3 2" xfId="7984" xr:uid="{692B81E1-2CB1-4EC6-AA5C-147A8C2D1711}"/>
    <cellStyle name="Comma 4 4 3 3 4 4" xfId="6316" xr:uid="{992FE317-9E7D-49B3-9145-120B75F39D83}"/>
    <cellStyle name="Comma 4 4 3 3 5" xfId="1988" xr:uid="{CD097E19-DA2D-4924-9F86-D1E4FE2A28EA}"/>
    <cellStyle name="Comma 4 4 3 3 5 2" xfId="3923" xr:uid="{BAD0E09E-DC2B-405D-B986-916D3903B2D9}"/>
    <cellStyle name="Comma 4 4 3 3 5 2 2" xfId="8372" xr:uid="{5B5FEF06-9C65-4148-BD9D-06D5ECD61C89}"/>
    <cellStyle name="Comma 4 4 3 3 5 3" xfId="6553" xr:uid="{A0AA7016-D2AC-4D45-B598-C59681E9674F}"/>
    <cellStyle name="Comma 4 4 3 3 6" xfId="4665" xr:uid="{0346BB19-295A-47C8-B4B6-65EB0D64CF44}"/>
    <cellStyle name="Comma 4 4 3 3 6 2" xfId="8911" xr:uid="{2628F559-EA40-4614-9E99-2FB59A13B69F}"/>
    <cellStyle name="Comma 4 4 3 3 7" xfId="3090" xr:uid="{6A6CCE30-B088-4583-8345-96262F4AEB4C}"/>
    <cellStyle name="Comma 4 4 3 3 7 2" xfId="7596" xr:uid="{FF64F0D1-0077-4304-917F-797217A0468F}"/>
    <cellStyle name="Comma 4 4 3 3 8" xfId="5574" xr:uid="{8B812C5A-E207-4274-9B72-C530E578DDEF}"/>
    <cellStyle name="Comma 4 4 3 4" xfId="992" xr:uid="{8E16CF3D-2430-4B89-A254-C0053E0B1BBE}"/>
    <cellStyle name="Comma 4 4 3 4 2" xfId="1360" xr:uid="{21DD83BF-350F-4EE2-A27A-C047396FE1A7}"/>
    <cellStyle name="Comma 4 4 3 4 2 2" xfId="2340" xr:uid="{CE0C0E68-FEDB-4685-869A-BC171E3D06F9}"/>
    <cellStyle name="Comma 4 4 3 4 2 2 2" xfId="5065" xr:uid="{5A462501-70DC-48D1-82A3-D13903BAB760}"/>
    <cellStyle name="Comma 4 4 3 4 2 2 2 2" xfId="9291" xr:uid="{A0C81431-0B10-43A0-821F-744CA3E16536}"/>
    <cellStyle name="Comma 4 4 3 4 2 2 3" xfId="6905" xr:uid="{82967059-49AD-4BB3-AE1E-A9715B716C39}"/>
    <cellStyle name="Comma 4 4 3 4 2 3" xfId="3557" xr:uid="{EB1B122D-0B5F-4D44-9A93-990E06A4EC58}"/>
    <cellStyle name="Comma 4 4 3 4 2 3 2" xfId="8024" xr:uid="{CD6BF710-BE02-4AF6-9E4A-D5028E676E5B}"/>
    <cellStyle name="Comma 4 4 3 4 2 4" xfId="5926" xr:uid="{85461FE5-0710-4BCE-9440-A67C3171341A}"/>
    <cellStyle name="Comma 4 4 3 4 3" xfId="1594" xr:uid="{BD57D747-AD21-415A-A3D4-FC8D9401D7A5}"/>
    <cellStyle name="Comma 4 4 3 4 3 2" xfId="2574" xr:uid="{A14F4E84-272D-4039-BFE2-F48FC4B359A0}"/>
    <cellStyle name="Comma 4 4 3 4 3 2 2" xfId="7139" xr:uid="{4796A97E-9C5F-41F6-847A-5824E9A30D01}"/>
    <cellStyle name="Comma 4 4 3 4 3 3" xfId="3963" xr:uid="{D15B541A-AED9-4C53-BB3B-116A5A09E435}"/>
    <cellStyle name="Comma 4 4 3 4 3 3 2" xfId="8412" xr:uid="{B5714F73-287C-4575-9B8C-BA51D21FBB9F}"/>
    <cellStyle name="Comma 4 4 3 4 3 4" xfId="6160" xr:uid="{312EEC84-225B-4465-B29B-95308E7764E3}"/>
    <cellStyle name="Comma 4 4 3 4 4" xfId="1828" xr:uid="{A83137D8-673A-48FC-8377-DD448B71D99C}"/>
    <cellStyle name="Comma 4 4 3 4 4 2" xfId="2807" xr:uid="{5B105B97-E7AC-4225-96FC-1D51411EED02}"/>
    <cellStyle name="Comma 4 4 3 4 4 2 2" xfId="7372" xr:uid="{978AA970-5F87-4DCB-BD97-3C5653060D51}"/>
    <cellStyle name="Comma 4 4 3 4 4 3" xfId="4689" xr:uid="{D224851B-C88C-4E1B-9616-A044B435ECC1}"/>
    <cellStyle name="Comma 4 4 3 4 4 3 2" xfId="8935" xr:uid="{B4F79420-0C53-48D1-B7E6-656F390974FE}"/>
    <cellStyle name="Comma 4 4 3 4 4 4" xfId="6393" xr:uid="{509AEC77-D9A8-41F5-A8D3-6C9428B4BFD6}"/>
    <cellStyle name="Comma 4 4 3 4 5" xfId="2065" xr:uid="{7B2C4A6C-6C56-41B6-B43D-1029D1B9883A}"/>
    <cellStyle name="Comma 4 4 3 4 5 2" xfId="6630" xr:uid="{2ADA1F64-31A9-41F6-9C6B-57AFF45BAB12}"/>
    <cellStyle name="Comma 4 4 3 4 6" xfId="3141" xr:uid="{21E29325-216A-493B-A99A-E500E5718883}"/>
    <cellStyle name="Comma 4 4 3 4 6 2" xfId="7636" xr:uid="{5DB030D8-6C5B-4CC1-9E3F-CFDF17E6A38E}"/>
    <cellStyle name="Comma 4 4 3 4 7" xfId="5651" xr:uid="{883C2D88-ABC1-444A-9071-A6B8F25F53A2}"/>
    <cellStyle name="Comma 4 4 3 5" xfId="1102" xr:uid="{790C6E3F-AB7C-4D0D-A3C3-6EBA251ED144}"/>
    <cellStyle name="Comma 4 4 3 5 2" xfId="2144" xr:uid="{3D35E2D0-3D6D-49FA-B948-DCF2CD9C0A5C}"/>
    <cellStyle name="Comma 4 4 3 5 2 2" xfId="5170" xr:uid="{2CCCE581-B8E6-4035-9FA0-07E573B5C9BF}"/>
    <cellStyle name="Comma 4 4 3 5 2 2 2" xfId="9395" xr:uid="{0D445673-C706-48F5-9904-5543CBD3C473}"/>
    <cellStyle name="Comma 4 4 3 5 2 3" xfId="3662" xr:uid="{2E5A7830-0A49-47B3-B621-C21A4C4A2E3C}"/>
    <cellStyle name="Comma 4 4 3 5 2 3 2" xfId="8129" xr:uid="{DB40BEDF-E2B2-4577-9A54-74746F4C04CD}"/>
    <cellStyle name="Comma 4 4 3 5 2 4" xfId="6709" xr:uid="{DE67263C-397D-4976-9C72-3FFED73D07CD}"/>
    <cellStyle name="Comma 4 4 3 5 3" xfId="4068" xr:uid="{A4220108-2656-4F39-BE57-4B974AE59255}"/>
    <cellStyle name="Comma 4 4 3 5 3 2" xfId="8517" xr:uid="{D23E195A-B625-40C4-9D05-7136B03177F1}"/>
    <cellStyle name="Comma 4 4 3 5 4" xfId="4785" xr:uid="{F87053BB-A152-40B4-BDEC-FB0356AC38C0}"/>
    <cellStyle name="Comma 4 4 3 5 4 2" xfId="9031" xr:uid="{B29D6C02-8A1A-4015-B07F-8A6FB754520A}"/>
    <cellStyle name="Comma 4 4 3 5 5" xfId="3247" xr:uid="{8DE76A29-B91E-47C5-A3DA-FF83FBA05AB5}"/>
    <cellStyle name="Comma 4 4 3 5 5 2" xfId="7741" xr:uid="{E5005E5C-39E6-48B4-831E-0F59FD88FB68}"/>
    <cellStyle name="Comma 4 4 3 5 6" xfId="5730" xr:uid="{79AF2026-80B5-4794-B795-4DD9BA26DAEB}"/>
    <cellStyle name="Comma 4 4 3 6" xfId="1200" xr:uid="{A65DEFFC-BCDE-4F7D-957F-B181428A8B9D}"/>
    <cellStyle name="Comma 4 4 3 6 2" xfId="2186" xr:uid="{C7F6D02B-98DD-4B78-9DD4-0DFF0BC4300D}"/>
    <cellStyle name="Comma 4 4 3 6 2 2" xfId="5000" xr:uid="{94EDB2C5-13B0-4A18-B05E-F9999FD9F774}"/>
    <cellStyle name="Comma 4 4 3 6 2 2 2" xfId="9227" xr:uid="{950517C8-325D-4DA2-8414-291D2E1F8F46}"/>
    <cellStyle name="Comma 4 4 3 6 2 3" xfId="3451" xr:uid="{F1A168ED-1B64-44C6-92EA-1041526F7B1A}"/>
    <cellStyle name="Comma 4 4 3 6 2 3 2" xfId="7919" xr:uid="{F81D92C8-6AFA-4552-B594-4058AB849596}"/>
    <cellStyle name="Comma 4 4 3 6 2 4" xfId="6751" xr:uid="{D1AA0CAB-8E33-4BE6-901F-BBB31A98066C}"/>
    <cellStyle name="Comma 4 4 3 6 3" xfId="3858" xr:uid="{1C4D4987-E387-4DA7-8E79-86691360BCC0}"/>
    <cellStyle name="Comma 4 4 3 6 3 2" xfId="8307" xr:uid="{E1827610-3521-4CC1-B7C3-A2DABD08C05E}"/>
    <cellStyle name="Comma 4 4 3 6 4" xfId="4599" xr:uid="{82956464-F58F-4506-9D4D-A09D82717644}"/>
    <cellStyle name="Comma 4 4 3 6 4 2" xfId="8851" xr:uid="{45469734-F63B-4642-8A6F-C6CAA1D15D6C}"/>
    <cellStyle name="Comma 4 4 3 6 5" xfId="3002" xr:uid="{6643EDD5-030A-4491-B062-3F9E104E2671}"/>
    <cellStyle name="Comma 4 4 3 6 5 2" xfId="7531" xr:uid="{1237445F-9184-43E1-B783-28FC9C81AE9B}"/>
    <cellStyle name="Comma 4 4 3 6 6" xfId="5772" xr:uid="{A0CB2ACC-0BDC-4A67-B86A-B676A6506DAF}"/>
    <cellStyle name="Comma 4 4 3 7" xfId="1440" xr:uid="{285E81E8-9A3E-47A4-A9CB-3CD821E84738}"/>
    <cellStyle name="Comma 4 4 3 7 2" xfId="2420" xr:uid="{D7FCFE8C-2DD4-471A-AE52-7394E15317D8}"/>
    <cellStyle name="Comma 4 4 3 7 2 2" xfId="6985" xr:uid="{8D73029F-AD24-41A5-BB17-A016787A323B}"/>
    <cellStyle name="Comma 4 4 3 7 3" xfId="3356" xr:uid="{F3C340B1-4D7D-4E5B-89CE-3299E81260A3}"/>
    <cellStyle name="Comma 4 4 3 7 3 2" xfId="7843" xr:uid="{5A70283C-68B3-4E46-B452-C597E8FA797D}"/>
    <cellStyle name="Comma 4 4 3 7 4" xfId="6006" xr:uid="{695653FC-59F6-421D-AC83-D8C4637BBDAE}"/>
    <cellStyle name="Comma 4 4 3 8" xfId="1693" xr:uid="{8ED22FB3-CB5B-4276-B635-CC2ACF774BA3}"/>
    <cellStyle name="Comma 4 4 3 8 2" xfId="2673" xr:uid="{3ECF3EE4-9686-4022-BE84-5D3BF1C7DD9E}"/>
    <cellStyle name="Comma 4 4 3 8 2 2" xfId="7238" xr:uid="{3416E95D-75C4-4EAF-8DFD-2A88C380ED9B}"/>
    <cellStyle name="Comma 4 4 3 8 3" xfId="3779" xr:uid="{135A747F-8B55-4514-81C4-C4B1DFB9EEAE}"/>
    <cellStyle name="Comma 4 4 3 8 3 2" xfId="8231" xr:uid="{C6F7EE93-CD17-4142-9222-D7CEF9A8732B}"/>
    <cellStyle name="Comma 4 4 3 8 4" xfId="6259" xr:uid="{04D9B9A3-5FE4-4FF5-A58D-379F0695688D}"/>
    <cellStyle name="Comma 4 4 3 9" xfId="1911" xr:uid="{DD2A2F61-4034-4A49-A114-EA5FFAA457B3}"/>
    <cellStyle name="Comma 4 4 3 9 2" xfId="4225" xr:uid="{4BBAFF18-C8D0-4679-B464-23184C2D6682}"/>
    <cellStyle name="Comma 4 4 3 9 3" xfId="6476" xr:uid="{E58B1B75-1352-4CE6-8FAB-3988BBF1B405}"/>
    <cellStyle name="Comma 4 4 4" xfId="698" xr:uid="{A2E0DFF7-0FB9-4DE1-BB9C-23950D8CD179}"/>
    <cellStyle name="Comma 4 4 4 10" xfId="2892" xr:uid="{7E3CEF01-21AB-481C-87C5-4C4283ABE588}"/>
    <cellStyle name="Comma 4 4 4 10 2" xfId="7456" xr:uid="{EC3C4F7E-4AE1-4590-86B2-DF8A7D9ACFAE}"/>
    <cellStyle name="Comma 4 4 4 11" xfId="5518" xr:uid="{22081812-F3D2-4BDA-84BB-8AF99657A4D6}"/>
    <cellStyle name="Comma 4 4 4 2" xfId="925" xr:uid="{B0C7800A-16CD-4F38-9C54-6EBF0BB2D223}"/>
    <cellStyle name="Comma 4 4 4 2 2" xfId="1302" xr:uid="{6527CFE2-32F6-4423-AF49-96ED9F315BE4}"/>
    <cellStyle name="Comma 4 4 4 2 2 2" xfId="2284" xr:uid="{E9DD41A1-2A2F-4C00-8823-6130347F47B1}"/>
    <cellStyle name="Comma 4 4 4 2 2 2 2" xfId="5097" xr:uid="{FE048A93-BAE8-4A86-836D-1C8E394C563C}"/>
    <cellStyle name="Comma 4 4 4 2 2 2 2 2" xfId="9322" xr:uid="{33E85EFD-5F15-443A-8ABD-A6B2F4A3CCD4}"/>
    <cellStyle name="Comma 4 4 4 2 2 2 3" xfId="3589" xr:uid="{D5FF8ED8-4B74-4BEF-9D59-D1055513C82C}"/>
    <cellStyle name="Comma 4 4 4 2 2 2 3 2" xfId="8056" xr:uid="{8DDCBFD4-7619-4B8D-BE3D-B0199ABDF54A}"/>
    <cellStyle name="Comma 4 4 4 2 2 2 4" xfId="6849" xr:uid="{9FBB97EE-59EE-4035-A53B-74E773AEE05E}"/>
    <cellStyle name="Comma 4 4 4 2 2 3" xfId="3995" xr:uid="{0DE7D798-3BEA-4E48-BE59-12C1B767ED91}"/>
    <cellStyle name="Comma 4 4 4 2 2 3 2" xfId="8444" xr:uid="{922B6885-BD16-44BD-A984-F9708D4CAEC9}"/>
    <cellStyle name="Comma 4 4 4 2 2 4" xfId="4714" xr:uid="{72E9F751-4AA4-409E-9C0A-F4581AE6C488}"/>
    <cellStyle name="Comma 4 4 4 2 2 4 2" xfId="8960" xr:uid="{E5667379-D2EB-451E-AE49-B1BBA4A917F3}"/>
    <cellStyle name="Comma 4 4 4 2 2 5" xfId="3173" xr:uid="{3D89B81A-4DF9-471B-93B1-7F5B32D004AC}"/>
    <cellStyle name="Comma 4 4 4 2 2 5 2" xfId="7668" xr:uid="{CEDEC10C-5280-4E2F-B999-6A476185B9D9}"/>
    <cellStyle name="Comma 4 4 4 2 2 6" xfId="5870" xr:uid="{6206EFF7-D377-48CB-834C-6FAD650181F7}"/>
    <cellStyle name="Comma 4 4 4 2 3" xfId="1538" xr:uid="{CCEFB5C3-E003-4E12-B97B-73AF0A3B37AE}"/>
    <cellStyle name="Comma 4 4 4 2 3 2" xfId="2518" xr:uid="{5E60714A-7121-49B8-A1E5-B0A003ACDCAC}"/>
    <cellStyle name="Comma 4 4 4 2 3 2 2" xfId="5202" xr:uid="{F8FDA6AA-8A70-4610-8085-BF1CF02271F4}"/>
    <cellStyle name="Comma 4 4 4 2 3 2 2 2" xfId="9427" xr:uid="{986F7BAA-7235-4E75-99EA-94498DF4B1A3}"/>
    <cellStyle name="Comma 4 4 4 2 3 2 3" xfId="3694" xr:uid="{44BC92AE-9282-4016-9353-63C5E52BC8F6}"/>
    <cellStyle name="Comma 4 4 4 2 3 2 3 2" xfId="8161" xr:uid="{45F6C80F-10FC-436E-B742-B99AEF76D49E}"/>
    <cellStyle name="Comma 4 4 4 2 3 2 4" xfId="7083" xr:uid="{510CFF01-48B3-4C64-8451-9E2EF081042E}"/>
    <cellStyle name="Comma 4 4 4 2 3 3" xfId="4100" xr:uid="{A4A703FC-EEE8-4AA4-8637-76E57737AB1E}"/>
    <cellStyle name="Comma 4 4 4 2 3 3 2" xfId="8549" xr:uid="{6EBA37E0-D369-4A96-AD0C-B63BA882F71A}"/>
    <cellStyle name="Comma 4 4 4 2 3 4" xfId="4806" xr:uid="{3EBCCAD0-4A46-431E-9D69-7CE55B8A98DF}"/>
    <cellStyle name="Comma 4 4 4 2 3 4 2" xfId="9052" xr:uid="{A87DA9D4-FAB7-45C9-8E70-A14E61BB4041}"/>
    <cellStyle name="Comma 4 4 4 2 3 5" xfId="3280" xr:uid="{F53E5465-C7CF-4580-B909-C21ED92D6C60}"/>
    <cellStyle name="Comma 4 4 4 2 3 5 2" xfId="7773" xr:uid="{15797059-91A9-4C87-919A-77D417ED80FA}"/>
    <cellStyle name="Comma 4 4 4 2 3 6" xfId="6104" xr:uid="{C3F342AB-E687-49A4-88A0-61834D92FF18}"/>
    <cellStyle name="Comma 4 4 4 2 4" xfId="1772" xr:uid="{014D6C4C-A7C4-4156-A5B6-396686561E8B}"/>
    <cellStyle name="Comma 4 4 4 2 4 2" xfId="2751" xr:uid="{F056719D-7FA4-4AC9-BAAC-C0BF2824C8D6}"/>
    <cellStyle name="Comma 4 4 4 2 4 2 2" xfId="4914" xr:uid="{86EAE87F-2280-460E-B492-8337DBBA9DB7}"/>
    <cellStyle name="Comma 4 4 4 2 4 2 2 2" xfId="9144" xr:uid="{2A3B0AD5-E066-465F-B816-C6C676710B67}"/>
    <cellStyle name="Comma 4 4 4 2 4 2 3" xfId="3484" xr:uid="{D0B6D7DC-B6C9-480E-BB12-E1DB94D29C9A}"/>
    <cellStyle name="Comma 4 4 4 2 4 2 3 2" xfId="7951" xr:uid="{DEC17A2A-F3E7-4D8E-B55F-F74A30E1DA47}"/>
    <cellStyle name="Comma 4 4 4 2 4 2 4" xfId="7316" xr:uid="{7D618C22-30E0-4009-8806-A6FEFE6C19D4}"/>
    <cellStyle name="Comma 4 4 4 2 4 3" xfId="3890" xr:uid="{9CA7612D-194D-4D60-838F-63D33D8CE2F5}"/>
    <cellStyle name="Comma 4 4 4 2 4 3 2" xfId="8339" xr:uid="{1CEC124B-3265-48EC-BF01-2E62D3A83A23}"/>
    <cellStyle name="Comma 4 4 4 2 4 4" xfId="4637" xr:uid="{1A24DD9F-9628-47D1-B339-9A30BBF772F3}"/>
    <cellStyle name="Comma 4 4 4 2 4 4 2" xfId="8883" xr:uid="{5F21AFE6-EF96-4471-9030-ABC89730E92A}"/>
    <cellStyle name="Comma 4 4 4 2 4 5" xfId="3053" xr:uid="{4ADDFFE3-83CD-4291-88A5-C364BC3A0A66}"/>
    <cellStyle name="Comma 4 4 4 2 4 5 2" xfId="7563" xr:uid="{392BF7BD-B9A0-4759-AFEB-032B528B2B1F}"/>
    <cellStyle name="Comma 4 4 4 2 4 6" xfId="6337" xr:uid="{63209A54-4A3D-49D4-870A-1E0E434FC841}"/>
    <cellStyle name="Comma 4 4 4 2 5" xfId="2009" xr:uid="{C44357D5-DFB5-47E4-AB2C-9966D4DDB579}"/>
    <cellStyle name="Comma 4 4 4 2 5 2" xfId="4537" xr:uid="{D5088929-7407-4585-8C8B-53CA77BB1D7F}"/>
    <cellStyle name="Comma 4 4 4 2 5 2 2" xfId="8799" xr:uid="{0FF717EF-C6D2-4936-B4EA-221D7DD2D945}"/>
    <cellStyle name="Comma 4 4 4 2 5 3" xfId="3410" xr:uid="{40B91946-E9C7-4AC4-99C4-C943325026CE}"/>
    <cellStyle name="Comma 4 4 4 2 5 3 2" xfId="7878" xr:uid="{05B58AC3-C20B-4EB6-A8DB-F6214F945EEE}"/>
    <cellStyle name="Comma 4 4 4 2 5 4" xfId="6574" xr:uid="{FA272591-AACC-40B7-A34C-6460D8C7AE02}"/>
    <cellStyle name="Comma 4 4 4 2 6" xfId="3817" xr:uid="{52D6E99E-2E61-4A4F-811C-DA2EA153A6A7}"/>
    <cellStyle name="Comma 4 4 4 2 6 2" xfId="4876" xr:uid="{51770F16-4BB1-4BAD-BEF2-17C948FFA294}"/>
    <cellStyle name="Comma 4 4 4 2 6 2 2" xfId="9109" xr:uid="{1C67159F-D5AB-41EE-B1D2-FB61136C9E6C}"/>
    <cellStyle name="Comma 4 4 4 2 6 3" xfId="8266" xr:uid="{CB1E8B5F-9912-4C9E-A6B7-252252C12D2A}"/>
    <cellStyle name="Comma 4 4 4 2 7" xfId="4464" xr:uid="{53C699D5-75CC-450F-A36C-2982109348BD}"/>
    <cellStyle name="Comma 4 4 4 2 7 2" xfId="8741" xr:uid="{6C1AA5FE-2CD2-4A60-9A2D-5B51EF93EEA4}"/>
    <cellStyle name="Comma 4 4 4 2 8" xfId="2928" xr:uid="{1829B84B-665B-4013-A93D-2170F1B6EBB6}"/>
    <cellStyle name="Comma 4 4 4 2 8 2" xfId="7490" xr:uid="{2597B145-18CD-46A1-AD7F-66452EC80E3F}"/>
    <cellStyle name="Comma 4 4 4 2 9" xfId="5595" xr:uid="{7D9470EC-A2F2-4727-A959-26451AF78B61}"/>
    <cellStyle name="Comma 4 4 4 3" xfId="1013" xr:uid="{E60A9541-1C63-45EA-A30E-C635580D7F17}"/>
    <cellStyle name="Comma 4 4 4 3 2" xfId="1381" xr:uid="{066874B7-269E-46DC-AA62-FC9C36ED0352}"/>
    <cellStyle name="Comma 4 4 4 3 2 2" xfId="2361" xr:uid="{A8DCDFCE-CF16-4EC6-97C5-66A7ED3C5E07}"/>
    <cellStyle name="Comma 4 4 4 3 2 2 2" xfId="5131" xr:uid="{AE541DFC-6E3C-4977-B37C-C8E6A5F1C590}"/>
    <cellStyle name="Comma 4 4 4 3 2 2 2 2" xfId="9356" xr:uid="{34764C46-A56C-4F16-9F9E-6AE99EF54AB2}"/>
    <cellStyle name="Comma 4 4 4 3 2 2 3" xfId="3623" xr:uid="{0ECB810B-663D-431D-A107-F4809A3E3B07}"/>
    <cellStyle name="Comma 4 4 4 3 2 2 3 2" xfId="8090" xr:uid="{C5C7F336-BD1B-49CA-8550-FB0BA4B333F4}"/>
    <cellStyle name="Comma 4 4 4 3 2 2 4" xfId="6926" xr:uid="{E66A427E-131A-4E86-B592-80310F14C3CD}"/>
    <cellStyle name="Comma 4 4 4 3 2 3" xfId="4029" xr:uid="{954AF621-EB6B-44CB-9283-D0CFD876CDD0}"/>
    <cellStyle name="Comma 4 4 4 3 2 3 2" xfId="8478" xr:uid="{83661B76-6BE1-4D6B-857A-68183993B0CB}"/>
    <cellStyle name="Comma 4 4 4 3 2 4" xfId="4747" xr:uid="{533136EC-A975-43FB-8EB6-A3AC625E7CF9}"/>
    <cellStyle name="Comma 4 4 4 3 2 4 2" xfId="8993" xr:uid="{CF0F3EFD-F897-4C5F-92B8-E16125C4F1E7}"/>
    <cellStyle name="Comma 4 4 4 3 2 5" xfId="3207" xr:uid="{8BFEABD8-94F1-4A6B-8F67-2B32E530916A}"/>
    <cellStyle name="Comma 4 4 4 3 2 5 2" xfId="7702" xr:uid="{3C259882-825B-41AB-9593-BA470F733D23}"/>
    <cellStyle name="Comma 4 4 4 3 2 6" xfId="5947" xr:uid="{CF4FD21B-F68E-4D6E-BA3B-C88D93163506}"/>
    <cellStyle name="Comma 4 4 4 3 3" xfId="1615" xr:uid="{F3B28DE2-C139-460C-A024-C8FC81551A4F}"/>
    <cellStyle name="Comma 4 4 4 3 3 2" xfId="2595" xr:uid="{6618D670-0691-4795-B9E2-E48AB8A2B270}"/>
    <cellStyle name="Comma 4 4 4 3 3 2 2" xfId="5236" xr:uid="{1EF04339-400D-46E3-BD1A-295B4DC215A9}"/>
    <cellStyle name="Comma 4 4 4 3 3 2 2 2" xfId="9461" xr:uid="{9451C170-0D39-4292-9216-C2901594C443}"/>
    <cellStyle name="Comma 4 4 4 3 3 2 3" xfId="3728" xr:uid="{D3051A1C-9870-41E1-AEBC-31B7E5CA9D2A}"/>
    <cellStyle name="Comma 4 4 4 3 3 2 3 2" xfId="8195" xr:uid="{9B044229-43D5-497B-A6A3-66338728E1EB}"/>
    <cellStyle name="Comma 4 4 4 3 3 2 4" xfId="7160" xr:uid="{E05964FF-21E6-472E-A395-AB2073ABAA26}"/>
    <cellStyle name="Comma 4 4 4 3 3 3" xfId="4134" xr:uid="{4D4FA00C-F524-4A86-B0F5-80EAFCCF9996}"/>
    <cellStyle name="Comma 4 4 4 3 3 3 2" xfId="8583" xr:uid="{95EB2F29-27E4-46C0-8C09-A2EC36181D88}"/>
    <cellStyle name="Comma 4 4 4 3 3 4" xfId="4823" xr:uid="{D3A31589-BCFE-46C1-8958-FDD40A54BECD}"/>
    <cellStyle name="Comma 4 4 4 3 3 4 2" xfId="9069" xr:uid="{1A459B5E-2C17-4C57-94DF-E36E4EBAA708}"/>
    <cellStyle name="Comma 4 4 4 3 3 5" xfId="3318" xr:uid="{F7C72B46-0B3E-4D3C-9368-986FEBB1EEFF}"/>
    <cellStyle name="Comma 4 4 4 3 3 5 2" xfId="7807" xr:uid="{3553A809-3EFB-469B-81BA-5839FE256F06}"/>
    <cellStyle name="Comma 4 4 4 3 3 6" xfId="6181" xr:uid="{A3696BAF-691F-4248-A08A-55078A501661}"/>
    <cellStyle name="Comma 4 4 4 3 4" xfId="1849" xr:uid="{18BE0A5B-002C-45E7-8AD0-456F593CDE6E}"/>
    <cellStyle name="Comma 4 4 4 3 4 2" xfId="2828" xr:uid="{C55FD294-14C1-42E9-9346-0E239A6BFB9F}"/>
    <cellStyle name="Comma 4 4 4 3 4 2 2" xfId="5027" xr:uid="{D85BA205-5D54-446B-B159-5488EEE4FEC0}"/>
    <cellStyle name="Comma 4 4 4 3 4 2 2 2" xfId="9253" xr:uid="{A678D7FD-3453-49EB-AD47-62B0BAFCDCAB}"/>
    <cellStyle name="Comma 4 4 4 3 4 2 3" xfId="7393" xr:uid="{0E1AB1A1-A2E2-4584-B816-70494217853A}"/>
    <cellStyle name="Comma 4 4 4 3 4 3" xfId="3518" xr:uid="{73BAA238-41D4-49ED-8E15-6DF3893F2681}"/>
    <cellStyle name="Comma 4 4 4 3 4 3 2" xfId="7985" xr:uid="{E0A94034-ABA9-4CBC-B59C-F3C2ACD9C5D8}"/>
    <cellStyle name="Comma 4 4 4 3 4 4" xfId="6414" xr:uid="{4E6DBC53-17DC-4B88-8EB2-FCB28F748DD2}"/>
    <cellStyle name="Comma 4 4 4 3 5" xfId="2086" xr:uid="{F7D6E271-C04C-4A81-95B3-50F63AC4D859}"/>
    <cellStyle name="Comma 4 4 4 3 5 2" xfId="3924" xr:uid="{F4644BAD-E658-4A3C-A824-D61163B74C3D}"/>
    <cellStyle name="Comma 4 4 4 3 5 2 2" xfId="8373" xr:uid="{44258EC4-2995-44D9-B23D-2FB41FE9F6A8}"/>
    <cellStyle name="Comma 4 4 4 3 5 3" xfId="6651" xr:uid="{9B953C5C-1DEA-4FEA-AC40-A681A99BC66E}"/>
    <cellStyle name="Comma 4 4 4 3 6" xfId="4606" xr:uid="{4E18B431-23E9-43B1-A469-546B709C1460}"/>
    <cellStyle name="Comma 4 4 4 3 6 2" xfId="8858" xr:uid="{92FCB35E-8473-4179-A49B-F15FEA68653E}"/>
    <cellStyle name="Comma 4 4 4 3 7" xfId="3091" xr:uid="{93D7B9E5-F56A-435B-B60F-7CD0FEF28653}"/>
    <cellStyle name="Comma 4 4 4 3 7 2" xfId="7597" xr:uid="{0DDCB5D1-BFBE-4495-B59E-4D2235467960}"/>
    <cellStyle name="Comma 4 4 4 3 8" xfId="5672" xr:uid="{8368BB4D-9B33-4341-B049-50B496EC691E}"/>
    <cellStyle name="Comma 4 4 4 4" xfId="1103" xr:uid="{E1A8FD20-3BC7-4A92-8151-3BABA8A2F404}"/>
    <cellStyle name="Comma 4 4 4 4 2" xfId="2145" xr:uid="{3802986C-9EC0-474B-8FD6-70216D7E06D4}"/>
    <cellStyle name="Comma 4 4 4 4 2 2" xfId="5066" xr:uid="{36E95429-F14E-491A-A5AE-4B74802C5B57}"/>
    <cellStyle name="Comma 4 4 4 4 2 2 2" xfId="9292" xr:uid="{1AE9B881-DA2A-49DC-9262-93819B301956}"/>
    <cellStyle name="Comma 4 4 4 4 2 3" xfId="3558" xr:uid="{D08A0A78-957B-468D-BB2D-1DD7D03A3775}"/>
    <cellStyle name="Comma 4 4 4 4 2 3 2" xfId="8025" xr:uid="{865307FE-173D-4ADD-9225-7F75C2284577}"/>
    <cellStyle name="Comma 4 4 4 4 2 4" xfId="6710" xr:uid="{FCAC6599-4BD6-4590-8EF9-8280AA456052}"/>
    <cellStyle name="Comma 4 4 4 4 3" xfId="3964" xr:uid="{65A1AFC2-700F-447C-85E1-4E4FF3D6F5F5}"/>
    <cellStyle name="Comma 4 4 4 4 3 2" xfId="8413" xr:uid="{43A474B4-E42B-490A-8221-2207FA2CF118}"/>
    <cellStyle name="Comma 4 4 4 4 4" xfId="4690" xr:uid="{3F8A8ECB-2DD6-4CFE-A993-1D9D8598EE15}"/>
    <cellStyle name="Comma 4 4 4 4 4 2" xfId="8936" xr:uid="{8167046F-7FA6-4649-8B84-71DEC42ADCDB}"/>
    <cellStyle name="Comma 4 4 4 4 5" xfId="3142" xr:uid="{62230459-4F14-4359-BF42-D4DE4C416F4F}"/>
    <cellStyle name="Comma 4 4 4 4 5 2" xfId="7637" xr:uid="{F87BF4FB-7874-47AE-B5D1-F36EA7562B41}"/>
    <cellStyle name="Comma 4 4 4 4 6" xfId="5731" xr:uid="{49ACBF97-6C70-4B91-80C2-55DE618ABB09}"/>
    <cellStyle name="Comma 4 4 4 5" xfId="1223" xr:uid="{8A1DAE63-6FD2-43C2-87A4-D3DCE904E868}"/>
    <cellStyle name="Comma 4 4 4 5 2" xfId="2207" xr:uid="{66D5E75C-E839-42D4-862A-C570459297BB}"/>
    <cellStyle name="Comma 4 4 4 5 2 2" xfId="5171" xr:uid="{E2931A18-2557-47CD-96F4-FDC863F1C36A}"/>
    <cellStyle name="Comma 4 4 4 5 2 2 2" xfId="9396" xr:uid="{56C5BE57-1827-48BE-9791-751565475669}"/>
    <cellStyle name="Comma 4 4 4 5 2 3" xfId="3663" xr:uid="{A53FC689-076A-4CFB-A7F6-AD6640B48A62}"/>
    <cellStyle name="Comma 4 4 4 5 2 3 2" xfId="8130" xr:uid="{1964266E-3415-4C7D-8322-F3B79940B3E3}"/>
    <cellStyle name="Comma 4 4 4 5 2 4" xfId="6772" xr:uid="{61E4ED17-1EF4-4B5D-84F4-D4E6C8F1AA7C}"/>
    <cellStyle name="Comma 4 4 4 5 3" xfId="4069" xr:uid="{F0875373-01ED-42F0-8868-7363C8769A4C}"/>
    <cellStyle name="Comma 4 4 4 5 3 2" xfId="8518" xr:uid="{A5AEF768-1310-485F-9507-1F487369C2E0}"/>
    <cellStyle name="Comma 4 4 4 5 4" xfId="4786" xr:uid="{F24EF9B1-2B4B-495A-8721-785EEA658481}"/>
    <cellStyle name="Comma 4 4 4 5 4 2" xfId="9032" xr:uid="{63386E45-DE33-4A70-9376-C8783092E9A8}"/>
    <cellStyle name="Comma 4 4 4 5 5" xfId="3248" xr:uid="{736FC996-6C75-46B9-958E-15D7E92801F8}"/>
    <cellStyle name="Comma 4 4 4 5 5 2" xfId="7742" xr:uid="{13349CA3-367B-47BA-AA81-444F0FD6271E}"/>
    <cellStyle name="Comma 4 4 4 5 6" xfId="5793" xr:uid="{6C73D521-3B11-4503-A295-6F675BA5F6C7}"/>
    <cellStyle name="Comma 4 4 4 6" xfId="1461" xr:uid="{621776D9-3833-46EA-A91D-12C96998A112}"/>
    <cellStyle name="Comma 4 4 4 6 2" xfId="2441" xr:uid="{BA04A876-AE4A-4D0F-9B66-1FDB28801E83}"/>
    <cellStyle name="Comma 4 4 4 6 2 2" xfId="4878" xr:uid="{7509F59D-7E80-42F2-B709-E8F889F45494}"/>
    <cellStyle name="Comma 4 4 4 6 2 2 2" xfId="9111" xr:uid="{50B87476-26D8-4D8C-897D-A127E8ED8CD5}"/>
    <cellStyle name="Comma 4 4 4 6 2 3" xfId="3452" xr:uid="{6EACCC1B-29ED-4DE2-99C2-FC17F1AA7B26}"/>
    <cellStyle name="Comma 4 4 4 6 2 3 2" xfId="7920" xr:uid="{A47C3CBA-8C9F-45C7-B274-27BEB200CCB6}"/>
    <cellStyle name="Comma 4 4 4 6 2 4" xfId="7006" xr:uid="{725CF50C-6248-409B-B577-9A3CFA413718}"/>
    <cellStyle name="Comma 4 4 4 6 3" xfId="3859" xr:uid="{C0049E50-1270-4DE8-AABD-BBC7401A4230}"/>
    <cellStyle name="Comma 4 4 4 6 3 2" xfId="8308" xr:uid="{40ADF2A9-58F7-4992-AA83-EB33987B6AE0}"/>
    <cellStyle name="Comma 4 4 4 6 4" xfId="4550" xr:uid="{FBCFD0D1-3154-4856-B606-F92C08FE8C10}"/>
    <cellStyle name="Comma 4 4 4 6 4 2" xfId="8807" xr:uid="{E4483ACD-9B92-48A0-A4FE-F114426E692A}"/>
    <cellStyle name="Comma 4 4 4 6 5" xfId="3003" xr:uid="{FC05969C-5172-4C5C-942E-43F578CEAAD6}"/>
    <cellStyle name="Comma 4 4 4 6 5 2" xfId="7532" xr:uid="{D59796BE-882B-4945-8123-70277FC4381B}"/>
    <cellStyle name="Comma 4 4 4 6 6" xfId="6027" xr:uid="{E03CBAB5-2DA9-4A19-B16E-30CB28FCA299}"/>
    <cellStyle name="Comma 4 4 4 7" xfId="1694" xr:uid="{E61AF2AE-C214-4136-B777-524C1FEFF572}"/>
    <cellStyle name="Comma 4 4 4 7 2" xfId="2674" xr:uid="{0F2D905B-174B-42EA-8760-D72C29A9C2DF}"/>
    <cellStyle name="Comma 4 4 4 7 2 2" xfId="4974" xr:uid="{C3AC37F2-BF73-4CB8-BED0-B762DB43FA47}"/>
    <cellStyle name="Comma 4 4 4 7 2 2 2" xfId="9203" xr:uid="{CB6A485E-4A16-43AD-82EB-D06418691826}"/>
    <cellStyle name="Comma 4 4 4 7 2 3" xfId="7239" xr:uid="{D67AE002-6005-4101-8057-D635D55044D9}"/>
    <cellStyle name="Comma 4 4 4 7 3" xfId="3357" xr:uid="{3DF51865-8DF2-4381-8545-362999DAA89C}"/>
    <cellStyle name="Comma 4 4 4 7 3 2" xfId="7844" xr:uid="{CF9E995D-E256-417C-ACF3-5B2089F7999E}"/>
    <cellStyle name="Comma 4 4 4 7 4" xfId="6260" xr:uid="{D1672C75-7DFF-4860-9A0F-11810D915BF6}"/>
    <cellStyle name="Comma 4 4 4 8" xfId="1932" xr:uid="{54825637-F0F9-46E7-BA2F-AFDFC5937622}"/>
    <cellStyle name="Comma 4 4 4 8 2" xfId="3780" xr:uid="{E00E973A-BDC4-4C2E-8D33-296F5C24534B}"/>
    <cellStyle name="Comma 4 4 4 8 2 2" xfId="8232" xr:uid="{B0D6820A-0AA0-4C12-BC8F-5A72A25E1F9D}"/>
    <cellStyle name="Comma 4 4 4 8 3" xfId="6497" xr:uid="{AB905D1A-BC6F-444C-BCC0-3B9EC429E419}"/>
    <cellStyle name="Comma 4 4 4 9" xfId="4357" xr:uid="{2DAF48A0-3D1A-4391-AFEE-21B210598202}"/>
    <cellStyle name="Comma 4 4 4 9 2" xfId="8669" xr:uid="{A4AEC556-4C6E-485F-BD73-CC4EB934035B}"/>
    <cellStyle name="Comma 4 4 5" xfId="697" xr:uid="{F3EFCA0C-ECCE-4CCF-B5E7-A840FE5812F1}"/>
    <cellStyle name="Comma 4 4 6" xfId="845" xr:uid="{FB92415C-D7AA-4AE1-9553-F80BDB363E98}"/>
    <cellStyle name="Comma 4 4 6 2" xfId="951" xr:uid="{962E5C24-A5FE-4FDD-9403-BD1FEDA1DEF7}"/>
    <cellStyle name="Comma 4 4 6 2 2" xfId="1324" xr:uid="{CF06D4E2-760F-49AF-9D83-11D5590AA653}"/>
    <cellStyle name="Comma 4 4 6 2 2 2" xfId="2304" xr:uid="{5C4B3AA8-FAAD-49B0-895D-8C248FDEEF7F}"/>
    <cellStyle name="Comma 4 4 6 2 2 2 2" xfId="6869" xr:uid="{974257E6-F3AA-4861-9A4B-E042DC180842}"/>
    <cellStyle name="Comma 4 4 6 2 2 3" xfId="5354" xr:uid="{683CDE49-4E0E-4106-B94A-DB66B04E339D}"/>
    <cellStyle name="Comma 4 4 6 2 2 3 2" xfId="9532" xr:uid="{E3F609C3-086E-4FC1-B759-C394B9DA3CE4}"/>
    <cellStyle name="Comma 4 4 6 2 2 4" xfId="5890" xr:uid="{96048B5C-C9CF-415F-A62A-83F790EE1654}"/>
    <cellStyle name="Comma 4 4 6 2 3" xfId="1558" xr:uid="{D5B208C1-1439-4411-937B-537CDC381369}"/>
    <cellStyle name="Comma 4 4 6 2 3 2" xfId="2538" xr:uid="{1C540A36-D19B-4BCD-9E93-C9D248FEAF11}"/>
    <cellStyle name="Comma 4 4 6 2 3 2 2" xfId="7103" xr:uid="{919D984E-7A40-4749-A32E-2A5072C87F39}"/>
    <cellStyle name="Comma 4 4 6 2 3 3" xfId="5393" xr:uid="{2A77473B-406A-4B9E-8036-EDA502E0180F}"/>
    <cellStyle name="Comma 4 4 6 2 3 3 2" xfId="9570" xr:uid="{1784BB97-5DD0-47FE-8146-5374A14F5D89}"/>
    <cellStyle name="Comma 4 4 6 2 3 4" xfId="6124" xr:uid="{8BF4F097-4E98-4DE6-9D1D-550AB705614B}"/>
    <cellStyle name="Comma 4 4 6 2 4" xfId="1792" xr:uid="{9BF4CF14-EE90-4FF8-8619-7476B8127EA3}"/>
    <cellStyle name="Comma 4 4 6 2 4 2" xfId="2771" xr:uid="{C43E2FD4-A5C9-4F67-A1A7-127DADFC265D}"/>
    <cellStyle name="Comma 4 4 6 2 4 2 2" xfId="7336" xr:uid="{0E97CA1F-43DA-4CFE-A5D7-36E676AB7E23}"/>
    <cellStyle name="Comma 4 4 6 2 4 3" xfId="5443" xr:uid="{B29CBF6F-F280-4235-8CE1-8FFA19126135}"/>
    <cellStyle name="Comma 4 4 6 2 4 3 2" xfId="9619" xr:uid="{93644102-5B37-4E5A-924B-5145CBA0A800}"/>
    <cellStyle name="Comma 4 4 6 2 4 4" xfId="6357" xr:uid="{9860376A-D353-48BC-9A26-1B1F630BB384}"/>
    <cellStyle name="Comma 4 4 6 2 5" xfId="2029" xr:uid="{DE246A03-C888-45CF-A35C-DDF59078C70C}"/>
    <cellStyle name="Comma 4 4 6 2 5 2" xfId="6594" xr:uid="{4BC5113E-2FA3-4314-86BC-53B30A1211EF}"/>
    <cellStyle name="Comma 4 4 6 2 6" xfId="5266" xr:uid="{13D1B77D-B274-4FED-9B68-BC7D780298ED}"/>
    <cellStyle name="Comma 4 4 6 2 6 2" xfId="9488" xr:uid="{CCB1C906-C7CA-4187-8FA7-627454A6D1B4}"/>
    <cellStyle name="Comma 4 4 6 2 7" xfId="5615" xr:uid="{BBD98507-B7CD-4E51-A730-A62F73C968A2}"/>
    <cellStyle name="Comma 4 4 6 3" xfId="1033" xr:uid="{A769E3CB-7AF3-4724-BC37-71A674349804}"/>
    <cellStyle name="Comma 4 4 6 3 2" xfId="1401" xr:uid="{5C5D20A4-D47F-4F55-BDAB-C234CF0CFBCB}"/>
    <cellStyle name="Comma 4 4 6 3 2 2" xfId="2381" xr:uid="{EA059009-D622-416A-AC30-F28D47F1CA47}"/>
    <cellStyle name="Comma 4 4 6 3 2 2 2" xfId="6946" xr:uid="{75588529-E21D-4A3F-90B5-956EEF72838C}"/>
    <cellStyle name="Comma 4 4 6 3 2 3" xfId="5367" xr:uid="{670F27B8-A372-4BCF-963F-1CD0A21652C4}"/>
    <cellStyle name="Comma 4 4 6 3 2 3 2" xfId="9545" xr:uid="{1197C9FD-4A7B-441E-B930-B906EE580D1A}"/>
    <cellStyle name="Comma 4 4 6 3 2 4" xfId="5967" xr:uid="{EB4D3BCD-0AA4-486A-A4B6-CD325797BB0E}"/>
    <cellStyle name="Comma 4 4 6 3 3" xfId="1635" xr:uid="{7A0235FF-338D-4BF7-8B35-A6A61C3D848A}"/>
    <cellStyle name="Comma 4 4 6 3 3 2" xfId="2615" xr:uid="{2B909358-2180-49CA-97A7-1466BE43AD3F}"/>
    <cellStyle name="Comma 4 4 6 3 3 2 2" xfId="7180" xr:uid="{1E1D6C08-8D8A-4B30-8079-6C9672E59B3D}"/>
    <cellStyle name="Comma 4 4 6 3 3 3" xfId="5407" xr:uid="{E611CC08-00D2-4011-ACF6-B363D0BFCD25}"/>
    <cellStyle name="Comma 4 4 6 3 3 3 2" xfId="9584" xr:uid="{7F6DFD0D-195C-42EC-B4E6-1DF72EB5C6CD}"/>
    <cellStyle name="Comma 4 4 6 3 3 4" xfId="6201" xr:uid="{0FCC40A6-772D-4940-A6E1-54681B3BCFC1}"/>
    <cellStyle name="Comma 4 4 6 3 4" xfId="1869" xr:uid="{4C70460D-55C2-457C-88D6-CC4BF744059A}"/>
    <cellStyle name="Comma 4 4 6 3 4 2" xfId="2848" xr:uid="{43F6554D-2355-4BAD-9078-604FFDB222CD}"/>
    <cellStyle name="Comma 4 4 6 3 4 2 2" xfId="7413" xr:uid="{36706A84-29FC-457C-B6BD-8E7DB30991FE}"/>
    <cellStyle name="Comma 4 4 6 3 4 3" xfId="5463" xr:uid="{A9A1EB09-C16A-42EB-AA8E-7A71B1255097}"/>
    <cellStyle name="Comma 4 4 6 3 4 3 2" xfId="9639" xr:uid="{6ADE467F-C5AD-4282-9326-677CBDCAC3EA}"/>
    <cellStyle name="Comma 4 4 6 3 4 4" xfId="6434" xr:uid="{A9993158-C3DD-44B9-9E58-32326373B1A9}"/>
    <cellStyle name="Comma 4 4 6 3 5" xfId="2106" xr:uid="{ABF23E04-81D3-4AD2-87BC-F3370BC28883}"/>
    <cellStyle name="Comma 4 4 6 3 5 2" xfId="6671" xr:uid="{48AF0EF5-0142-4709-A0B2-072A369711C7}"/>
    <cellStyle name="Comma 4 4 6 3 6" xfId="5277" xr:uid="{F48494B6-7912-4E7E-BB66-E36F2E26AAB8}"/>
    <cellStyle name="Comma 4 4 6 3 6 2" xfId="9499" xr:uid="{9508ACD5-E472-4FE3-8EA1-B44058F4EDFE}"/>
    <cellStyle name="Comma 4 4 6 3 7" xfId="5692" xr:uid="{F726CA7C-D6F4-449B-A72E-DDDB09B0D39E}"/>
    <cellStyle name="Comma 4 4 6 4" xfId="1245" xr:uid="{703EFCBB-73D2-46A1-A10E-5C9AB4EC2242}"/>
    <cellStyle name="Comma 4 4 6 4 2" xfId="2227" xr:uid="{1F8664FA-9AC7-40EE-88C5-34C0D0B4EA9B}"/>
    <cellStyle name="Comma 4 4 6 4 2 2" xfId="6792" xr:uid="{7F76F458-5EF7-40E3-8FB6-533F83608BCF}"/>
    <cellStyle name="Comma 4 4 6 4 3" xfId="5338" xr:uid="{0E7BBF62-9C72-4DA4-97F2-E25A2166C26F}"/>
    <cellStyle name="Comma 4 4 6 4 3 2" xfId="9520" xr:uid="{6ABEE415-77BB-4417-A7A5-FDA579B06C4E}"/>
    <cellStyle name="Comma 4 4 6 4 4" xfId="5813" xr:uid="{6D4BE7E4-2905-40E6-882B-AF3545F0052D}"/>
    <cellStyle name="Comma 4 4 6 5" xfId="1481" xr:uid="{8E97378C-57F3-4F0D-8D8B-AB167906C6C5}"/>
    <cellStyle name="Comma 4 4 6 5 2" xfId="2461" xr:uid="{B5E26822-FFAF-46D8-96F5-422CE8055D88}"/>
    <cellStyle name="Comma 4 4 6 5 2 2" xfId="7026" xr:uid="{36B4CA9D-6BFA-4B69-AA9E-BF5665DE4E6E}"/>
    <cellStyle name="Comma 4 4 6 5 3" xfId="5381" xr:uid="{7BB4C676-EED2-4F51-B58E-15413F6C531B}"/>
    <cellStyle name="Comma 4 4 6 5 3 2" xfId="9559" xr:uid="{E77D8EAA-9929-42D3-A029-F220A88A4516}"/>
    <cellStyle name="Comma 4 4 6 5 4" xfId="6047" xr:uid="{54A171EA-0866-4C14-9C4A-C34A22AEF670}"/>
    <cellStyle name="Comma 4 4 6 6" xfId="1658" xr:uid="{3164D94B-5C2E-435C-ABEF-7678BB996BFA}"/>
    <cellStyle name="Comma 4 4 6 6 2" xfId="2638" xr:uid="{89936C2F-2528-411D-89E9-9114B27A346E}"/>
    <cellStyle name="Comma 4 4 6 6 2 2" xfId="7203" xr:uid="{E9B6C13F-A92F-423A-91BE-3FBD24762561}"/>
    <cellStyle name="Comma 4 4 6 6 3" xfId="5413" xr:uid="{F4CDACC7-E9C3-4AE5-B4C3-7700B248016F}"/>
    <cellStyle name="Comma 4 4 6 6 3 2" xfId="9590" xr:uid="{F91C760F-9547-41C9-9E78-71F5C61DDE33}"/>
    <cellStyle name="Comma 4 4 6 6 4" xfId="6224" xr:uid="{58E2BB36-654F-4B19-B870-71D8702C4A88}"/>
    <cellStyle name="Comma 4 4 6 7" xfId="1952" xr:uid="{CFB4FD75-96B5-45B0-8DD1-C6CAAD8BA7B2}"/>
    <cellStyle name="Comma 4 4 6 7 2" xfId="6517" xr:uid="{6C611A4F-7C7F-4253-A82D-3A425A98D914}"/>
    <cellStyle name="Comma 4 4 6 8" xfId="5259" xr:uid="{99DE0C0F-DEE4-4EB0-812B-03F416BDEC66}"/>
    <cellStyle name="Comma 4 4 6 8 2" xfId="9481" xr:uid="{0C370C86-ACB7-48B3-A88D-1C2D0A579F22}"/>
    <cellStyle name="Comma 4 4 6 9" xfId="5538" xr:uid="{D40A0F82-FC3B-48E4-A3DC-10122E1CDA88}"/>
    <cellStyle name="Comma 4 4 7" xfId="886" xr:uid="{46E2766C-339B-453D-A8D6-9CD57B61BC9F}"/>
    <cellStyle name="Comma 4 4 7 2" xfId="1280" xr:uid="{32A27632-07EC-4054-8BEF-94130FF020E7}"/>
    <cellStyle name="Comma 4 4 7 2 2" xfId="2262" xr:uid="{81DB4814-4A9F-4BA7-BEF2-3C34596F30DA}"/>
    <cellStyle name="Comma 4 4 7 2 2 2" xfId="6827" xr:uid="{B052471C-02A9-447B-8DB6-9BDF4EDF3A14}"/>
    <cellStyle name="Comma 4 4 7 2 3" xfId="5345" xr:uid="{1D7075FB-D8D7-4664-B0FA-54B156B806EF}"/>
    <cellStyle name="Comma 4 4 7 2 3 2" xfId="9526" xr:uid="{A9984FD4-86AC-46AF-B51F-ECA0A1951116}"/>
    <cellStyle name="Comma 4 4 7 2 4" xfId="5848" xr:uid="{4DDF3285-BF17-4081-8702-B6ED3618D351}"/>
    <cellStyle name="Comma 4 4 7 3" xfId="1516" xr:uid="{DD66EA75-73BA-4404-8E7C-87D58D9E9B12}"/>
    <cellStyle name="Comma 4 4 7 3 2" xfId="2496" xr:uid="{74582A09-877E-4283-995F-D27C732CCBCD}"/>
    <cellStyle name="Comma 4 4 7 3 2 2" xfId="7061" xr:uid="{615B1888-2E0B-490B-B2B0-77D67E7D5A98}"/>
    <cellStyle name="Comma 4 4 7 3 3" xfId="5387" xr:uid="{8EE7FACF-FFEA-4E01-BE0B-0597C7467BA7}"/>
    <cellStyle name="Comma 4 4 7 3 3 2" xfId="9564" xr:uid="{62513D1D-8ACE-457A-9D1B-585125C1F784}"/>
    <cellStyle name="Comma 4 4 7 3 4" xfId="6082" xr:uid="{1DA205C4-6D06-4C87-8021-2834BE0C3BC2}"/>
    <cellStyle name="Comma 4 4 7 4" xfId="1750" xr:uid="{7912C05E-430F-47D5-A8FD-1E2DE2317DE7}"/>
    <cellStyle name="Comma 4 4 7 4 2" xfId="2729" xr:uid="{A6FA6AE7-A12C-431E-867D-2AFC499377F7}"/>
    <cellStyle name="Comma 4 4 7 4 2 2" xfId="7294" xr:uid="{D77D6DE9-66C6-44D9-845F-2904E17E9927}"/>
    <cellStyle name="Comma 4 4 7 4 3" xfId="5434" xr:uid="{D57C76BA-9C18-4F76-95E5-17B73753FDE7}"/>
    <cellStyle name="Comma 4 4 7 4 3 2" xfId="9610" xr:uid="{EBD72A5E-3213-4B59-B54B-590A0D51D25F}"/>
    <cellStyle name="Comma 4 4 7 4 4" xfId="6315" xr:uid="{D90DAFF3-FCA2-42C9-BEC9-E6207EF87D68}"/>
    <cellStyle name="Comma 4 4 7 5" xfId="1987" xr:uid="{C310C9D7-967E-4FA8-92A5-6488763D7D26}"/>
    <cellStyle name="Comma 4 4 7 5 2" xfId="6552" xr:uid="{3DE47FC7-A764-40D8-8F30-DAEAD05AF061}"/>
    <cellStyle name="Comma 4 4 7 6" xfId="5262" xr:uid="{1506FC4D-6F4B-437D-8FF2-197ABF45F7ED}"/>
    <cellStyle name="Comma 4 4 7 6 2" xfId="9484" xr:uid="{D3082EB8-2753-48C5-963A-7D1B6EBF3A8F}"/>
    <cellStyle name="Comma 4 4 7 7" xfId="5573" xr:uid="{F68865BC-4FE6-43C8-984E-90B8122DAADE}"/>
    <cellStyle name="Comma 4 4 8" xfId="991" xr:uid="{4C46812C-49A8-415C-A40C-39DD0D54E2EB}"/>
    <cellStyle name="Comma 4 4 8 2" xfId="1359" xr:uid="{CD2E4ADB-CC8E-42B1-9F00-57F3DEDB47EB}"/>
    <cellStyle name="Comma 4 4 8 2 2" xfId="2339" xr:uid="{92A792A4-4E82-496B-8919-06A28DDAADEA}"/>
    <cellStyle name="Comma 4 4 8 2 2 2" xfId="6904" xr:uid="{5151908E-ABA3-403B-BDB7-FF74887D12D9}"/>
    <cellStyle name="Comma 4 4 8 2 3" xfId="5360" xr:uid="{DC22F1BF-C0D7-493F-B6BB-32F51A6FE702}"/>
    <cellStyle name="Comma 4 4 8 2 3 2" xfId="9538" xr:uid="{6A5748C1-9849-4278-8D1D-294A3F51C295}"/>
    <cellStyle name="Comma 4 4 8 2 4" xfId="5925" xr:uid="{300BF07D-C7DD-4674-BE01-86E657375CDA}"/>
    <cellStyle name="Comma 4 4 8 3" xfId="1593" xr:uid="{73476C25-6F5E-45B5-B08F-9B59078F7DF8}"/>
    <cellStyle name="Comma 4 4 8 3 2" xfId="2573" xr:uid="{DF2C6F61-C226-4F05-8026-AA090EE65B1B}"/>
    <cellStyle name="Comma 4 4 8 3 2 2" xfId="7138" xr:uid="{1B38CEC0-E0DB-4ED3-8075-7D712DF24650}"/>
    <cellStyle name="Comma 4 4 8 3 3" xfId="5400" xr:uid="{95E6C085-9F87-4ED0-B152-210D8A2C8921}"/>
    <cellStyle name="Comma 4 4 8 3 3 2" xfId="9577" xr:uid="{5F2CFD0D-F000-49E3-A773-8A97EDAF2BA2}"/>
    <cellStyle name="Comma 4 4 8 3 4" xfId="6159" xr:uid="{DAB4CA82-6BA8-48F9-9093-AB9C2B75C5B4}"/>
    <cellStyle name="Comma 4 4 8 4" xfId="1827" xr:uid="{70032ECE-F04D-4772-83AA-38DEDE99F982}"/>
    <cellStyle name="Comma 4 4 8 4 2" xfId="2806" xr:uid="{F5237256-30B8-447C-9A84-9402BA11F8FB}"/>
    <cellStyle name="Comma 4 4 8 4 2 2" xfId="7371" xr:uid="{372480D5-ADE6-4E82-9CC3-D74B05FA95FF}"/>
    <cellStyle name="Comma 4 4 8 4 3" xfId="5453" xr:uid="{A4B1435B-0E09-4D41-AA18-AEA0BABBB7D4}"/>
    <cellStyle name="Comma 4 4 8 4 3 2" xfId="9629" xr:uid="{275FAA47-5980-4A45-A31F-4EFFAC6449E6}"/>
    <cellStyle name="Comma 4 4 8 4 4" xfId="6392" xr:uid="{225DE82E-AA7F-438D-92FD-F4BACB7EEC38}"/>
    <cellStyle name="Comma 4 4 8 5" xfId="2064" xr:uid="{82F9EB45-1A3D-498E-A0C4-04543706FA19}"/>
    <cellStyle name="Comma 4 4 8 5 2" xfId="6629" xr:uid="{501D9620-1B70-42D8-9045-224CD0A51E06}"/>
    <cellStyle name="Comma 4 4 8 6" xfId="5272" xr:uid="{CD134AC5-B8A1-4750-92C5-D9AD6F409902}"/>
    <cellStyle name="Comma 4 4 8 6 2" xfId="9494" xr:uid="{BD0F87B2-35C8-46F2-ACCE-75998CE7CEBD}"/>
    <cellStyle name="Comma 4 4 8 7" xfId="5650" xr:uid="{4ABD79EC-04D3-41DC-88B5-5ED4D0A86722}"/>
    <cellStyle name="Comma 4 4 9" xfId="1101" xr:uid="{B003DD03-FEEC-4B4D-A6E6-871460139F30}"/>
    <cellStyle name="Comma 4 4 9 2" xfId="2143" xr:uid="{FCDF65DE-31DC-427A-B280-2E6908D7D28C}"/>
    <cellStyle name="Comma 4 4 9 2 2" xfId="6708" xr:uid="{5672823F-64CE-4C6A-8072-C7D8F62FACD6}"/>
    <cellStyle name="Comma 4 4 9 3" xfId="5289" xr:uid="{B4D0AB0E-FF8C-4D4A-A258-EC5EACA39802}"/>
    <cellStyle name="Comma 4 4 9 3 2" xfId="9508" xr:uid="{A4844652-B240-4E87-B677-4EB7BF8AF5C7}"/>
    <cellStyle name="Comma 4 4 9 4" xfId="5729" xr:uid="{28C97C73-785A-4838-9689-1CA05390441E}"/>
    <cellStyle name="Comma 4 5" xfId="215" xr:uid="{B78F6E79-082E-49C1-91B9-607DF09AB7EB}"/>
    <cellStyle name="Comma 4 5 2" xfId="216" xr:uid="{352F717C-DB40-4A75-B96D-20BBBE2350E3}"/>
    <cellStyle name="Comma 4 5 3" xfId="217" xr:uid="{27511025-C628-4667-9D60-48C4E79A93B7}"/>
    <cellStyle name="Comma 4 5 4" xfId="3004" xr:uid="{9C07BCE1-AC4F-4549-B443-E77B482164A2}"/>
    <cellStyle name="Comma 4 5 5" xfId="2966" xr:uid="{A7F6E98D-A8B6-4DF3-B738-C74488417D3D}"/>
    <cellStyle name="Comma 4 6" xfId="218" xr:uid="{B6CE8F69-FD56-4348-AEFF-C2A2D484A666}"/>
    <cellStyle name="Comma 4 7" xfId="696" xr:uid="{6929AF08-C77C-450D-A8A2-2BDDAF001516}"/>
    <cellStyle name="Comma 4 7 10" xfId="2893" xr:uid="{10EBA398-6065-45D5-97D7-E033A3EAB95C}"/>
    <cellStyle name="Comma 4 7 10 2" xfId="7457" xr:uid="{975E9098-998E-43A7-B8A5-B901C9EED605}"/>
    <cellStyle name="Comma 4 7 11" xfId="5517" xr:uid="{CD1A4EFB-E250-473C-8E66-79618E9DD838}"/>
    <cellStyle name="Comma 4 7 2" xfId="924" xr:uid="{3AD8EA3C-0585-40E5-977F-DBA68985727C}"/>
    <cellStyle name="Comma 4 7 2 2" xfId="1301" xr:uid="{E299A39E-0207-4EE3-A967-3D1A09241292}"/>
    <cellStyle name="Comma 4 7 2 2 2" xfId="2283" xr:uid="{66E09248-962D-44B4-B986-BA27769E05E3}"/>
    <cellStyle name="Comma 4 7 2 2 2 2" xfId="4715" xr:uid="{940A3FCE-B923-4129-A5EE-16E9AF9BB8C3}"/>
    <cellStyle name="Comma 4 7 2 2 2 2 2" xfId="8961" xr:uid="{FCC375FD-4232-47BA-B633-27733BF31961}"/>
    <cellStyle name="Comma 4 7 2 2 2 3" xfId="3590" xr:uid="{E1381930-BEC1-41D4-BFE5-D8B526647DC9}"/>
    <cellStyle name="Comma 4 7 2 2 2 3 2" xfId="8057" xr:uid="{7D9E03FC-1367-446B-A79A-450A705790DA}"/>
    <cellStyle name="Comma 4 7 2 2 2 4" xfId="6848" xr:uid="{7CD87D68-48C3-45C7-AC84-520AD502C03A}"/>
    <cellStyle name="Comma 4 7 2 2 3" xfId="3996" xr:uid="{D494C534-EB40-4F89-A213-9246FFA94220}"/>
    <cellStyle name="Comma 4 7 2 2 3 2" xfId="5098" xr:uid="{80B09626-36AA-406E-ACB2-1298CCAE387F}"/>
    <cellStyle name="Comma 4 7 2 2 3 2 2" xfId="9323" xr:uid="{05BDCA2A-C799-469B-A286-3D375587770C}"/>
    <cellStyle name="Comma 4 7 2 2 3 3" xfId="8445" xr:uid="{A8728458-198E-4B77-AE3A-BE495BDAEF68}"/>
    <cellStyle name="Comma 4 7 2 2 4" xfId="4465" xr:uid="{A0D22AA7-161A-43BB-A52B-93D4EA5FED48}"/>
    <cellStyle name="Comma 4 7 2 2 4 2" xfId="8742" xr:uid="{0CC0BBC8-689C-4141-8BB9-D2A348E9836E}"/>
    <cellStyle name="Comma 4 7 2 2 5" xfId="3174" xr:uid="{0AEF84DB-DF05-4CB5-8755-D9E7AD6499C1}"/>
    <cellStyle name="Comma 4 7 2 2 5 2" xfId="7669" xr:uid="{4EB70979-E0CE-4F66-9668-904BD476D052}"/>
    <cellStyle name="Comma 4 7 2 2 6" xfId="5869" xr:uid="{85BDB97C-9ED5-496C-A4A8-595D03D4FCAC}"/>
    <cellStyle name="Comma 4 7 2 3" xfId="1537" xr:uid="{A91B1BCA-11CE-4206-998F-DDAE0E9AAFE5}"/>
    <cellStyle name="Comma 4 7 2 3 2" xfId="2517" xr:uid="{FFC918DF-62AF-4D07-8AF2-DA9E30BE886B}"/>
    <cellStyle name="Comma 4 7 2 3 2 2" xfId="5203" xr:uid="{FCFD8669-A10C-400A-9F68-55AB647786F4}"/>
    <cellStyle name="Comma 4 7 2 3 2 2 2" xfId="9428" xr:uid="{F06D7259-8936-4DF2-B111-91F9FBF798CE}"/>
    <cellStyle name="Comma 4 7 2 3 2 3" xfId="3695" xr:uid="{BF471D77-1186-4250-8346-72178138AD11}"/>
    <cellStyle name="Comma 4 7 2 3 2 3 2" xfId="8162" xr:uid="{5C9345C7-35C5-419C-BE19-A505973C5609}"/>
    <cellStyle name="Comma 4 7 2 3 2 4" xfId="7082" xr:uid="{C4CF26E5-8CD5-4202-B6EF-CA1D3F25CD4B}"/>
    <cellStyle name="Comma 4 7 2 3 3" xfId="4101" xr:uid="{1D1CE69E-39D7-430D-AED6-C4E697CF5CEA}"/>
    <cellStyle name="Comma 4 7 2 3 3 2" xfId="8550" xr:uid="{3567A607-567C-4A31-88DC-A264A2FB975E}"/>
    <cellStyle name="Comma 4 7 2 3 4" xfId="4607" xr:uid="{3ED5E031-4F9D-4A6E-8A9C-7F427CFD080F}"/>
    <cellStyle name="Comma 4 7 2 3 4 2" xfId="8859" xr:uid="{A467F8F9-BDE4-4D7B-906C-4DECA1BC642C}"/>
    <cellStyle name="Comma 4 7 2 3 5" xfId="3281" xr:uid="{3973BB53-96B9-4DC1-B99C-974FAB1831EC}"/>
    <cellStyle name="Comma 4 7 2 3 5 2" xfId="7774" xr:uid="{31B729D4-F7C6-4E96-ABDE-343266BA93D2}"/>
    <cellStyle name="Comma 4 7 2 3 6" xfId="6103" xr:uid="{93BC9AFB-A453-46E8-A188-39BE06912A9F}"/>
    <cellStyle name="Comma 4 7 2 4" xfId="1771" xr:uid="{FB0E07BC-ABCE-470E-9D37-4A91414F8810}"/>
    <cellStyle name="Comma 4 7 2 4 2" xfId="2750" xr:uid="{FC333400-E67C-448E-AEC7-7E04BB5816FE}"/>
    <cellStyle name="Comma 4 7 2 4 2 2" xfId="4903" xr:uid="{ECBA3295-9C3A-49EC-9BE9-247559D5D604}"/>
    <cellStyle name="Comma 4 7 2 4 2 2 2" xfId="9133" xr:uid="{E0C11A53-A7E7-4C3B-94C7-5351E4E5339D}"/>
    <cellStyle name="Comma 4 7 2 4 2 3" xfId="3485" xr:uid="{9B7BA9AF-9CAB-4F21-B316-7FFEAD249861}"/>
    <cellStyle name="Comma 4 7 2 4 2 3 2" xfId="7952" xr:uid="{00C10C1E-76C8-493C-B5ED-2124330BCDF3}"/>
    <cellStyle name="Comma 4 7 2 4 2 4" xfId="7315" xr:uid="{95EF8AF4-3279-4270-B338-220866423A00}"/>
    <cellStyle name="Comma 4 7 2 4 3" xfId="3891" xr:uid="{0CD5006F-9D6B-448A-AAB1-4AAAB0C84FD3}"/>
    <cellStyle name="Comma 4 7 2 4 3 2" xfId="8340" xr:uid="{E6AB9239-75DF-45DA-A8D8-0D88100E923B}"/>
    <cellStyle name="Comma 4 7 2 4 4" xfId="4638" xr:uid="{98276AAE-6EC2-4820-BBBC-489C36E7056C}"/>
    <cellStyle name="Comma 4 7 2 4 4 2" xfId="8884" xr:uid="{5A82BA06-765E-46B9-9FDE-B14FB166492E}"/>
    <cellStyle name="Comma 4 7 2 4 5" xfId="3054" xr:uid="{4B78EB1D-00A6-4FD1-A0CE-C5E63C2AA302}"/>
    <cellStyle name="Comma 4 7 2 4 5 2" xfId="7564" xr:uid="{13AB70A7-C38C-4CC3-B10A-345661AE974D}"/>
    <cellStyle name="Comma 4 7 2 4 6" xfId="6336" xr:uid="{8A3BCC5C-EAE1-485D-ADE0-C0350BD03AB9}"/>
    <cellStyle name="Comma 4 7 2 5" xfId="2008" xr:uid="{C974F2C5-2BD2-43CE-8983-516806C32349}"/>
    <cellStyle name="Comma 4 7 2 5 2" xfId="4976" xr:uid="{84CEB85F-7EA7-4094-9C43-254D8AC9A776}"/>
    <cellStyle name="Comma 4 7 2 5 2 2" xfId="9205" xr:uid="{4B28C52E-8B8D-43CA-8CA6-0CC683E358E5}"/>
    <cellStyle name="Comma 4 7 2 5 3" xfId="3411" xr:uid="{33FC1F17-668E-43E3-937E-4D0CC015EDCC}"/>
    <cellStyle name="Comma 4 7 2 5 3 2" xfId="7879" xr:uid="{2F918285-DDD2-48BE-960D-FDAD60572E41}"/>
    <cellStyle name="Comma 4 7 2 5 4" xfId="6573" xr:uid="{CEEEA89A-218D-4F56-9B5B-ACB4C288A820}"/>
    <cellStyle name="Comma 4 7 2 6" xfId="3818" xr:uid="{8A33C66F-E018-4520-88B7-E1594DE9A7F9}"/>
    <cellStyle name="Comma 4 7 2 6 2" xfId="8267" xr:uid="{5F41155C-5123-47DB-8606-03CBAF0A5633}"/>
    <cellStyle name="Comma 4 7 2 7" xfId="4358" xr:uid="{2506C0D1-E889-4C21-A73B-C7074EDC92BA}"/>
    <cellStyle name="Comma 4 7 2 7 2" xfId="8670" xr:uid="{5A7147FB-F995-4B79-A930-9BD8A6C7AB7F}"/>
    <cellStyle name="Comma 4 7 2 8" xfId="2929" xr:uid="{253C5A4A-4CC5-4085-9FE7-10D3CF57A1A0}"/>
    <cellStyle name="Comma 4 7 2 8 2" xfId="7491" xr:uid="{111E8C82-6DBA-4791-AD7A-C3F144FA879D}"/>
    <cellStyle name="Comma 4 7 2 9" xfId="5594" xr:uid="{D42B809A-B49C-47B6-B9A4-FE357B4A478D}"/>
    <cellStyle name="Comma 4 7 3" xfId="1012" xr:uid="{ABD29010-2B98-4523-B989-4BD5AE62DDB5}"/>
    <cellStyle name="Comma 4 7 3 2" xfId="1380" xr:uid="{2BB2E6AC-BCD6-4A58-BBA5-B79E001564C9}"/>
    <cellStyle name="Comma 4 7 3 2 2" xfId="2360" xr:uid="{8A215DD1-3526-4675-BE60-E23D0C00AF0C}"/>
    <cellStyle name="Comma 4 7 3 2 2 2" xfId="5132" xr:uid="{A91ED5E2-201C-4104-846B-78ECB8FA6435}"/>
    <cellStyle name="Comma 4 7 3 2 2 2 2" xfId="9357" xr:uid="{3F1DC6B5-1160-41DC-963A-DE0B26305E5E}"/>
    <cellStyle name="Comma 4 7 3 2 2 3" xfId="3624" xr:uid="{8C45CF3D-5BD5-4AAF-A052-60D193926F5E}"/>
    <cellStyle name="Comma 4 7 3 2 2 3 2" xfId="8091" xr:uid="{EA0F8D3F-DDFF-45DA-B43A-2E57EBB9DC6F}"/>
    <cellStyle name="Comma 4 7 3 2 2 4" xfId="6925" xr:uid="{67019FDB-632F-4D10-AB06-C6EE8EF631E6}"/>
    <cellStyle name="Comma 4 7 3 2 3" xfId="4030" xr:uid="{6615AFA9-C66C-49DE-842D-2B545709BEBF}"/>
    <cellStyle name="Comma 4 7 3 2 3 2" xfId="8479" xr:uid="{4A2D0BBB-C54A-45FF-87FB-9B152412219B}"/>
    <cellStyle name="Comma 4 7 3 2 4" xfId="4748" xr:uid="{80222A11-4439-4EB0-8AC9-256C88C88A24}"/>
    <cellStyle name="Comma 4 7 3 2 4 2" xfId="8994" xr:uid="{CA5D2865-D39E-439D-9DCD-CFE2039B641D}"/>
    <cellStyle name="Comma 4 7 3 2 5" xfId="3208" xr:uid="{75ADFD6C-729B-4623-B2B3-81C9C8CD5304}"/>
    <cellStyle name="Comma 4 7 3 2 5 2" xfId="7703" xr:uid="{13D5DCE2-A190-48E8-8071-C947E9BD743C}"/>
    <cellStyle name="Comma 4 7 3 2 6" xfId="5946" xr:uid="{0D13269A-D260-4508-B397-41BE61C337E1}"/>
    <cellStyle name="Comma 4 7 3 3" xfId="1614" xr:uid="{1D767190-66C9-4163-97DC-F7F51DBFE257}"/>
    <cellStyle name="Comma 4 7 3 3 2" xfId="2594" xr:uid="{06C0C710-641A-4D77-8F86-CCD17B4E0DA6}"/>
    <cellStyle name="Comma 4 7 3 3 2 2" xfId="5237" xr:uid="{671EE0AB-D285-4B57-82F0-6B9686227986}"/>
    <cellStyle name="Comma 4 7 3 3 2 2 2" xfId="9462" xr:uid="{469BCAAE-DB60-43B9-9319-0233C60BD070}"/>
    <cellStyle name="Comma 4 7 3 3 2 3" xfId="3729" xr:uid="{0F17B61F-E1A8-4EBF-BE74-59AAED246715}"/>
    <cellStyle name="Comma 4 7 3 3 2 3 2" xfId="8196" xr:uid="{CEA95C0B-DD96-4A2F-BFC6-D2308CDE3663}"/>
    <cellStyle name="Comma 4 7 3 3 2 4" xfId="7159" xr:uid="{A4014F03-D95D-4C32-B91B-3313D98E3962}"/>
    <cellStyle name="Comma 4 7 3 3 3" xfId="4135" xr:uid="{A21E57DF-0EE4-470F-941B-881734901640}"/>
    <cellStyle name="Comma 4 7 3 3 3 2" xfId="8584" xr:uid="{D05A037B-F953-447A-AA63-1CE0CD1AB34D}"/>
    <cellStyle name="Comma 4 7 3 3 4" xfId="4824" xr:uid="{C68062A8-96B8-4C5F-BA1A-77C445D5FE37}"/>
    <cellStyle name="Comma 4 7 3 3 4 2" xfId="9070" xr:uid="{57C9F6FE-F5F8-40DE-ACEA-705A3D91016D}"/>
    <cellStyle name="Comma 4 7 3 3 5" xfId="3319" xr:uid="{C1B6D488-7872-44C7-AD99-8C20ECB577EA}"/>
    <cellStyle name="Comma 4 7 3 3 5 2" xfId="7808" xr:uid="{166E6E34-B014-4E93-9716-AC6139E5A1D3}"/>
    <cellStyle name="Comma 4 7 3 3 6" xfId="6180" xr:uid="{1B4802AD-F693-4436-BE21-13CEA97DACB9}"/>
    <cellStyle name="Comma 4 7 3 4" xfId="1848" xr:uid="{5D574FAE-F056-42BD-9618-A78DCB019140}"/>
    <cellStyle name="Comma 4 7 3 4 2" xfId="2827" xr:uid="{04B5F2F7-BDFF-4DC6-AB98-B3F061EC53AA}"/>
    <cellStyle name="Comma 4 7 3 4 2 2" xfId="5028" xr:uid="{C5403223-4538-4E50-9E8E-B78A781239E7}"/>
    <cellStyle name="Comma 4 7 3 4 2 2 2" xfId="9254" xr:uid="{F0099E02-61A6-40C2-9A2C-9251D6F05A5C}"/>
    <cellStyle name="Comma 4 7 3 4 2 3" xfId="7392" xr:uid="{E1014A80-1D6E-466B-A01C-DD0A20590BF6}"/>
    <cellStyle name="Comma 4 7 3 4 3" xfId="3519" xr:uid="{47222278-2A7B-4E0C-A32D-B93E01026F5C}"/>
    <cellStyle name="Comma 4 7 3 4 3 2" xfId="7986" xr:uid="{42AD2B10-1306-4242-8A52-0FD498CB9499}"/>
    <cellStyle name="Comma 4 7 3 4 4" xfId="6413" xr:uid="{573AF400-AB61-4883-B721-F81E1094A27E}"/>
    <cellStyle name="Comma 4 7 3 5" xfId="2085" xr:uid="{0E144267-5F35-4223-B6FC-2CC5DAF06EC6}"/>
    <cellStyle name="Comma 4 7 3 5 2" xfId="3925" xr:uid="{BF815238-7257-4766-A31A-DDF223E67597}"/>
    <cellStyle name="Comma 4 7 3 5 2 2" xfId="8374" xr:uid="{7CBA2904-BB2A-4289-8894-8C4502D67393}"/>
    <cellStyle name="Comma 4 7 3 5 3" xfId="6650" xr:uid="{8E28D9F2-6B65-47A4-9852-38F7AEA2148A}"/>
    <cellStyle name="Comma 4 7 3 6" xfId="4666" xr:uid="{774FC594-968A-48D1-A171-0A35C8883768}"/>
    <cellStyle name="Comma 4 7 3 6 2" xfId="8912" xr:uid="{479D5951-39E6-42DD-BEA7-913FAA331528}"/>
    <cellStyle name="Comma 4 7 3 7" xfId="3092" xr:uid="{CD8476F1-EAE2-4E3A-9A21-B9C2E990453E}"/>
    <cellStyle name="Comma 4 7 3 7 2" xfId="7598" xr:uid="{D313DF59-1059-436A-9996-1D485E3396F0}"/>
    <cellStyle name="Comma 4 7 3 8" xfId="5671" xr:uid="{805650C7-8635-4D64-B316-50809CF33659}"/>
    <cellStyle name="Comma 4 7 4" xfId="1104" xr:uid="{1EFD0F8F-E8A1-43F3-B35B-7FC5DDAC7D46}"/>
    <cellStyle name="Comma 4 7 4 2" xfId="2146" xr:uid="{34D80D58-3944-4F9B-8429-4606CADDF787}"/>
    <cellStyle name="Comma 4 7 4 2 2" xfId="5067" xr:uid="{589AA62C-EB8B-4DC6-9595-9606FDBDE406}"/>
    <cellStyle name="Comma 4 7 4 2 2 2" xfId="9293" xr:uid="{E6DA2687-81B8-4B77-8755-94A829199E9B}"/>
    <cellStyle name="Comma 4 7 4 2 3" xfId="3559" xr:uid="{ECFCB66C-D28A-494D-9242-C2184A94676D}"/>
    <cellStyle name="Comma 4 7 4 2 3 2" xfId="8026" xr:uid="{513D1A2B-80E4-4DA8-A055-1DBA2B3A21DD}"/>
    <cellStyle name="Comma 4 7 4 2 4" xfId="6711" xr:uid="{07A32D3B-E630-467E-9C2B-CE174A28FB66}"/>
    <cellStyle name="Comma 4 7 4 3" xfId="3965" xr:uid="{F828CD54-2E92-480A-9671-37D4505E608E}"/>
    <cellStyle name="Comma 4 7 4 3 2" xfId="8414" xr:uid="{8865A194-231C-4CCA-B913-787783F5B0FF}"/>
    <cellStyle name="Comma 4 7 4 4" xfId="4691" xr:uid="{F000F1FD-67C5-4A8B-AE98-AC2DEEAF87ED}"/>
    <cellStyle name="Comma 4 7 4 4 2" xfId="8937" xr:uid="{D100C989-DA82-4AD3-B2AB-6E2FC32D4936}"/>
    <cellStyle name="Comma 4 7 4 5" xfId="3143" xr:uid="{04642ACF-350E-44D5-B2FD-8A164B4A0A74}"/>
    <cellStyle name="Comma 4 7 4 5 2" xfId="7638" xr:uid="{4AACBCEC-39D8-4031-A071-BCDF73FBEA51}"/>
    <cellStyle name="Comma 4 7 4 6" xfId="5732" xr:uid="{958C0784-24E5-4030-A1FF-DE1E98BD5E5B}"/>
    <cellStyle name="Comma 4 7 5" xfId="1222" xr:uid="{F7C1F211-C563-4DAF-B461-66CF01EE7255}"/>
    <cellStyle name="Comma 4 7 5 2" xfId="2206" xr:uid="{234DDF48-5CE9-42B5-949E-94071E34804E}"/>
    <cellStyle name="Comma 4 7 5 2 2" xfId="5172" xr:uid="{486E8F4F-77EF-4224-8B62-EF5C58CD5DE2}"/>
    <cellStyle name="Comma 4 7 5 2 2 2" xfId="9397" xr:uid="{83505A09-20F2-48D1-B2B1-5A5C7299803D}"/>
    <cellStyle name="Comma 4 7 5 2 3" xfId="3664" xr:uid="{7B719683-E9BC-4666-823C-EC5CE7114481}"/>
    <cellStyle name="Comma 4 7 5 2 3 2" xfId="8131" xr:uid="{8AB2AA95-ADF6-456D-8E6D-68CB3B9EA31B}"/>
    <cellStyle name="Comma 4 7 5 2 4" xfId="6771" xr:uid="{200C03EE-7AC6-469C-82B7-449829E30A8B}"/>
    <cellStyle name="Comma 4 7 5 3" xfId="4070" xr:uid="{6C2A835B-C64B-44F9-BF5C-81FA4CFDEFF6}"/>
    <cellStyle name="Comma 4 7 5 3 2" xfId="8519" xr:uid="{C635F33B-6A17-42D7-BC44-5BDFAEE16D1F}"/>
    <cellStyle name="Comma 4 7 5 4" xfId="4787" xr:uid="{CD2F60FA-109A-482A-B485-B654B9C8C000}"/>
    <cellStyle name="Comma 4 7 5 4 2" xfId="9033" xr:uid="{A2CF9FE8-61F5-4A51-AE12-46B0AFAE4ABD}"/>
    <cellStyle name="Comma 4 7 5 5" xfId="3249" xr:uid="{F68DDEBE-C9EE-4771-B7E5-8C219BEAF022}"/>
    <cellStyle name="Comma 4 7 5 5 2" xfId="7743" xr:uid="{6B834CB7-84BB-47EE-9E43-9B4BE4E863A4}"/>
    <cellStyle name="Comma 4 7 5 6" xfId="5792" xr:uid="{C515ED6F-98BB-45C0-AD32-8F46B09CB2C8}"/>
    <cellStyle name="Comma 4 7 6" xfId="1460" xr:uid="{6A15F844-326D-415F-9791-96987CFFE9D6}"/>
    <cellStyle name="Comma 4 7 6 2" xfId="2440" xr:uid="{A528B09D-8D7E-48F8-AB50-9352F3A50FF4}"/>
    <cellStyle name="Comma 4 7 6 2 2" xfId="4996" xr:uid="{5037300F-7A48-4C26-8B8D-73384AF04561}"/>
    <cellStyle name="Comma 4 7 6 2 2 2" xfId="9223" xr:uid="{83BB6693-C435-4A2A-B2B7-9CC5AD0A2175}"/>
    <cellStyle name="Comma 4 7 6 2 3" xfId="3453" xr:uid="{DC9B95F2-950B-4B64-9B58-E6BE0D80E565}"/>
    <cellStyle name="Comma 4 7 6 2 3 2" xfId="7921" xr:uid="{30D1529C-430E-470C-B505-5130C14734AA}"/>
    <cellStyle name="Comma 4 7 6 2 4" xfId="7005" xr:uid="{4A12CB17-50F5-4339-B8A1-F39006BFB83C}"/>
    <cellStyle name="Comma 4 7 6 3" xfId="3860" xr:uid="{1866EAE5-1161-48DF-9B68-EE4A7E686612}"/>
    <cellStyle name="Comma 4 7 6 3 2" xfId="8309" xr:uid="{19EE36DE-8099-4A67-8C74-A6FCB6B96E3C}"/>
    <cellStyle name="Comma 4 7 6 4" xfId="4515" xr:uid="{F7A00640-A96E-440F-8DF4-E0077F0859CD}"/>
    <cellStyle name="Comma 4 7 6 4 2" xfId="8783" xr:uid="{90E8FBBF-9D79-49B8-8F74-B429168C0192}"/>
    <cellStyle name="Comma 4 7 6 5" xfId="3005" xr:uid="{A12E3A3E-F0EF-4517-890C-426FAF1F7875}"/>
    <cellStyle name="Comma 4 7 6 5 2" xfId="7533" xr:uid="{0668C39F-A70D-447A-8AA3-ADD867C9DF18}"/>
    <cellStyle name="Comma 4 7 6 6" xfId="6026" xr:uid="{1E85355E-0F12-4BB4-9E3D-5B0B689FCE0E}"/>
    <cellStyle name="Comma 4 7 7" xfId="1695" xr:uid="{5BF90D32-A266-4398-8C67-93AE79D4A391}"/>
    <cellStyle name="Comma 4 7 7 2" xfId="2675" xr:uid="{72391C35-2B6F-4587-AAC1-79E454D428B4}"/>
    <cellStyle name="Comma 4 7 7 2 2" xfId="7240" xr:uid="{5D222D29-0C82-4BD8-872E-C13B344B1361}"/>
    <cellStyle name="Comma 4 7 7 3" xfId="3358" xr:uid="{6895E01C-8285-4083-AD28-B80B204A0841}"/>
    <cellStyle name="Comma 4 7 7 3 2" xfId="7845" xr:uid="{997B5249-A855-4C0A-82B3-B3285ABD2A9F}"/>
    <cellStyle name="Comma 4 7 7 4" xfId="6261" xr:uid="{21D88C5C-9FD6-49A2-8DDD-E57614F9A14E}"/>
    <cellStyle name="Comma 4 7 8" xfId="1931" xr:uid="{6B75A8D2-4816-49EF-9B64-2AC298A276DE}"/>
    <cellStyle name="Comma 4 7 8 2" xfId="3781" xr:uid="{837273F8-2E4D-43FE-89CF-D80C1AB79A38}"/>
    <cellStyle name="Comma 4 7 8 2 2" xfId="8233" xr:uid="{7AF9AA9B-781E-4139-86D8-890E57F7B715}"/>
    <cellStyle name="Comma 4 7 8 3" xfId="6496" xr:uid="{5C292A58-7AB9-49A8-BE6E-CFBEE75CEA43}"/>
    <cellStyle name="Comma 4 7 9" xfId="4226" xr:uid="{A52A3E96-45CD-4CBD-8A64-96C3777C86E2}"/>
    <cellStyle name="Comma 4 8" xfId="844" xr:uid="{CF56966A-8B33-4690-A2A5-E940156C2D8B}"/>
    <cellStyle name="Comma 4 8 10" xfId="5537" xr:uid="{70C57D18-053E-4186-9274-529FCE7D3B86}"/>
    <cellStyle name="Comma 4 8 2" xfId="950" xr:uid="{C747DC07-27AD-4DBD-9E8F-213C97DAD863}"/>
    <cellStyle name="Comma 4 8 2 2" xfId="1323" xr:uid="{B1434B78-B5AE-49CA-A4A7-9A1C329E425C}"/>
    <cellStyle name="Comma 4 8 2 2 2" xfId="2303" xr:uid="{CE98A046-D7F7-4EF5-80C7-9C386FF48646}"/>
    <cellStyle name="Comma 4 8 2 2 2 2" xfId="6868" xr:uid="{EF6A95F7-CF3E-4E5F-AC98-561F29B07891}"/>
    <cellStyle name="Comma 4 8 2 2 3" xfId="5353" xr:uid="{3B05EF5D-4A74-4924-ABB5-D9897A43278C}"/>
    <cellStyle name="Comma 4 8 2 2 3 2" xfId="9531" xr:uid="{340A4FC8-4CA7-4F4B-9E6C-EF66FCCE16B1}"/>
    <cellStyle name="Comma 4 8 2 2 4" xfId="5889" xr:uid="{E4CB0AB9-BD11-4C96-B901-E5F12F5BA48E}"/>
    <cellStyle name="Comma 4 8 2 3" xfId="1557" xr:uid="{D603F64A-6CC2-42EA-B2C3-7E8F87B467EB}"/>
    <cellStyle name="Comma 4 8 2 3 2" xfId="2537" xr:uid="{085B1B39-6A12-47EB-BA18-F44558739FEE}"/>
    <cellStyle name="Comma 4 8 2 3 2 2" xfId="7102" xr:uid="{1B2E283A-114E-4E3F-A9FE-63424857906A}"/>
    <cellStyle name="Comma 4 8 2 3 3" xfId="5392" xr:uid="{91A532EC-76BE-4707-87C2-CE5D1010BD0D}"/>
    <cellStyle name="Comma 4 8 2 3 3 2" xfId="9569" xr:uid="{F69F457F-A476-4E6F-ADAF-19CB64D3EAC3}"/>
    <cellStyle name="Comma 4 8 2 3 4" xfId="6123" xr:uid="{F6356DD8-7A69-4156-8E18-FEAC77F044D2}"/>
    <cellStyle name="Comma 4 8 2 4" xfId="1791" xr:uid="{B54979DD-8544-4A5D-A0C8-E23FAC136A64}"/>
    <cellStyle name="Comma 4 8 2 4 2" xfId="2770" xr:uid="{05024279-E121-4B56-8200-9A879072C4D0}"/>
    <cellStyle name="Comma 4 8 2 4 2 2" xfId="7335" xr:uid="{71086316-4205-405A-8E02-B0CDD8060C26}"/>
    <cellStyle name="Comma 4 8 2 4 3" xfId="5442" xr:uid="{A352AA51-39E1-46AE-A881-A4C20172F615}"/>
    <cellStyle name="Comma 4 8 2 4 3 2" xfId="9618" xr:uid="{144D92AF-A4FC-4896-B35F-EE0FE766582C}"/>
    <cellStyle name="Comma 4 8 2 4 4" xfId="6356" xr:uid="{7FC6B073-BB78-4D2C-A6D5-2306C81CE915}"/>
    <cellStyle name="Comma 4 8 2 5" xfId="2028" xr:uid="{DC4C89C0-27E1-419E-B599-A47B7FD4D4D3}"/>
    <cellStyle name="Comma 4 8 2 5 2" xfId="6593" xr:uid="{83C928CD-D06B-4C57-84A7-587F7893AC8A}"/>
    <cellStyle name="Comma 4 8 2 6" xfId="4359" xr:uid="{216B1FD0-3E2C-4B88-8FC7-C6836E192D38}"/>
    <cellStyle name="Comma 4 8 2 7" xfId="5265" xr:uid="{09204250-FBAF-4287-9791-B64B15F8E390}"/>
    <cellStyle name="Comma 4 8 2 7 2" xfId="9487" xr:uid="{8286DF3F-30CE-4CFE-8A5E-F799B12403C9}"/>
    <cellStyle name="Comma 4 8 2 8" xfId="5614" xr:uid="{B9678735-1526-4113-84C1-1C25FAD8418C}"/>
    <cellStyle name="Comma 4 8 3" xfId="879" xr:uid="{BDB097DD-E0D6-4B68-98CE-F4264896CFAD}"/>
    <cellStyle name="Comma 4 8 3 2" xfId="4227" xr:uid="{101083A9-EDD2-4757-9682-C5E63713F58B}"/>
    <cellStyle name="Comma 4 8 4" xfId="1032" xr:uid="{27A28C97-2FAB-4620-94F4-D0584C87F8CC}"/>
    <cellStyle name="Comma 4 8 4 2" xfId="1400" xr:uid="{0F823CED-9A88-4D3F-81A2-F87050A05800}"/>
    <cellStyle name="Comma 4 8 4 2 2" xfId="2380" xr:uid="{4512F905-EACC-4CDB-8E48-83EE62A569C9}"/>
    <cellStyle name="Comma 4 8 4 2 2 2" xfId="6945" xr:uid="{FCE19471-A054-479F-B75B-2D3FDB75861C}"/>
    <cellStyle name="Comma 4 8 4 2 3" xfId="5366" xr:uid="{91861853-25E7-4C72-810F-AAC8DAD380A8}"/>
    <cellStyle name="Comma 4 8 4 2 3 2" xfId="9544" xr:uid="{D727CF12-F594-4587-BB30-46287912FA65}"/>
    <cellStyle name="Comma 4 8 4 2 4" xfId="5966" xr:uid="{FDBC14B9-2676-44CE-9084-67C7560EA21C}"/>
    <cellStyle name="Comma 4 8 4 3" xfId="1634" xr:uid="{41BC1810-0880-4DEB-B352-B0598D1F9F42}"/>
    <cellStyle name="Comma 4 8 4 3 2" xfId="2614" xr:uid="{2FD2F1A3-434B-4B98-B6B1-562EDEF12BD9}"/>
    <cellStyle name="Comma 4 8 4 3 2 2" xfId="7179" xr:uid="{AF50AFA5-265D-42DA-B6D9-2CC6A32A6B05}"/>
    <cellStyle name="Comma 4 8 4 3 3" xfId="5406" xr:uid="{FD617DBC-0410-46E1-83D6-A8A0D695D30D}"/>
    <cellStyle name="Comma 4 8 4 3 3 2" xfId="9583" xr:uid="{38603170-E7F3-4F0C-A4A5-55DFBC5D7CC9}"/>
    <cellStyle name="Comma 4 8 4 3 4" xfId="6200" xr:uid="{3BE218D5-DF70-463C-BFE4-3F564361599F}"/>
    <cellStyle name="Comma 4 8 4 4" xfId="1868" xr:uid="{9802CF80-F391-42EF-B75F-0F8CC7149043}"/>
    <cellStyle name="Comma 4 8 4 4 2" xfId="2847" xr:uid="{C69E7B4C-78FB-46AD-BEF2-EDB134B22379}"/>
    <cellStyle name="Comma 4 8 4 4 2 2" xfId="7412" xr:uid="{E158BBE4-49C2-443D-BF6F-581476560D36}"/>
    <cellStyle name="Comma 4 8 4 4 3" xfId="5462" xr:uid="{2A481A55-5C5D-468D-9626-FA7E3F4F040E}"/>
    <cellStyle name="Comma 4 8 4 4 3 2" xfId="9638" xr:uid="{17FEB047-F94F-487B-A95F-DDB748C81DCD}"/>
    <cellStyle name="Comma 4 8 4 4 4" xfId="6433" xr:uid="{DB2CE767-3F73-4B54-8D48-DB49532874CB}"/>
    <cellStyle name="Comma 4 8 4 5" xfId="2105" xr:uid="{02C096C0-41C2-473E-809E-36DF49D1C1D9}"/>
    <cellStyle name="Comma 4 8 4 5 2" xfId="6670" xr:uid="{84085192-EA35-4788-88FE-70B96446D1CD}"/>
    <cellStyle name="Comma 4 8 4 6" xfId="5276" xr:uid="{A477A433-49CB-4E3D-B609-AD1F6F7B6EBA}"/>
    <cellStyle name="Comma 4 8 4 6 2" xfId="9498" xr:uid="{6ABC9BDF-3F0F-4800-8C80-A1D338F3B8CB}"/>
    <cellStyle name="Comma 4 8 4 7" xfId="5691" xr:uid="{80959EDE-D35D-41EB-B497-3DE15CD0F531}"/>
    <cellStyle name="Comma 4 8 5" xfId="1244" xr:uid="{88CC20A7-3DD5-4D27-83AF-405E07C9BEA5}"/>
    <cellStyle name="Comma 4 8 5 2" xfId="2226" xr:uid="{860D565B-71AD-446C-9711-5880FA7B6E5F}"/>
    <cellStyle name="Comma 4 8 5 2 2" xfId="6791" xr:uid="{1D316726-5DA5-4297-BB95-0D48051A846B}"/>
    <cellStyle name="Comma 4 8 5 3" xfId="5337" xr:uid="{21804072-82E4-4B61-AB5F-611075680CC0}"/>
    <cellStyle name="Comma 4 8 5 3 2" xfId="9519" xr:uid="{C9C4829A-6380-46FE-8C88-08230BAB6321}"/>
    <cellStyle name="Comma 4 8 5 4" xfId="5812" xr:uid="{B7DC9648-7086-4860-AF73-33EEDAF26696}"/>
    <cellStyle name="Comma 4 8 6" xfId="1480" xr:uid="{EBD9913E-B130-4AEF-B17C-09C128BF6E8B}"/>
    <cellStyle name="Comma 4 8 6 2" xfId="2460" xr:uid="{0EEB688D-9E6E-440A-9BB0-5295183F4F42}"/>
    <cellStyle name="Comma 4 8 6 2 2" xfId="7025" xr:uid="{5049697A-4A2D-4406-AB70-889928043F88}"/>
    <cellStyle name="Comma 4 8 6 3" xfId="5380" xr:uid="{EE2BBDCB-9854-4C2D-88B1-40E8CE500481}"/>
    <cellStyle name="Comma 4 8 6 3 2" xfId="9558" xr:uid="{630D0AD1-D576-42BB-B64E-BF95DE288359}"/>
    <cellStyle name="Comma 4 8 6 4" xfId="6046" xr:uid="{962C177B-4CD6-450B-9981-10D028FAEF7D}"/>
    <cellStyle name="Comma 4 8 7" xfId="1659" xr:uid="{147C795F-E288-4FE0-BB1D-FB0D1BDA6B61}"/>
    <cellStyle name="Comma 4 8 7 2" xfId="2639" xr:uid="{4888A3BE-ABB6-4A35-B96A-DFD51095DA70}"/>
    <cellStyle name="Comma 4 8 7 2 2" xfId="7204" xr:uid="{88ACD4FC-6E72-483F-9155-BEDE56BC0631}"/>
    <cellStyle name="Comma 4 8 7 3" xfId="5414" xr:uid="{F6E533AC-D166-4942-980C-F7E2357E2FD3}"/>
    <cellStyle name="Comma 4 8 7 3 2" xfId="9591" xr:uid="{1EDC34C8-59D0-40D2-B3DE-FDF036136459}"/>
    <cellStyle name="Comma 4 8 7 4" xfId="6225" xr:uid="{68F8BF32-C701-4FBF-931F-44EB8AB7AF50}"/>
    <cellStyle name="Comma 4 8 8" xfId="1951" xr:uid="{EA4FA9EC-8C33-43D5-AB43-E4CA9D22C6F2}"/>
    <cellStyle name="Comma 4 8 8 2" xfId="6516" xr:uid="{8379C720-7F9A-49B0-BD52-9218777DC1FD}"/>
    <cellStyle name="Comma 4 8 9" xfId="5258" xr:uid="{4D2CDF75-F762-4813-8AAE-98485FC1FC37}"/>
    <cellStyle name="Comma 4 8 9 2" xfId="9480" xr:uid="{FBB77856-F502-4270-9528-367470B0CF68}"/>
    <cellStyle name="Comma 4 9" xfId="884" xr:uid="{1A1D25AD-D10F-4C4E-B8DE-12D037FDA109}"/>
    <cellStyle name="Comma 4 9 2" xfId="1105" xr:uid="{7A93B37A-4788-4D9E-95C8-A14AA20F0258}"/>
    <cellStyle name="Comma 4 9 2 2" xfId="4455" xr:uid="{1A7329B4-0B1E-453F-8E55-6FECFE73DA56}"/>
    <cellStyle name="Comma 4 9 2 2 2" xfId="8732" xr:uid="{D28084C4-DC15-4511-A19A-861B8D66CB21}"/>
    <cellStyle name="Comma 4 9 2 3" xfId="4589" xr:uid="{152D9114-5660-4ACA-AA39-433877AB6060}"/>
    <cellStyle name="Comma 4 9 2 3 2" xfId="8844" xr:uid="{784A302B-2730-46BD-A3E6-B62490B9389E}"/>
    <cellStyle name="Comma 4 9 2 4" xfId="4954" xr:uid="{148EABCF-384B-4BB1-A08A-2CF03EEEB715}"/>
    <cellStyle name="Comma 4 9 2 4 2" xfId="9184" xr:uid="{229685EB-D808-4CFF-9558-E1CB9F0AF01A}"/>
    <cellStyle name="Comma 4 9 2 5" xfId="4307" xr:uid="{CDAA92A9-1290-4BDD-8BA7-07B270BAD88F}"/>
    <cellStyle name="Comma 4 9 2 5 2" xfId="8660" xr:uid="{443D7E62-72AA-4F87-9572-0F8E96084A14}"/>
    <cellStyle name="Comma 4 9 3" xfId="1279" xr:uid="{B38DA7FE-B2B6-4F0D-BD6B-C172D54CFC6E}"/>
    <cellStyle name="Comma 4 9 3 2" xfId="2261" xr:uid="{5BBE43E7-0818-415E-BEFF-2B02044F3BB1}"/>
    <cellStyle name="Comma 4 9 3 2 2" xfId="6826" xr:uid="{51B5E27F-2081-4CD7-8B68-4A7B4D28C749}"/>
    <cellStyle name="Comma 4 9 3 3" xfId="4360" xr:uid="{9AF00770-AF1D-4216-83C4-F26E9EF91613}"/>
    <cellStyle name="Comma 4 9 3 4" xfId="5344" xr:uid="{41375313-96F4-4EFA-854C-7EEF2C8A86ED}"/>
    <cellStyle name="Comma 4 9 3 4 2" xfId="9525" xr:uid="{B176B06D-31C1-4431-A4A2-45917B08BCF0}"/>
    <cellStyle name="Comma 4 9 3 5" xfId="5847" xr:uid="{92229565-C479-4034-9FA0-6260E26C6793}"/>
    <cellStyle name="Comma 4 9 4" xfId="1515" xr:uid="{77DE3FB7-DC45-48B1-BEBE-57520FEEF4B7}"/>
    <cellStyle name="Comma 4 9 4 2" xfId="2495" xr:uid="{FA2943C0-9632-420C-9DCE-DD4EB334F84D}"/>
    <cellStyle name="Comma 4 9 4 2 2" xfId="7060" xr:uid="{397739F3-D768-4322-9AFD-46635F3B2EA8}"/>
    <cellStyle name="Comma 4 9 4 3" xfId="4427" xr:uid="{A4710536-47D5-40C4-9ED9-685A4E548565}"/>
    <cellStyle name="Comma 4 9 4 3 2" xfId="8704" xr:uid="{082A683F-2262-4A85-A134-55024B6C1955}"/>
    <cellStyle name="Comma 4 9 4 4" xfId="6081" xr:uid="{FE354629-38DE-484A-BDBB-5665E407F7BB}"/>
    <cellStyle name="Comma 4 9 5" xfId="1749" xr:uid="{47222C85-5A80-4170-9A98-90EC557F7F81}"/>
    <cellStyle name="Comma 4 9 5 2" xfId="2728" xr:uid="{96B4F114-BA80-41D2-A403-07CF74CB8133}"/>
    <cellStyle name="Comma 4 9 5 2 2" xfId="7293" xr:uid="{1B4E92A7-0C90-4E0F-B3A7-5F4F9DFE78FA}"/>
    <cellStyle name="Comma 4 9 5 3" xfId="4560" xr:uid="{D459FA47-909A-49F0-A106-DCD9A262F0FB}"/>
    <cellStyle name="Comma 4 9 5 3 2" xfId="8816" xr:uid="{FFD14E9C-0641-4F33-ABBE-45145F8CE5C1}"/>
    <cellStyle name="Comma 4 9 5 4" xfId="6314" xr:uid="{42CE0D22-F226-41D7-8C1C-D6FADCBDCEF5}"/>
    <cellStyle name="Comma 4 9 6" xfId="1986" xr:uid="{B6DA1442-F43E-4B4F-9706-72BC7A5D67A0}"/>
    <cellStyle name="Comma 4 9 6 2" xfId="4926" xr:uid="{A59F1C2C-12E1-4710-9B53-F46FFBC7BD00}"/>
    <cellStyle name="Comma 4 9 6 2 2" xfId="9156" xr:uid="{31DC5B0E-D52D-459D-AE0A-240EAD63E4C0}"/>
    <cellStyle name="Comma 4 9 6 3" xfId="6551" xr:uid="{72116131-AFE3-4C13-B070-DB72EE9D6A9D}"/>
    <cellStyle name="Comma 4 9 7" xfId="4277" xr:uid="{E4100585-CC10-49A7-9FBF-FA14BF2BAA52}"/>
    <cellStyle name="Comma 4 9 7 2" xfId="8632" xr:uid="{DDC19F7A-7B7C-4453-9DD1-49CC3AD8DF25}"/>
    <cellStyle name="Comma 4 9 8" xfId="5572" xr:uid="{88202C25-9CFC-4FF2-A0A7-BB48730040E1}"/>
    <cellStyle name="Comma 5" xfId="219" xr:uid="{578EE34C-F6E3-455C-8F0B-E5A867F25D6B}"/>
    <cellStyle name="Comma 5 2" xfId="220" xr:uid="{1C0744D3-B514-440D-8FD3-E1072379DF96}"/>
    <cellStyle name="Comma 5 2 2" xfId="221" xr:uid="{EF596E1C-3442-46B7-9848-D1601A31F83A}"/>
    <cellStyle name="Comma 5 2 2 2" xfId="693" xr:uid="{59B92E9A-3CC7-44D6-99E3-44158A99808D}"/>
    <cellStyle name="Comma 5 2 3" xfId="222" xr:uid="{0A6CD521-7AA1-4CFC-8225-CA4773C1C253}"/>
    <cellStyle name="Comma 5 2 3 2" xfId="223" xr:uid="{C6FD139C-7B91-44AB-808D-9E245561BBEF}"/>
    <cellStyle name="Comma 5 2 3 3" xfId="224" xr:uid="{B60220E8-D433-4348-A277-3E647C7AC8A6}"/>
    <cellStyle name="Comma 5 2 3 3 2" xfId="225" xr:uid="{5F90E7A7-7802-46EC-A7EF-EB4A5EED7C82}"/>
    <cellStyle name="Comma 5 2 3 4" xfId="226" xr:uid="{7BA5A4BD-659A-41B7-BBB7-8956CDABCD87}"/>
    <cellStyle name="Comma 5 2 3 5" xfId="227" xr:uid="{ACB3323B-4533-4315-A667-C59E6D606666}"/>
    <cellStyle name="Comma 5 2 3 6" xfId="692" xr:uid="{CBBD0ED4-B4BC-42B9-8459-3B1B029D9DD3}"/>
    <cellStyle name="Comma 5 2 3 6 2" xfId="922" xr:uid="{2C1B65FC-0B8D-48FD-AA35-D51675B2DEBD}"/>
    <cellStyle name="Comma 5 2 3 6 2 2" xfId="4517" xr:uid="{5E1FE66D-EC41-4B88-91DC-CDDD0931EAB8}"/>
    <cellStyle name="Comma 5 2 3 6 3" xfId="4361" xr:uid="{ECB06694-7123-45F8-B071-2F69773D05FF}"/>
    <cellStyle name="Comma 5 2 3 7" xfId="1106" xr:uid="{E8940838-CA06-411E-9361-28416F11FA43}"/>
    <cellStyle name="Comma 5 2 4" xfId="228" xr:uid="{D7087D87-BA90-4AC8-B65F-52BE0E6F9046}"/>
    <cellStyle name="Comma 5 2 4 2" xfId="229" xr:uid="{BE4FA440-E3C7-4CD7-B176-C5B71E3DD7DF}"/>
    <cellStyle name="Comma 5 2 4 2 2" xfId="4362" xr:uid="{A80FCE38-C441-4DF5-BD7A-72428DB8082B}"/>
    <cellStyle name="Comma 5 2 4 2 3" xfId="4228" xr:uid="{3B6FE49E-D325-4C08-878F-4A154B9200AF}"/>
    <cellStyle name="Comma 5 2 4 3" xfId="230" xr:uid="{C08BD956-8854-4AEC-BA50-05C9CF8B8B1D}"/>
    <cellStyle name="Comma 5 2 4 4" xfId="231" xr:uid="{F2E4881F-E992-4C53-8522-F713DEECD951}"/>
    <cellStyle name="Comma 5 2 4 4 2" xfId="4363" xr:uid="{C50E675B-DEB6-4518-8553-9C1419C0F8CE}"/>
    <cellStyle name="Comma 5 2 4 4 3" xfId="4229" xr:uid="{14046CBA-8901-4F42-8085-E6B7D35367F4}"/>
    <cellStyle name="Comma 5 2 5" xfId="694" xr:uid="{55261204-EFEC-4CC8-AC7A-826AC4560A30}"/>
    <cellStyle name="Comma 5 2 5 2" xfId="917" xr:uid="{8CEC7069-0F29-44B1-A938-3633028FAB79}"/>
    <cellStyle name="Comma 5 2 5 2 2" xfId="4612" xr:uid="{22080EE4-E27B-4A46-9C86-EFAE878B2BBA}"/>
    <cellStyle name="Comma 5 2 5 3" xfId="4364" xr:uid="{04910783-BE2D-49FB-AB13-E565A21F1DEA}"/>
    <cellStyle name="Comma 5 3" xfId="232" xr:uid="{66E3D0CF-7B34-44F0-B52D-F8E4BD59CFD2}"/>
    <cellStyle name="Comma 5 3 2" xfId="233" xr:uid="{FE868E24-A029-4B5E-981B-BC9A0DFBD553}"/>
    <cellStyle name="Comma 5 3 2 2" xfId="234" xr:uid="{13069ED4-EE88-4CCC-83F7-FCD013C59582}"/>
    <cellStyle name="Comma 5 3 2 2 2" xfId="3006" xr:uid="{67876053-6739-4A48-8E05-7BCC234EAAB8}"/>
    <cellStyle name="Comma 5 3 2 2 2 2" xfId="4499" xr:uid="{72948A8C-3ADE-4750-AF16-D1134B14FF90}"/>
    <cellStyle name="Comma 5 3 2 2 2 3" xfId="4230" xr:uid="{33B0B272-E4B4-4C80-859A-767DB71EEDB1}"/>
    <cellStyle name="Comma 5 3 2 2 3" xfId="2968" xr:uid="{3B46C4E5-8D9F-4D3D-87AB-581FB30BE382}"/>
    <cellStyle name="Comma 5 3 2 2 3 2" xfId="4619" xr:uid="{A8504E90-AF82-4C67-9D85-AEC3B02F0096}"/>
    <cellStyle name="Comma 5 3 2 2 3 3" xfId="4365" xr:uid="{A629510F-648E-4A47-AAA4-6DB0B19462EA}"/>
    <cellStyle name="Comma 5 3 2 3" xfId="235" xr:uid="{3A76C711-FF81-49FD-9953-FFAF4A680837}"/>
    <cellStyle name="Comma 5 3 2 4" xfId="691" xr:uid="{E11ECAE1-4D1C-4A1C-B210-83E2CAAC676C}"/>
    <cellStyle name="Comma 5 3 2 4 2" xfId="933" xr:uid="{F850CD38-7FA3-4172-B433-9E8C77000FA2}"/>
    <cellStyle name="Comma 5 3 2 4 2 2" xfId="4153" xr:uid="{16585AAA-3CB2-4FCB-9007-7855DCECFBD1}"/>
    <cellStyle name="Comma 5 3 2 4 3" xfId="1108" xr:uid="{215B04C4-D768-456C-8508-77443D0BF753}"/>
    <cellStyle name="Comma 5 3 2 4 3 2" xfId="5291" xr:uid="{C10C0BED-D2BE-4880-8E4C-CDD1DFC72A2E}"/>
    <cellStyle name="Comma 5 3 2 5" xfId="1109" xr:uid="{321CE111-F634-463E-A82B-EB309CA426FD}"/>
    <cellStyle name="Comma 5 3 2 6" xfId="1107" xr:uid="{499AA33A-FEB0-42A6-8F9A-CF9F319755BF}"/>
    <cellStyle name="Comma 5 3 2 6 2" xfId="5290" xr:uid="{779BEA77-A744-464F-B1DE-31556ED01365}"/>
    <cellStyle name="Comma 5 4" xfId="236" xr:uid="{F2E903F9-32C2-4078-A7B1-2B8FE73B0249}"/>
    <cellStyle name="Comma 5 4 2" xfId="237" xr:uid="{1B74F3EF-6B51-4B11-BDC8-B6E9C3D908D7}"/>
    <cellStyle name="Comma 5 4 2 10" xfId="2894" xr:uid="{27555BAA-C738-442C-B568-50708DE44DDF}"/>
    <cellStyle name="Comma 5 4 2 10 2" xfId="7458" xr:uid="{4D3DFCC5-71B4-4298-8078-AE512229799A}"/>
    <cellStyle name="Comma 5 4 2 11" xfId="5498" xr:uid="{7D13A66F-2DA9-421A-8CD5-CD9BD2BBEB6F}"/>
    <cellStyle name="Comma 5 4 2 2" xfId="847" xr:uid="{33EFCB43-EA3D-45B7-8503-DC28078B7E30}"/>
    <cellStyle name="Comma 5 4 2 2 2" xfId="953" xr:uid="{79C39156-4FB4-428E-B940-6DCBBE67432A}"/>
    <cellStyle name="Comma 5 4 2 2 2 2" xfId="1326" xr:uid="{4BF546E5-E68C-4F14-942A-79717627C581}"/>
    <cellStyle name="Comma 5 4 2 2 2 2 2" xfId="2306" xr:uid="{A07E42F9-598D-45A7-A43B-81751C73A6C5}"/>
    <cellStyle name="Comma 5 4 2 2 2 2 2 2" xfId="5068" xr:uid="{2E16966B-17BC-48E8-94A6-8C514EDABAC4}"/>
    <cellStyle name="Comma 5 4 2 2 2 2 2 2 2" xfId="9294" xr:uid="{A0A5D700-DAFC-4AFD-9C9F-1D1B2E3275B7}"/>
    <cellStyle name="Comma 5 4 2 2 2 2 2 3" xfId="6871" xr:uid="{37132407-CAD8-4BAA-9144-8B41B119D85E}"/>
    <cellStyle name="Comma 5 4 2 2 2 2 3" xfId="3560" xr:uid="{0689B7A8-661A-4B08-B6B0-09FF7FC98C56}"/>
    <cellStyle name="Comma 5 4 2 2 2 2 3 2" xfId="8027" xr:uid="{DBF9C1CA-BE7B-4822-8D4E-0ADF2A68FFDA}"/>
    <cellStyle name="Comma 5 4 2 2 2 2 4" xfId="5892" xr:uid="{35FF85FD-95B6-4DDB-B919-283C2C02FC82}"/>
    <cellStyle name="Comma 5 4 2 2 2 3" xfId="1560" xr:uid="{83AC8E4C-317B-4918-ACAD-820458E4B146}"/>
    <cellStyle name="Comma 5 4 2 2 2 3 2" xfId="2540" xr:uid="{053F439D-9268-4B32-8720-98D0F4CA13D9}"/>
    <cellStyle name="Comma 5 4 2 2 2 3 2 2" xfId="7105" xr:uid="{3495E3A5-702C-4745-A7B2-D1EEAEE18594}"/>
    <cellStyle name="Comma 5 4 2 2 2 3 3" xfId="3966" xr:uid="{A1B3A208-B819-4862-BF74-2702B50239F1}"/>
    <cellStyle name="Comma 5 4 2 2 2 3 3 2" xfId="8415" xr:uid="{D21A7B34-79B6-4B88-954D-06FD3057FA24}"/>
    <cellStyle name="Comma 5 4 2 2 2 3 4" xfId="6126" xr:uid="{0C79A647-28FF-4186-AFC8-EF3A9121D85C}"/>
    <cellStyle name="Comma 5 4 2 2 2 4" xfId="1794" xr:uid="{18347CED-F17A-4FA2-AA8D-3B88B273A171}"/>
    <cellStyle name="Comma 5 4 2 2 2 4 2" xfId="2773" xr:uid="{0DC0FC87-B11F-4D64-A9A8-BA39360DCE09}"/>
    <cellStyle name="Comma 5 4 2 2 2 4 2 2" xfId="7338" xr:uid="{B3F9FFED-09E6-4E5D-8AD2-6E107A192617}"/>
    <cellStyle name="Comma 5 4 2 2 2 4 3" xfId="4692" xr:uid="{917890AE-74CF-45DD-9CD9-DB3B90F34422}"/>
    <cellStyle name="Comma 5 4 2 2 2 4 3 2" xfId="8938" xr:uid="{991A21E6-17D5-47DB-A622-D23F388290C0}"/>
    <cellStyle name="Comma 5 4 2 2 2 4 4" xfId="6359" xr:uid="{22F91E92-AAE1-4560-A976-882FAE042A0F}"/>
    <cellStyle name="Comma 5 4 2 2 2 5" xfId="2031" xr:uid="{A6883AC7-FD16-4EC6-93B2-1002AAE77E6A}"/>
    <cellStyle name="Comma 5 4 2 2 2 5 2" xfId="6596" xr:uid="{6882EF43-CF04-4758-BB13-C5128EC6469D}"/>
    <cellStyle name="Comma 5 4 2 2 2 6" xfId="3144" xr:uid="{C2379DB6-F41B-4486-A657-E85CFA246A31}"/>
    <cellStyle name="Comma 5 4 2 2 2 6 2" xfId="7639" xr:uid="{47195898-2C4D-4020-8ED2-41E4E7723480}"/>
    <cellStyle name="Comma 5 4 2 2 2 7" xfId="5617" xr:uid="{7B3F7B8B-C1AA-4C38-9F90-4F903934D9E8}"/>
    <cellStyle name="Comma 5 4 2 2 3" xfId="1035" xr:uid="{5C366DDB-CDF9-4C7F-AE93-649C0E88DA68}"/>
    <cellStyle name="Comma 5 4 2 2 3 2" xfId="1403" xr:uid="{D1C6BBF5-9079-49E6-9C3E-C5FEF48C33D5}"/>
    <cellStyle name="Comma 5 4 2 2 3 2 2" xfId="2383" xr:uid="{089A9412-DE51-4980-A5D5-1562DE5E5EA9}"/>
    <cellStyle name="Comma 5 4 2 2 3 2 2 2" xfId="5173" xr:uid="{F6E5A7FE-3C7A-46C3-90D6-A59D8E995F64}"/>
    <cellStyle name="Comma 5 4 2 2 3 2 2 2 2" xfId="9398" xr:uid="{DD2EEB8E-3500-4763-909B-098A855D5683}"/>
    <cellStyle name="Comma 5 4 2 2 3 2 2 3" xfId="6948" xr:uid="{9DC6228F-34D3-4B56-9F85-B120C55BC58C}"/>
    <cellStyle name="Comma 5 4 2 2 3 2 3" xfId="3665" xr:uid="{B6242B2E-1382-417D-BE18-EF782354A126}"/>
    <cellStyle name="Comma 5 4 2 2 3 2 3 2" xfId="8132" xr:uid="{FCB3C6E9-AFDF-4E66-BB11-1C040414754F}"/>
    <cellStyle name="Comma 5 4 2 2 3 2 4" xfId="5969" xr:uid="{91C244E7-5A36-43D4-89B6-2335B0204DCB}"/>
    <cellStyle name="Comma 5 4 2 2 3 3" xfId="1637" xr:uid="{CE4D98AE-5E20-4ECC-947A-92E859D24787}"/>
    <cellStyle name="Comma 5 4 2 2 3 3 2" xfId="2617" xr:uid="{5C3D15F7-07DD-4BBE-95B5-4AEDA8ED59AF}"/>
    <cellStyle name="Comma 5 4 2 2 3 3 2 2" xfId="7182" xr:uid="{803D7B10-F114-49F7-A7BF-F304104C9D59}"/>
    <cellStyle name="Comma 5 4 2 2 3 3 3" xfId="4071" xr:uid="{9DD4A689-73B7-4E94-AC20-E296D089DC7D}"/>
    <cellStyle name="Comma 5 4 2 2 3 3 3 2" xfId="8520" xr:uid="{29CC467C-0DBA-42C5-918C-ED1333F3018D}"/>
    <cellStyle name="Comma 5 4 2 2 3 3 4" xfId="6203" xr:uid="{61B6F243-C6FA-4625-86F9-A34F9FF1D4DC}"/>
    <cellStyle name="Comma 5 4 2 2 3 4" xfId="1871" xr:uid="{03B117ED-8C4A-4148-A32D-AF83543B451B}"/>
    <cellStyle name="Comma 5 4 2 2 3 4 2" xfId="2850" xr:uid="{12018479-8762-46B8-B978-C7FF2D241BC6}"/>
    <cellStyle name="Comma 5 4 2 2 3 4 2 2" xfId="7415" xr:uid="{90F6FC7C-6C71-4057-ADE4-4DC2B5105DCD}"/>
    <cellStyle name="Comma 5 4 2 2 3 4 3" xfId="4788" xr:uid="{30DD638B-3B63-42D0-A9F3-AB9BEEB6AAAD}"/>
    <cellStyle name="Comma 5 4 2 2 3 4 3 2" xfId="9034" xr:uid="{FF73B910-397A-4B0A-A7EF-3F4F081AB550}"/>
    <cellStyle name="Comma 5 4 2 2 3 4 4" xfId="6436" xr:uid="{7810523C-D77B-47DA-BCCE-1C89CA8D44B3}"/>
    <cellStyle name="Comma 5 4 2 2 3 5" xfId="2108" xr:uid="{DF3725AC-043C-4BAC-B067-35DAD9163C09}"/>
    <cellStyle name="Comma 5 4 2 2 3 5 2" xfId="6673" xr:uid="{6BF436D5-359A-43F1-B7A7-F7D78B056A58}"/>
    <cellStyle name="Comma 5 4 2 2 3 6" xfId="3250" xr:uid="{BC1AC192-F480-44DA-B484-FF4B982BC945}"/>
    <cellStyle name="Comma 5 4 2 2 3 6 2" xfId="7744" xr:uid="{D6D82471-6F97-45F7-B40F-D67B405A896A}"/>
    <cellStyle name="Comma 5 4 2 2 3 7" xfId="5694" xr:uid="{59C636B2-CB55-4119-A2D0-C0ECD8E27452}"/>
    <cellStyle name="Comma 5 4 2 2 4" xfId="1247" xr:uid="{08BEB604-85F5-46FA-9924-82C0790A7665}"/>
    <cellStyle name="Comma 5 4 2 2 4 2" xfId="2229" xr:uid="{84AE19DC-7837-43C6-B05E-E962DCD9D464}"/>
    <cellStyle name="Comma 5 4 2 2 4 2 2" xfId="4921" xr:uid="{51F2F677-57D3-4A33-A855-0BA7890AC4E9}"/>
    <cellStyle name="Comma 5 4 2 2 4 2 2 2" xfId="9151" xr:uid="{C862BF35-6774-4B02-ACB8-7F6B6B222AE5}"/>
    <cellStyle name="Comma 5 4 2 2 4 2 3" xfId="3454" xr:uid="{0B13FD1B-53F9-4192-8998-F21EB3C235A6}"/>
    <cellStyle name="Comma 5 4 2 2 4 2 3 2" xfId="7922" xr:uid="{B369AD77-AC95-496C-A58B-C5B30EC5486A}"/>
    <cellStyle name="Comma 5 4 2 2 4 2 4" xfId="6794" xr:uid="{A8884E6F-5ACA-4B7A-9016-3A5F118A6A60}"/>
    <cellStyle name="Comma 5 4 2 2 4 3" xfId="3861" xr:uid="{27BBC04B-0977-4262-9BC6-5F594ED34373}"/>
    <cellStyle name="Comma 5 4 2 2 4 3 2" xfId="8310" xr:uid="{43F62527-764F-475E-BF47-0CE29720A0F5}"/>
    <cellStyle name="Comma 5 4 2 2 4 4" xfId="4626" xr:uid="{2D24453D-0FF2-4F73-91A3-DE64C4E0078E}"/>
    <cellStyle name="Comma 5 4 2 2 4 4 2" xfId="8873" xr:uid="{63D01654-CE56-46BF-BA61-B74D7F401A00}"/>
    <cellStyle name="Comma 5 4 2 2 4 5" xfId="3007" xr:uid="{FCBD2880-F0EF-4F68-979F-88A6EA9BE9B9}"/>
    <cellStyle name="Comma 5 4 2 2 4 5 2" xfId="7534" xr:uid="{11BA7CA9-2221-4E94-BFE6-E89BBF9F8E37}"/>
    <cellStyle name="Comma 5 4 2 2 4 6" xfId="5815" xr:uid="{E6BD5BF0-391F-4702-858B-060B84FB3E41}"/>
    <cellStyle name="Comma 5 4 2 2 5" xfId="1483" xr:uid="{0A507B22-E927-4B19-A57A-5E9D90D78385}"/>
    <cellStyle name="Comma 5 4 2 2 5 2" xfId="2463" xr:uid="{360EC458-0F91-4E12-AFC3-06E41F195C23}"/>
    <cellStyle name="Comma 5 4 2 2 5 2 2" xfId="4493" xr:uid="{4D9AC25A-832D-436E-BB3C-5810472BE308}"/>
    <cellStyle name="Comma 5 4 2 2 5 2 2 2" xfId="8765" xr:uid="{A616B15B-E6E7-48E3-8AB2-1C78C365C02E}"/>
    <cellStyle name="Comma 5 4 2 2 5 2 3" xfId="7028" xr:uid="{6FB020E0-4B37-4F5F-9ED7-757B1A0AFCFF}"/>
    <cellStyle name="Comma 5 4 2 2 5 3" xfId="3412" xr:uid="{96CA42D6-CE82-4916-B79E-B7E0CA00C8D2}"/>
    <cellStyle name="Comma 5 4 2 2 5 3 2" xfId="7880" xr:uid="{6318E659-25B9-4A1D-BF90-F6193A952327}"/>
    <cellStyle name="Comma 5 4 2 2 5 4" xfId="6049" xr:uid="{911626E8-F268-46AE-9C91-3E322E9802FF}"/>
    <cellStyle name="Comma 5 4 2 2 6" xfId="1655" xr:uid="{BC937AE8-2274-421B-960D-8CC464DD3462}"/>
    <cellStyle name="Comma 5 4 2 2 6 2" xfId="2635" xr:uid="{16C0D962-4F19-40D0-BC4B-A19871BF214C}"/>
    <cellStyle name="Comma 5 4 2 2 6 2 2" xfId="4894" xr:uid="{17A19650-3B17-4C04-AF2C-E0ACEC4CA743}"/>
    <cellStyle name="Comma 5 4 2 2 6 2 2 2" xfId="9126" xr:uid="{C1C71906-4FB7-4D48-A4EB-806EC8CF2D9E}"/>
    <cellStyle name="Comma 5 4 2 2 6 2 3" xfId="7200" xr:uid="{5EBD559B-57F5-499A-90A7-A574CCD8442A}"/>
    <cellStyle name="Comma 5 4 2 2 6 3" xfId="3819" xr:uid="{6EDE3334-2B1C-4B3F-9067-6377C3D55B65}"/>
    <cellStyle name="Comma 5 4 2 2 6 3 2" xfId="8268" xr:uid="{3C888EFC-4874-45E5-97D1-3D3227CA1991}"/>
    <cellStyle name="Comma 5 4 2 2 6 4" xfId="6221" xr:uid="{236D0456-5C73-46C6-90AA-6144A60A3D35}"/>
    <cellStyle name="Comma 5 4 2 2 7" xfId="1954" xr:uid="{6D68A1E9-A1B4-460B-8060-FA61A06FFAB7}"/>
    <cellStyle name="Comma 5 4 2 2 7 2" xfId="4231" xr:uid="{AD45953D-CAF8-4E8C-9614-FBCD94295A77}"/>
    <cellStyle name="Comma 5 4 2 2 7 3" xfId="6519" xr:uid="{8A6BD5C6-75C6-430D-8720-5EDB5CD68570}"/>
    <cellStyle name="Comma 5 4 2 2 8" xfId="2930" xr:uid="{BBA24ECA-B795-4FC6-AA89-C34E0F82F61F}"/>
    <cellStyle name="Comma 5 4 2 2 8 2" xfId="7492" xr:uid="{7EB49448-F102-489A-9B64-533E2640B50C}"/>
    <cellStyle name="Comma 5 4 2 2 9" xfId="5540" xr:uid="{298F0F4D-7AB9-4E46-9A71-BA8954FC2070}"/>
    <cellStyle name="Comma 5 4 2 3" xfId="888" xr:uid="{500E5B8B-2FD4-4622-9744-4C79D208238C}"/>
    <cellStyle name="Comma 5 4 2 3 2" xfId="1282" xr:uid="{AE9C1B9B-29BD-4630-ACF2-5839AFAC3905}"/>
    <cellStyle name="Comma 5 4 2 3 2 2" xfId="2264" xr:uid="{F8DDE22A-F631-4291-B282-6846F65B29DB}"/>
    <cellStyle name="Comma 5 4 2 3 2 2 2" xfId="4716" xr:uid="{55CED2AE-AFE7-471B-9F93-17543AB4EA5C}"/>
    <cellStyle name="Comma 5 4 2 3 2 2 2 2" xfId="8962" xr:uid="{E4904A29-F740-42E3-AF4F-902BB5F0DF1D}"/>
    <cellStyle name="Comma 5 4 2 3 2 2 3" xfId="3591" xr:uid="{D535FC8D-0B11-46A1-9808-7EC97BD30967}"/>
    <cellStyle name="Comma 5 4 2 3 2 2 3 2" xfId="8058" xr:uid="{44F385BE-EE12-43B9-A578-B6A68725756A}"/>
    <cellStyle name="Comma 5 4 2 3 2 2 4" xfId="6829" xr:uid="{373C0A23-153B-48E3-884B-5555986C1BF1}"/>
    <cellStyle name="Comma 5 4 2 3 2 3" xfId="3997" xr:uid="{F62CF4AD-1ACA-480B-AD5C-512FB1813478}"/>
    <cellStyle name="Comma 5 4 2 3 2 3 2" xfId="5099" xr:uid="{91B79CE3-D138-4076-8673-295A03761023}"/>
    <cellStyle name="Comma 5 4 2 3 2 3 2 2" xfId="9324" xr:uid="{053599A9-85D0-401B-9743-D6ECC755447D}"/>
    <cellStyle name="Comma 5 4 2 3 2 3 3" xfId="8446" xr:uid="{F98D1D05-9F37-4740-BEB2-14486F005EC6}"/>
    <cellStyle name="Comma 5 4 2 3 2 4" xfId="4466" xr:uid="{31159784-EA0C-47D0-A6E2-E3916292E91F}"/>
    <cellStyle name="Comma 5 4 2 3 2 4 2" xfId="8743" xr:uid="{F380098C-0522-48A2-9CF9-59873383D20C}"/>
    <cellStyle name="Comma 5 4 2 3 2 5" xfId="3175" xr:uid="{D8954D64-C7A1-48D1-86F2-C4F3A643E9FC}"/>
    <cellStyle name="Comma 5 4 2 3 2 5 2" xfId="7670" xr:uid="{DA035FC9-AA7A-4DA1-9A01-FB6473CB3BB4}"/>
    <cellStyle name="Comma 5 4 2 3 2 6" xfId="5850" xr:uid="{084C0A47-94E5-4576-A691-BB5C42A7D274}"/>
    <cellStyle name="Comma 5 4 2 3 3" xfId="1518" xr:uid="{E85257DF-9950-4D16-B26B-F84739B842B9}"/>
    <cellStyle name="Comma 5 4 2 3 3 2" xfId="2498" xr:uid="{F0105A02-2797-4743-A6FD-8DD31F3CD68C}"/>
    <cellStyle name="Comma 5 4 2 3 3 2 2" xfId="5204" xr:uid="{789A6708-7C7E-41A9-9559-17C9BD99F2CB}"/>
    <cellStyle name="Comma 5 4 2 3 3 2 2 2" xfId="9429" xr:uid="{8A0E1A46-850A-49AF-A010-6CC1A2E3F78C}"/>
    <cellStyle name="Comma 5 4 2 3 3 2 3" xfId="3696" xr:uid="{6236BF78-A02C-4BCC-905F-75C794AE1C63}"/>
    <cellStyle name="Comma 5 4 2 3 3 2 3 2" xfId="8163" xr:uid="{CFAB87F4-DB7E-40DE-BD11-1422E1F2C1E8}"/>
    <cellStyle name="Comma 5 4 2 3 3 2 4" xfId="7063" xr:uid="{7227396C-E651-4442-8B50-E4D77CAE1339}"/>
    <cellStyle name="Comma 5 4 2 3 3 3" xfId="4102" xr:uid="{8A1FD1B6-98FB-4EB7-B8E9-0CCA383CC24D}"/>
    <cellStyle name="Comma 5 4 2 3 3 3 2" xfId="8551" xr:uid="{D76E43C1-815A-4F2E-8039-4990E455182B}"/>
    <cellStyle name="Comma 5 4 2 3 3 4" xfId="4608" xr:uid="{57160404-547B-4ED0-85AC-6ED5166DBA92}"/>
    <cellStyle name="Comma 5 4 2 3 3 4 2" xfId="8860" xr:uid="{D83F25BD-98D1-4262-A2BE-8A39E0DCD788}"/>
    <cellStyle name="Comma 5 4 2 3 3 5" xfId="3282" xr:uid="{2910950A-FFF7-4BFD-AC7A-CF231D99F7A5}"/>
    <cellStyle name="Comma 5 4 2 3 3 5 2" xfId="7775" xr:uid="{F98D04A4-B3B3-49D2-9304-E4B3DC8A02EF}"/>
    <cellStyle name="Comma 5 4 2 3 3 6" xfId="6084" xr:uid="{4EDF0928-CED9-4C10-B27E-2B92FC367D7A}"/>
    <cellStyle name="Comma 5 4 2 3 4" xfId="1752" xr:uid="{DED51455-B14C-4AB4-B03C-EE8EBF4722FF}"/>
    <cellStyle name="Comma 5 4 2 3 4 2" xfId="2731" xr:uid="{8B24E8EB-3FFA-466A-8296-389E70B29C6E}"/>
    <cellStyle name="Comma 5 4 2 3 4 2 2" xfId="4977" xr:uid="{59C523BE-0B14-40ED-9E2A-8D92A9219790}"/>
    <cellStyle name="Comma 5 4 2 3 4 2 2 2" xfId="9206" xr:uid="{31281340-973D-455C-A288-056D1E15B992}"/>
    <cellStyle name="Comma 5 4 2 3 4 2 3" xfId="7296" xr:uid="{975AA141-0E83-455D-AFEF-D82544961E19}"/>
    <cellStyle name="Comma 5 4 2 3 4 3" xfId="3486" xr:uid="{35F848BB-CA72-44F5-9590-FD676E1C7DFB}"/>
    <cellStyle name="Comma 5 4 2 3 4 3 2" xfId="7953" xr:uid="{106DC9E4-6657-4F79-9307-1DCA283379DE}"/>
    <cellStyle name="Comma 5 4 2 3 4 4" xfId="6317" xr:uid="{3CEB615D-9CC2-49B3-B176-30730C8A855C}"/>
    <cellStyle name="Comma 5 4 2 3 5" xfId="1989" xr:uid="{DB9CFBDC-0FF3-4157-886A-F5EE20CB5126}"/>
    <cellStyle name="Comma 5 4 2 3 5 2" xfId="3892" xr:uid="{3574F650-86FF-418A-9D07-3B9DA76A34E2}"/>
    <cellStyle name="Comma 5 4 2 3 5 2 2" xfId="8341" xr:uid="{0C3FBB5E-D2EA-4107-B6F3-6AB421D26419}"/>
    <cellStyle name="Comma 5 4 2 3 5 3" xfId="6554" xr:uid="{D63DA2AC-DA10-4484-99DB-ACB77A9A95BE}"/>
    <cellStyle name="Comma 5 4 2 3 6" xfId="4366" xr:uid="{5243A317-CC36-430F-BA7A-1187F3A67E40}"/>
    <cellStyle name="Comma 5 4 2 3 6 2" xfId="8671" xr:uid="{86FFDB43-EBEE-419C-8299-BD2DEED464A8}"/>
    <cellStyle name="Comma 5 4 2 3 7" xfId="3055" xr:uid="{F969EB81-65CF-4B1D-A017-BDFF1C016D22}"/>
    <cellStyle name="Comma 5 4 2 3 7 2" xfId="7565" xr:uid="{465718DE-9746-4930-8295-B6826A2CEDB1}"/>
    <cellStyle name="Comma 5 4 2 3 8" xfId="5575" xr:uid="{B12A27E1-A6CF-46C0-91CB-8320C8DC0805}"/>
    <cellStyle name="Comma 5 4 2 4" xfId="993" xr:uid="{D8437ABC-7AE4-4CFD-BA76-B5B395963DC6}"/>
    <cellStyle name="Comma 5 4 2 4 2" xfId="1361" xr:uid="{25F8F989-0380-4A7D-9A9D-4FCDC9C8E813}"/>
    <cellStyle name="Comma 5 4 2 4 2 2" xfId="2341" xr:uid="{87694E25-6F3F-4F08-9658-0A170B2EC6F1}"/>
    <cellStyle name="Comma 5 4 2 4 2 2 2" xfId="5133" xr:uid="{6D53901C-C7AA-4D5C-AD30-D469A6067C7A}"/>
    <cellStyle name="Comma 5 4 2 4 2 2 2 2" xfId="9358" xr:uid="{5D0D73B1-119A-4CE1-9B0B-BD8C8D3DE55A}"/>
    <cellStyle name="Comma 5 4 2 4 2 2 3" xfId="3625" xr:uid="{3E3C3273-BBCA-4838-B801-04CFC17295C7}"/>
    <cellStyle name="Comma 5 4 2 4 2 2 3 2" xfId="8092" xr:uid="{87EF4ED3-9DDE-4F68-A823-C5FF94C5B1D7}"/>
    <cellStyle name="Comma 5 4 2 4 2 2 4" xfId="6906" xr:uid="{51BDB025-C53F-45CC-A307-8403C6641592}"/>
    <cellStyle name="Comma 5 4 2 4 2 3" xfId="4031" xr:uid="{487ADEA8-67CE-4DB8-BE86-9F5F74F6A66E}"/>
    <cellStyle name="Comma 5 4 2 4 2 3 2" xfId="8480" xr:uid="{F85EF03F-37A0-4414-990C-F60BF056DA97}"/>
    <cellStyle name="Comma 5 4 2 4 2 4" xfId="4749" xr:uid="{0F1F6583-31D2-4439-BBE9-11305BEDBFF0}"/>
    <cellStyle name="Comma 5 4 2 4 2 4 2" xfId="8995" xr:uid="{07D0BF26-A06F-46AD-917E-78EBE35542DF}"/>
    <cellStyle name="Comma 5 4 2 4 2 5" xfId="3209" xr:uid="{391521CA-3029-49D1-920D-D6007A0E8C20}"/>
    <cellStyle name="Comma 5 4 2 4 2 5 2" xfId="7704" xr:uid="{414FA133-3E38-447B-8033-6F8E0602B879}"/>
    <cellStyle name="Comma 5 4 2 4 2 6" xfId="5927" xr:uid="{F7558B0C-3617-434F-8C00-CAEBBD6BB9E4}"/>
    <cellStyle name="Comma 5 4 2 4 3" xfId="1595" xr:uid="{07A92D1B-1742-4AA3-8B06-52742678FE89}"/>
    <cellStyle name="Comma 5 4 2 4 3 2" xfId="2575" xr:uid="{17C16F2F-6B75-4820-8E8D-1DDF69025636}"/>
    <cellStyle name="Comma 5 4 2 4 3 2 2" xfId="5238" xr:uid="{60CDEF86-0909-409D-B755-22F3BAF68C5D}"/>
    <cellStyle name="Comma 5 4 2 4 3 2 2 2" xfId="9463" xr:uid="{F8BF8451-1904-49B0-89D4-20F5DB29716A}"/>
    <cellStyle name="Comma 5 4 2 4 3 2 3" xfId="3730" xr:uid="{013E124F-1CE8-469E-862A-BF1EDFFCC736}"/>
    <cellStyle name="Comma 5 4 2 4 3 2 3 2" xfId="8197" xr:uid="{0DC1DBB2-67F7-4509-B36D-48B29EA8361D}"/>
    <cellStyle name="Comma 5 4 2 4 3 2 4" xfId="7140" xr:uid="{57A105CE-B8FA-47E0-9BB8-1FFDD4527B29}"/>
    <cellStyle name="Comma 5 4 2 4 3 3" xfId="4136" xr:uid="{60375C65-7474-4973-A648-7C415CB8A269}"/>
    <cellStyle name="Comma 5 4 2 4 3 3 2" xfId="8585" xr:uid="{B62A07F9-5F59-4647-B9C0-178270481970}"/>
    <cellStyle name="Comma 5 4 2 4 3 4" xfId="4825" xr:uid="{81BFE8E6-FD15-429E-838E-B0D64D190DE5}"/>
    <cellStyle name="Comma 5 4 2 4 3 4 2" xfId="9071" xr:uid="{46CDF26D-0856-4405-8037-69DACF6DE60A}"/>
    <cellStyle name="Comma 5 4 2 4 3 5" xfId="3320" xr:uid="{F44B2203-08F1-47AB-BE24-89478A6A864F}"/>
    <cellStyle name="Comma 5 4 2 4 3 5 2" xfId="7809" xr:uid="{8A5D85C4-B82B-48D6-955A-92E992B1DAE2}"/>
    <cellStyle name="Comma 5 4 2 4 3 6" xfId="6161" xr:uid="{7498935C-AD75-4FBB-8D81-694AAC8BCCE8}"/>
    <cellStyle name="Comma 5 4 2 4 4" xfId="1829" xr:uid="{A6149A02-3DC4-42CC-AF45-F2022B7F88CF}"/>
    <cellStyle name="Comma 5 4 2 4 4 2" xfId="2808" xr:uid="{732716F8-A4C8-4C65-B61A-F449B30EC0AA}"/>
    <cellStyle name="Comma 5 4 2 4 4 2 2" xfId="5029" xr:uid="{EF14F18D-490E-4EF7-A906-719C86559445}"/>
    <cellStyle name="Comma 5 4 2 4 4 2 2 2" xfId="9255" xr:uid="{6939837B-E343-4200-810C-B04C9547FE21}"/>
    <cellStyle name="Comma 5 4 2 4 4 2 3" xfId="7373" xr:uid="{5989904A-5187-4AA1-8D4F-365BEB852329}"/>
    <cellStyle name="Comma 5 4 2 4 4 3" xfId="3520" xr:uid="{0B3A818D-77A5-48F2-866B-973D20C555F0}"/>
    <cellStyle name="Comma 5 4 2 4 4 3 2" xfId="7987" xr:uid="{9029D865-25AC-4ED0-B46B-7FCA2B2D321B}"/>
    <cellStyle name="Comma 5 4 2 4 4 4" xfId="6394" xr:uid="{94A92AC4-2095-4B1F-898F-C062AD6ADA48}"/>
    <cellStyle name="Comma 5 4 2 4 5" xfId="2066" xr:uid="{9ABD268C-C8B2-4A3D-8CDF-E4D581AA8CBB}"/>
    <cellStyle name="Comma 5 4 2 4 5 2" xfId="3926" xr:uid="{087EB072-DA22-4879-8E87-E043A6154269}"/>
    <cellStyle name="Comma 5 4 2 4 5 2 2" xfId="8375" xr:uid="{91063982-2723-41BD-81AF-BFB510625D68}"/>
    <cellStyle name="Comma 5 4 2 4 5 3" xfId="6631" xr:uid="{85F5FAB0-D776-43B6-BB22-6924F39C87F3}"/>
    <cellStyle name="Comma 5 4 2 4 6" xfId="4667" xr:uid="{8BB0525F-E42E-47F7-8DDC-DEC8320672BF}"/>
    <cellStyle name="Comma 5 4 2 4 6 2" xfId="8913" xr:uid="{572CB045-379F-4B9A-A4A0-01FCEDF5EFCC}"/>
    <cellStyle name="Comma 5 4 2 4 7" xfId="3093" xr:uid="{7C646456-750D-403E-B230-060739459D62}"/>
    <cellStyle name="Comma 5 4 2 4 7 2" xfId="7599" xr:uid="{652C35C5-6AB6-45BD-9543-5FB9A1B1F095}"/>
    <cellStyle name="Comma 5 4 2 4 8" xfId="5652" xr:uid="{238E53E3-C450-4745-A2C7-A8FCD9B2F5CB}"/>
    <cellStyle name="Comma 5 4 2 5" xfId="1111" xr:uid="{1991DAA0-EF45-4B69-861E-E3DF72EFD1FF}"/>
    <cellStyle name="Comma 5 4 2 5 2" xfId="2147" xr:uid="{088D653E-5C9F-4F6C-B84F-BB4367FFAA7A}"/>
    <cellStyle name="Comma 5 4 2 5 2 2" xfId="6712" xr:uid="{3BD64DE9-7740-434B-9750-680D30178380}"/>
    <cellStyle name="Comma 5 4 2 5 3" xfId="2969" xr:uid="{A75B50EE-C26D-420D-939C-E58B049E4EED}"/>
    <cellStyle name="Comma 5 4 2 5 4" xfId="5293" xr:uid="{AC8DD556-0D19-4E61-BC21-CB47860A136C}"/>
    <cellStyle name="Comma 5 4 2 5 4 2" xfId="9509" xr:uid="{4B2D252E-F86C-4BAE-A2FE-E8AC13AF33FF}"/>
    <cellStyle name="Comma 5 4 2 5 5" xfId="5733" xr:uid="{CE84BF3A-C438-44F3-A729-B3FC87C418CB}"/>
    <cellStyle name="Comma 5 4 2 6" xfId="1201" xr:uid="{8BBAA038-F804-4ABC-AEAD-4DCD8B9B68B3}"/>
    <cellStyle name="Comma 5 4 2 6 2" xfId="2187" xr:uid="{F69431E2-4C4A-45B0-B45C-2EFFD2B97467}"/>
    <cellStyle name="Comma 5 4 2 6 2 2" xfId="6752" xr:uid="{358D314A-7F65-4D1F-9AE1-C574F4C07AC7}"/>
    <cellStyle name="Comma 5 4 2 6 3" xfId="3359" xr:uid="{D2A7648E-4ED9-4B08-A278-BB27F830C5E4}"/>
    <cellStyle name="Comma 5 4 2 6 3 2" xfId="7846" xr:uid="{5C27505C-430D-4B0D-AB6F-62E25A3BEB8E}"/>
    <cellStyle name="Comma 5 4 2 6 4" xfId="5773" xr:uid="{C51DCDF2-7E9C-4701-A176-20EA9EAEA778}"/>
    <cellStyle name="Comma 5 4 2 7" xfId="1441" xr:uid="{9BD6B372-88F0-45A0-8BDB-B55810F63E27}"/>
    <cellStyle name="Comma 5 4 2 7 2" xfId="2421" xr:uid="{3F996BF6-9262-401C-A318-5EC591A4029A}"/>
    <cellStyle name="Comma 5 4 2 7 2 2" xfId="6986" xr:uid="{BD043168-B998-48AD-A54C-3F2A96B86F1E}"/>
    <cellStyle name="Comma 5 4 2 7 3" xfId="3782" xr:uid="{CAD81B47-857C-4DBD-901C-EAD95D924F5B}"/>
    <cellStyle name="Comma 5 4 2 7 3 2" xfId="8234" xr:uid="{7E28F3C9-8200-43FE-B1D8-B45C142E1CDB}"/>
    <cellStyle name="Comma 5 4 2 7 4" xfId="6007" xr:uid="{B0DAC78C-F7DF-43DE-B70A-7231F2C7FEA0}"/>
    <cellStyle name="Comma 5 4 2 8" xfId="1696" xr:uid="{2609542D-88E5-4703-888F-80F6699F3073}"/>
    <cellStyle name="Comma 5 4 2 8 2" xfId="2676" xr:uid="{F345F951-5B68-4266-93B1-0BB7C2E990AA}"/>
    <cellStyle name="Comma 5 4 2 8 2 2" xfId="7241" xr:uid="{B830C258-1E6C-4CD7-A455-4160E5260E0C}"/>
    <cellStyle name="Comma 5 4 2 8 3" xfId="5422" xr:uid="{76C771B2-85FC-454D-903D-339B11649B5F}"/>
    <cellStyle name="Comma 5 4 2 8 3 2" xfId="9599" xr:uid="{E52EF403-2554-4AAD-978B-362867025399}"/>
    <cellStyle name="Comma 5 4 2 8 4" xfId="6262" xr:uid="{FAC08897-3B71-4B4F-B11E-4E655583485A}"/>
    <cellStyle name="Comma 5 4 2 9" xfId="1912" xr:uid="{3B37392F-C49F-4D58-9CB5-80FD96CB8A72}"/>
    <cellStyle name="Comma 5 4 2 9 2" xfId="6477" xr:uid="{D3E5976A-9C24-49B9-B81D-EAAE71C250F9}"/>
    <cellStyle name="Comma 5 4 3" xfId="238" xr:uid="{541DB8B2-E4C7-4007-8093-771A02B40DB3}"/>
    <cellStyle name="Comma 5 4 4" xfId="239" xr:uid="{1F46802B-B272-4D86-8938-40BB5DB9F276}"/>
    <cellStyle name="Comma 5 4 4 10" xfId="2895" xr:uid="{18722DD6-6D00-4A18-9019-2C349AB9EBAB}"/>
    <cellStyle name="Comma 5 4 4 10 2" xfId="7459" xr:uid="{BBBD38B9-05CE-45AB-9CCF-2E229B51E499}"/>
    <cellStyle name="Comma 5 4 4 11" xfId="5499" xr:uid="{816D1163-336C-4179-863A-64C2AF27FC4A}"/>
    <cellStyle name="Comma 5 4 4 2" xfId="848" xr:uid="{D1AE7A6A-76B1-476D-A1DE-D0326DBF5FDF}"/>
    <cellStyle name="Comma 5 4 4 2 2" xfId="954" xr:uid="{2C071B03-74CE-46BE-8B2D-20078E234F0E}"/>
    <cellStyle name="Comma 5 4 4 2 2 2" xfId="1327" xr:uid="{6E015078-6502-497D-A1ED-382178FCC5F2}"/>
    <cellStyle name="Comma 5 4 4 2 2 2 2" xfId="2307" xr:uid="{C685750D-4367-4BDA-A7A7-392902DAE0AC}"/>
    <cellStyle name="Comma 5 4 4 2 2 2 2 2" xfId="4717" xr:uid="{6B99BC94-DDF6-472D-B884-F5B27531C58A}"/>
    <cellStyle name="Comma 5 4 4 2 2 2 2 2 2" xfId="8963" xr:uid="{3F88BB9B-4AAD-4814-956D-F3A915EF271D}"/>
    <cellStyle name="Comma 5 4 4 2 2 2 2 3" xfId="6872" xr:uid="{DED3CB93-5B73-4833-BB8A-2491C5F3E71E}"/>
    <cellStyle name="Comma 5 4 4 2 2 2 3" xfId="3592" xr:uid="{FEFE7FA8-1A64-40E9-8962-27771E9274DC}"/>
    <cellStyle name="Comma 5 4 4 2 2 2 3 2" xfId="8059" xr:uid="{32B5EE6E-AB88-4753-A668-E4B136B03B61}"/>
    <cellStyle name="Comma 5 4 4 2 2 2 4" xfId="5893" xr:uid="{85503E4B-62EA-4AAC-8425-1C9C7541A12F}"/>
    <cellStyle name="Comma 5 4 4 2 2 3" xfId="1561" xr:uid="{F1F54419-B5AC-4819-B06E-84212166C269}"/>
    <cellStyle name="Comma 5 4 4 2 2 3 2" xfId="2541" xr:uid="{5FE4CC33-DC03-484B-ACCA-F71F8E3F22BE}"/>
    <cellStyle name="Comma 5 4 4 2 2 3 2 2" xfId="5100" xr:uid="{B1068050-CA53-48E4-9235-0E42FFDE250F}"/>
    <cellStyle name="Comma 5 4 4 2 2 3 2 2 2" xfId="9325" xr:uid="{E1683AE2-04FE-4548-9055-FD51BCEF9A83}"/>
    <cellStyle name="Comma 5 4 4 2 2 3 2 3" xfId="7106" xr:uid="{60FE08FB-816A-40BA-BA9D-2F5418BD5C08}"/>
    <cellStyle name="Comma 5 4 4 2 2 3 3" xfId="3998" xr:uid="{317D6412-97A6-4412-A9F4-E1DD3A32E53A}"/>
    <cellStyle name="Comma 5 4 4 2 2 3 3 2" xfId="8447" xr:uid="{8DFD8118-51A6-4935-98CC-373427A7A157}"/>
    <cellStyle name="Comma 5 4 4 2 2 3 4" xfId="6127" xr:uid="{8C90E746-D799-4AFF-A884-D72F3481A355}"/>
    <cellStyle name="Comma 5 4 4 2 2 4" xfId="1795" xr:uid="{3F9293C7-C3F9-4078-A9A7-DF7A7223FC03}"/>
    <cellStyle name="Comma 5 4 4 2 2 4 2" xfId="2774" xr:uid="{26698AFF-4A71-4EAB-987F-1581083189B5}"/>
    <cellStyle name="Comma 5 4 4 2 2 4 2 2" xfId="7339" xr:uid="{24B0F47D-503D-4760-A43E-81085C800413}"/>
    <cellStyle name="Comma 5 4 4 2 2 4 3" xfId="4467" xr:uid="{C41987EA-6D37-4172-9775-9A79DE618A75}"/>
    <cellStyle name="Comma 5 4 4 2 2 4 3 2" xfId="8744" xr:uid="{41AA89BD-1786-467F-A883-6BA712B65E81}"/>
    <cellStyle name="Comma 5 4 4 2 2 4 4" xfId="6360" xr:uid="{1E7D2132-0BBF-41CC-9ABE-21854ACE2506}"/>
    <cellStyle name="Comma 5 4 4 2 2 5" xfId="2032" xr:uid="{B6F90459-C557-45D1-BA6F-B4FF3AA1B98F}"/>
    <cellStyle name="Comma 5 4 4 2 2 5 2" xfId="6597" xr:uid="{B6542AEB-6B01-4700-8ECD-79B29BFAB5C5}"/>
    <cellStyle name="Comma 5 4 4 2 2 6" xfId="3176" xr:uid="{7DFE7EB9-9C3E-4DC9-B417-B630730EA656}"/>
    <cellStyle name="Comma 5 4 4 2 2 6 2" xfId="7671" xr:uid="{0B42685E-11E1-4297-A467-C412124F303C}"/>
    <cellStyle name="Comma 5 4 4 2 2 7" xfId="5618" xr:uid="{2F5E32BA-4D6D-4B2D-87CF-8DA2E920B820}"/>
    <cellStyle name="Comma 5 4 4 2 3" xfId="1036" xr:uid="{9916B4F6-A916-4CEF-94F1-656A92C2D3FD}"/>
    <cellStyle name="Comma 5 4 4 2 3 2" xfId="1404" xr:uid="{8BC21CE7-7147-4BB9-BF8B-A88D84A59838}"/>
    <cellStyle name="Comma 5 4 4 2 3 2 2" xfId="2384" xr:uid="{72A22765-F6C1-4EB5-B583-A08539842D5C}"/>
    <cellStyle name="Comma 5 4 4 2 3 2 2 2" xfId="5205" xr:uid="{ED177A58-9F68-4A50-9472-45BAB9BF085E}"/>
    <cellStyle name="Comma 5 4 4 2 3 2 2 2 2" xfId="9430" xr:uid="{BC9FB6C1-4214-4426-B84E-AC6E36FFBAD4}"/>
    <cellStyle name="Comma 5 4 4 2 3 2 2 3" xfId="6949" xr:uid="{A0E31790-E529-4577-81C2-B47F4E69A2F8}"/>
    <cellStyle name="Comma 5 4 4 2 3 2 3" xfId="3697" xr:uid="{169FD754-3DC3-481F-868B-5419DB9CAC0C}"/>
    <cellStyle name="Comma 5 4 4 2 3 2 3 2" xfId="8164" xr:uid="{3C55423F-9990-40FB-B22E-BE773C1DD577}"/>
    <cellStyle name="Comma 5 4 4 2 3 2 4" xfId="5970" xr:uid="{647FB082-14AC-46E4-97E4-993C75357E4C}"/>
    <cellStyle name="Comma 5 4 4 2 3 3" xfId="1638" xr:uid="{44499B21-3845-413B-8CD6-C6988AACBE2D}"/>
    <cellStyle name="Comma 5 4 4 2 3 3 2" xfId="2618" xr:uid="{D26308B1-0623-436A-B8DA-1ED6A3A84771}"/>
    <cellStyle name="Comma 5 4 4 2 3 3 2 2" xfId="7183" xr:uid="{A35ED7C8-C687-4958-929D-8514D7087580}"/>
    <cellStyle name="Comma 5 4 4 2 3 3 3" xfId="4103" xr:uid="{B6B6AFFD-1BAC-4088-B704-10900F16988D}"/>
    <cellStyle name="Comma 5 4 4 2 3 3 3 2" xfId="8552" xr:uid="{EF9D6B8F-D3C8-4474-ACD7-EE991BAE250C}"/>
    <cellStyle name="Comma 5 4 4 2 3 3 4" xfId="6204" xr:uid="{4966AAED-D79A-4B3A-9424-9E147BC6043A}"/>
    <cellStyle name="Comma 5 4 4 2 3 4" xfId="1872" xr:uid="{BEFC90D0-60D4-4601-9AA6-7FA4F8913403}"/>
    <cellStyle name="Comma 5 4 4 2 3 4 2" xfId="2851" xr:uid="{609689EA-5C02-4F6A-A840-37D603AE511A}"/>
    <cellStyle name="Comma 5 4 4 2 3 4 2 2" xfId="7416" xr:uid="{2EC34C39-8A18-46CE-863D-16231CD8E4DE}"/>
    <cellStyle name="Comma 5 4 4 2 3 4 3" xfId="4609" xr:uid="{38D0D2AE-610D-4F58-8E49-0D5D1E9582C6}"/>
    <cellStyle name="Comma 5 4 4 2 3 4 3 2" xfId="8861" xr:uid="{137DC759-93F5-48B5-8572-EC4DF77ECDB5}"/>
    <cellStyle name="Comma 5 4 4 2 3 4 4" xfId="6437" xr:uid="{2BFD7E47-4F1B-47E5-80A5-B699BF025D7F}"/>
    <cellStyle name="Comma 5 4 4 2 3 5" xfId="2109" xr:uid="{72B59AB1-EA27-4359-8D27-30389C696243}"/>
    <cellStyle name="Comma 5 4 4 2 3 5 2" xfId="6674" xr:uid="{82C5CBF4-42CF-4FF8-B035-ADB61F8B3F29}"/>
    <cellStyle name="Comma 5 4 4 2 3 6" xfId="3283" xr:uid="{887FCC60-A374-43ED-A377-2C224C640448}"/>
    <cellStyle name="Comma 5 4 4 2 3 6 2" xfId="7776" xr:uid="{0C17B9CB-A647-4FA6-8F3B-2BE9D7D482CC}"/>
    <cellStyle name="Comma 5 4 4 2 3 7" xfId="5695" xr:uid="{FBA1A8DD-0F52-4D9E-8EC5-CF3461F85ECB}"/>
    <cellStyle name="Comma 5 4 4 2 4" xfId="1248" xr:uid="{D3E4F591-F633-4CCC-824E-AE839F1C6F50}"/>
    <cellStyle name="Comma 5 4 4 2 4 2" xfId="2230" xr:uid="{4FC1002D-466B-445A-AD20-F8B0D6B3C295}"/>
    <cellStyle name="Comma 5 4 4 2 4 2 2" xfId="4985" xr:uid="{579AA5E8-5D77-4860-9C39-8EA6486D378F}"/>
    <cellStyle name="Comma 5 4 4 2 4 2 2 2" xfId="9213" xr:uid="{B3380161-1D1F-418A-B899-78967450F548}"/>
    <cellStyle name="Comma 5 4 4 2 4 2 3" xfId="3487" xr:uid="{FB7088AA-8003-4C2E-8C0E-B8042C1263B5}"/>
    <cellStyle name="Comma 5 4 4 2 4 2 3 2" xfId="7954" xr:uid="{CBA636A8-A65D-4AE4-9905-033F6739980A}"/>
    <cellStyle name="Comma 5 4 4 2 4 2 4" xfId="6795" xr:uid="{EE5623D1-358C-40AC-8F32-E09FCA5F9C0D}"/>
    <cellStyle name="Comma 5 4 4 2 4 3" xfId="3893" xr:uid="{F459E7DD-A717-4171-8720-7E7FDCC279D0}"/>
    <cellStyle name="Comma 5 4 4 2 4 3 2" xfId="8342" xr:uid="{2B894A39-2BC0-475F-9B0A-C020A50B601E}"/>
    <cellStyle name="Comma 5 4 4 2 4 4" xfId="4639" xr:uid="{E5316E2B-25E9-499A-8F1A-BA51C9AC7ABB}"/>
    <cellStyle name="Comma 5 4 4 2 4 4 2" xfId="8885" xr:uid="{4E820C33-C4CE-4485-8BCE-6C2D3FCF60F6}"/>
    <cellStyle name="Comma 5 4 4 2 4 5" xfId="3056" xr:uid="{F33FB008-4FA2-48DC-93BF-2DE462E7121E}"/>
    <cellStyle name="Comma 5 4 4 2 4 5 2" xfId="7566" xr:uid="{50973EB0-4826-4832-9BA9-02B89DF17CC5}"/>
    <cellStyle name="Comma 5 4 4 2 4 6" xfId="5816" xr:uid="{6E64F3AB-3131-497B-B1FF-D74438AA6191}"/>
    <cellStyle name="Comma 5 4 4 2 5" xfId="1484" xr:uid="{B8CC7888-063E-4D04-A617-BAEFAD432817}"/>
    <cellStyle name="Comma 5 4 4 2 5 2" xfId="2464" xr:uid="{D56401E7-EDA5-4190-B5FA-698200F6D77E}"/>
    <cellStyle name="Comma 5 4 4 2 5 2 2" xfId="4978" xr:uid="{94C12565-9FB6-47E0-85FC-EDA492FD2D31}"/>
    <cellStyle name="Comma 5 4 4 2 5 2 2 2" xfId="9207" xr:uid="{FE9B63CD-D26A-46DA-B416-59EE3E834C14}"/>
    <cellStyle name="Comma 5 4 4 2 5 2 3" xfId="7029" xr:uid="{766D20A8-4A91-4E3E-BB05-36E74697ECE7}"/>
    <cellStyle name="Comma 5 4 4 2 5 3" xfId="3413" xr:uid="{DD19E672-D2DB-416F-A52E-B83A2A2E7E12}"/>
    <cellStyle name="Comma 5 4 4 2 5 3 2" xfId="7881" xr:uid="{0600768A-6A77-4B43-8870-3015AF934E92}"/>
    <cellStyle name="Comma 5 4 4 2 5 4" xfId="6050" xr:uid="{3FC58429-A6C1-4AED-89D9-DED862231BD4}"/>
    <cellStyle name="Comma 5 4 4 2 6" xfId="1654" xr:uid="{4F70AAF4-0EED-41F2-9593-0905ECBCC810}"/>
    <cellStyle name="Comma 5 4 4 2 6 2" xfId="2634" xr:uid="{3786B808-3D9C-461F-B178-28EDC6EF0B67}"/>
    <cellStyle name="Comma 5 4 4 2 6 2 2" xfId="7199" xr:uid="{2C1BD017-A311-4C2A-B32E-44A72A426EEB}"/>
    <cellStyle name="Comma 5 4 4 2 6 3" xfId="3820" xr:uid="{F8DCF114-D572-46D0-ABFF-0396DFD99E87}"/>
    <cellStyle name="Comma 5 4 4 2 6 3 2" xfId="8269" xr:uid="{E544C381-DFF9-48EC-9AC3-7AD8EF9A782D}"/>
    <cellStyle name="Comma 5 4 4 2 6 4" xfId="6220" xr:uid="{6C9C0E45-68E1-4821-9935-D7E5222E757E}"/>
    <cellStyle name="Comma 5 4 4 2 7" xfId="1955" xr:uid="{24F37551-D7DE-41CC-848C-CDA42A9185E4}"/>
    <cellStyle name="Comma 5 4 4 2 7 2" xfId="4367" xr:uid="{7F2EAE13-E1F2-47FD-B729-71D13579BDC8}"/>
    <cellStyle name="Comma 5 4 4 2 7 2 2" xfId="8672" xr:uid="{7E9E9905-52EB-483F-94DA-2B69388D6D8E}"/>
    <cellStyle name="Comma 5 4 4 2 7 3" xfId="6520" xr:uid="{D30B704D-46B3-487B-90D6-21B05F16F258}"/>
    <cellStyle name="Comma 5 4 4 2 8" xfId="2931" xr:uid="{93A59C5A-093F-4F85-B81A-9DE6A3CD3F77}"/>
    <cellStyle name="Comma 5 4 4 2 8 2" xfId="7493" xr:uid="{BEDB7FE1-30BF-4653-9809-B6B1520CCE3C}"/>
    <cellStyle name="Comma 5 4 4 2 9" xfId="5541" xr:uid="{AC8868C6-3930-4738-A078-0B44A6A0CDCD}"/>
    <cellStyle name="Comma 5 4 4 3" xfId="889" xr:uid="{292AFE3E-D4A1-4AB0-8D79-6F65E84F30B8}"/>
    <cellStyle name="Comma 5 4 4 3 2" xfId="1283" xr:uid="{FDEC99D2-DF31-4FBF-BC71-F2D54AF1D9F6}"/>
    <cellStyle name="Comma 5 4 4 3 2 2" xfId="2265" xr:uid="{8208BE6B-7952-47E9-9803-5DEEEAC40349}"/>
    <cellStyle name="Comma 5 4 4 3 2 2 2" xfId="5134" xr:uid="{C4007A35-16ED-4AAD-B926-24D248FD40AA}"/>
    <cellStyle name="Comma 5 4 4 3 2 2 2 2" xfId="9359" xr:uid="{9DF6CCD8-6283-487B-B563-DEB32938C380}"/>
    <cellStyle name="Comma 5 4 4 3 2 2 3" xfId="3626" xr:uid="{F1C77FA0-0621-4D28-B190-D79D0F31CDF5}"/>
    <cellStyle name="Comma 5 4 4 3 2 2 3 2" xfId="8093" xr:uid="{95430A43-10FA-4EB3-ADA3-9321951648D5}"/>
    <cellStyle name="Comma 5 4 4 3 2 2 4" xfId="6830" xr:uid="{D14BE4D0-81E1-47A5-8B37-00D02BCDD257}"/>
    <cellStyle name="Comma 5 4 4 3 2 3" xfId="4032" xr:uid="{7D191D42-83CD-4DFA-A41A-01D53FBBAF8B}"/>
    <cellStyle name="Comma 5 4 4 3 2 3 2" xfId="8481" xr:uid="{3D2A6A0C-65C2-4591-9AF2-797A641F9DC4}"/>
    <cellStyle name="Comma 5 4 4 3 2 4" xfId="4750" xr:uid="{2624DF4B-087A-4213-9D9C-4BF8111AC45E}"/>
    <cellStyle name="Comma 5 4 4 3 2 4 2" xfId="8996" xr:uid="{7330B1DC-9784-4AE0-9E05-14BD9034DB1C}"/>
    <cellStyle name="Comma 5 4 4 3 2 5" xfId="3210" xr:uid="{18FE0DD3-FAE0-40A0-B909-1A528BBE7764}"/>
    <cellStyle name="Comma 5 4 4 3 2 5 2" xfId="7705" xr:uid="{D9E4E15A-B19C-4EE6-860C-1EF77B55A4A0}"/>
    <cellStyle name="Comma 5 4 4 3 2 6" xfId="5851" xr:uid="{7094C096-5AA2-4636-82AB-715126E49CBF}"/>
    <cellStyle name="Comma 5 4 4 3 3" xfId="1519" xr:uid="{BC60E0A9-9309-4DF9-B456-DDE78B832F62}"/>
    <cellStyle name="Comma 5 4 4 3 3 2" xfId="2499" xr:uid="{64DAF812-3BA5-416A-A795-EB72F78DEF2B}"/>
    <cellStyle name="Comma 5 4 4 3 3 2 2" xfId="5239" xr:uid="{08DE57B2-43F4-4A94-9004-4980F4C155FC}"/>
    <cellStyle name="Comma 5 4 4 3 3 2 2 2" xfId="9464" xr:uid="{871DDCB9-5429-40E9-AE64-BB11F01FC743}"/>
    <cellStyle name="Comma 5 4 4 3 3 2 3" xfId="3731" xr:uid="{D333A08A-1A80-4E42-B31A-BCD367472FE6}"/>
    <cellStyle name="Comma 5 4 4 3 3 2 3 2" xfId="8198" xr:uid="{3B4A025C-0857-40F3-BD84-245AC8745740}"/>
    <cellStyle name="Comma 5 4 4 3 3 2 4" xfId="7064" xr:uid="{603577AC-2B10-4DF2-8454-0521ACBD04B1}"/>
    <cellStyle name="Comma 5 4 4 3 3 3" xfId="4137" xr:uid="{880E7FF8-F75C-45B3-BDDB-1AE1508CAA91}"/>
    <cellStyle name="Comma 5 4 4 3 3 3 2" xfId="8586" xr:uid="{9053A6DF-FA3E-453A-9298-345B96F70DF9}"/>
    <cellStyle name="Comma 5 4 4 3 3 4" xfId="4826" xr:uid="{60F391BB-D28C-4D73-AD98-A215009A3567}"/>
    <cellStyle name="Comma 5 4 4 3 3 4 2" xfId="9072" xr:uid="{06A065D5-E193-4C37-8D12-5669542A3B75}"/>
    <cellStyle name="Comma 5 4 4 3 3 5" xfId="3321" xr:uid="{47360F48-E02F-4BEC-9ECF-D9FF0D900622}"/>
    <cellStyle name="Comma 5 4 4 3 3 5 2" xfId="7810" xr:uid="{0293808F-6C40-468F-8B6E-B4F34E2CC42B}"/>
    <cellStyle name="Comma 5 4 4 3 3 6" xfId="6085" xr:uid="{C4E20BA9-78E2-4CDE-83A6-3D1B6A2B2873}"/>
    <cellStyle name="Comma 5 4 4 3 4" xfId="1753" xr:uid="{8E8E40F6-EF2D-4F74-A70C-B8F22166D8B2}"/>
    <cellStyle name="Comma 5 4 4 3 4 2" xfId="2732" xr:uid="{1E32314B-099B-4E9E-8877-5D5708B52455}"/>
    <cellStyle name="Comma 5 4 4 3 4 2 2" xfId="5030" xr:uid="{C6483A1B-52D5-44E1-A08A-319032EC5AD5}"/>
    <cellStyle name="Comma 5 4 4 3 4 2 2 2" xfId="9256" xr:uid="{791A2763-9FB8-4F25-88D2-1400AF98FCCB}"/>
    <cellStyle name="Comma 5 4 4 3 4 2 3" xfId="7297" xr:uid="{5F3750BE-7063-4D51-BC04-201640A11B2A}"/>
    <cellStyle name="Comma 5 4 4 3 4 3" xfId="3521" xr:uid="{EDD130CF-781B-44E7-A04F-C337D79C844E}"/>
    <cellStyle name="Comma 5 4 4 3 4 3 2" xfId="7988" xr:uid="{EF3269A4-A135-4F66-9C1E-8B5C047142A6}"/>
    <cellStyle name="Comma 5 4 4 3 4 4" xfId="6318" xr:uid="{03FF081B-E3CA-4B44-BA14-19676688F4B5}"/>
    <cellStyle name="Comma 5 4 4 3 5" xfId="1990" xr:uid="{AAD0F7CD-6657-435D-9F0C-C08DBB7003CB}"/>
    <cellStyle name="Comma 5 4 4 3 5 2" xfId="3927" xr:uid="{107F80A6-E0CD-4E5C-98BF-6B698D3CB198}"/>
    <cellStyle name="Comma 5 4 4 3 5 2 2" xfId="8376" xr:uid="{A996310D-1FAD-4D74-BBA9-9225E35DA9BF}"/>
    <cellStyle name="Comma 5 4 4 3 5 3" xfId="6555" xr:uid="{48FDD21C-9FB2-48AA-9CF6-8983AC0BAB4F}"/>
    <cellStyle name="Comma 5 4 4 3 6" xfId="4668" xr:uid="{2000ABEE-5B11-4897-A68C-CCECC54A352B}"/>
    <cellStyle name="Comma 5 4 4 3 6 2" xfId="8914" xr:uid="{372337B3-898B-4B54-AECE-35CFE7E2B028}"/>
    <cellStyle name="Comma 5 4 4 3 7" xfId="3094" xr:uid="{F3856522-7E40-4CCB-A1C1-1BE0A26FD4DF}"/>
    <cellStyle name="Comma 5 4 4 3 7 2" xfId="7600" xr:uid="{00914F32-5E06-4E6C-9C9F-7008A6DB0CF1}"/>
    <cellStyle name="Comma 5 4 4 3 8" xfId="5576" xr:uid="{3F083AE3-DE87-4D3A-80FE-8F0B7A81D597}"/>
    <cellStyle name="Comma 5 4 4 4" xfId="994" xr:uid="{1F3C7D10-8E65-460E-AC0A-7FC25E73756E}"/>
    <cellStyle name="Comma 5 4 4 4 2" xfId="1362" xr:uid="{175D2F5F-6B36-437E-ADAD-97FE296FE88B}"/>
    <cellStyle name="Comma 5 4 4 4 2 2" xfId="2342" xr:uid="{9F6E97E2-E3BE-4191-A55F-D5A6CAE80046}"/>
    <cellStyle name="Comma 5 4 4 4 2 2 2" xfId="5069" xr:uid="{09110C3E-BEC9-4482-9DB5-D6F0E65C8050}"/>
    <cellStyle name="Comma 5 4 4 4 2 2 2 2" xfId="9295" xr:uid="{7946CF7E-FE5F-4248-9A1D-4A3329928565}"/>
    <cellStyle name="Comma 5 4 4 4 2 2 3" xfId="6907" xr:uid="{03912B58-2A44-47C3-8301-79CBC92AB822}"/>
    <cellStyle name="Comma 5 4 4 4 2 3" xfId="3561" xr:uid="{44971372-A727-4809-8F06-15860833A3A5}"/>
    <cellStyle name="Comma 5 4 4 4 2 3 2" xfId="8028" xr:uid="{7241B07B-B1E3-4093-9FC7-0A3EF158B2D5}"/>
    <cellStyle name="Comma 5 4 4 4 2 4" xfId="5928" xr:uid="{F659089D-4451-4BCA-BE1E-361FCB8EB68D}"/>
    <cellStyle name="Comma 5 4 4 4 3" xfId="1596" xr:uid="{793E7EAB-F323-4E17-8E6A-41C0082EC23D}"/>
    <cellStyle name="Comma 5 4 4 4 3 2" xfId="2576" xr:uid="{C53376B3-BA71-4A72-BF33-7FCD20645F54}"/>
    <cellStyle name="Comma 5 4 4 4 3 2 2" xfId="7141" xr:uid="{56C04961-542A-4E4B-9DF1-7D1B6722F641}"/>
    <cellStyle name="Comma 5 4 4 4 3 3" xfId="3967" xr:uid="{0AFFA0BC-5ED1-4A95-B21F-B3FD487F2498}"/>
    <cellStyle name="Comma 5 4 4 4 3 3 2" xfId="8416" xr:uid="{282FDC76-4E3E-47B8-8188-6A726B8B13A7}"/>
    <cellStyle name="Comma 5 4 4 4 3 4" xfId="6162" xr:uid="{C847B201-678F-4885-9806-14ECDB17EF52}"/>
    <cellStyle name="Comma 5 4 4 4 4" xfId="1830" xr:uid="{D866966C-D296-43A6-9E14-B21423757025}"/>
    <cellStyle name="Comma 5 4 4 4 4 2" xfId="2809" xr:uid="{C7383A89-8170-4A8A-9A23-759AD2B91698}"/>
    <cellStyle name="Comma 5 4 4 4 4 2 2" xfId="7374" xr:uid="{65BC09C7-140F-44D4-AD1E-8BCFCA84734F}"/>
    <cellStyle name="Comma 5 4 4 4 4 3" xfId="4693" xr:uid="{5B73B263-8E43-49DF-9A51-997586AAD329}"/>
    <cellStyle name="Comma 5 4 4 4 4 3 2" xfId="8939" xr:uid="{90971C7D-D7EF-4DA1-9BE4-F55F2FB229B1}"/>
    <cellStyle name="Comma 5 4 4 4 4 4" xfId="6395" xr:uid="{FA2A7F0A-25D4-47B8-8D28-F80990626A83}"/>
    <cellStyle name="Comma 5 4 4 4 5" xfId="2067" xr:uid="{25DD3A2F-36CC-4FFF-AF08-15960254C811}"/>
    <cellStyle name="Comma 5 4 4 4 5 2" xfId="6632" xr:uid="{4E43CC5B-AA8B-4E43-BCC6-916354D62C3F}"/>
    <cellStyle name="Comma 5 4 4 4 6" xfId="3145" xr:uid="{9AD2075E-C2A7-48C8-8186-2DFD5CDE67FE}"/>
    <cellStyle name="Comma 5 4 4 4 6 2" xfId="7640" xr:uid="{F780D2AC-02C8-4259-8C51-CA3915D55423}"/>
    <cellStyle name="Comma 5 4 4 4 7" xfId="5653" xr:uid="{E7D63364-7E66-4694-A9F8-ABA6343870F9}"/>
    <cellStyle name="Comma 5 4 4 5" xfId="1112" xr:uid="{32543AD7-1F73-4578-9905-CF0948959558}"/>
    <cellStyle name="Comma 5 4 4 5 2" xfId="2148" xr:uid="{C5EF0B74-C77D-47B1-B950-1B77D299C32A}"/>
    <cellStyle name="Comma 5 4 4 5 2 2" xfId="5174" xr:uid="{97E792D0-E30A-4A5F-A2E3-97129D2A42ED}"/>
    <cellStyle name="Comma 5 4 4 5 2 2 2" xfId="9399" xr:uid="{878DE157-0F73-4304-A18B-B62AF5B1C293}"/>
    <cellStyle name="Comma 5 4 4 5 2 3" xfId="3666" xr:uid="{D85A767E-B353-4C4F-B4CB-609D97A6B22F}"/>
    <cellStyle name="Comma 5 4 4 5 2 3 2" xfId="8133" xr:uid="{0BF3EF7F-F858-4D6E-9E9E-60BC888F246A}"/>
    <cellStyle name="Comma 5 4 4 5 2 4" xfId="6713" xr:uid="{2D4AF07A-D864-45AA-8843-4B3EF78DE114}"/>
    <cellStyle name="Comma 5 4 4 5 3" xfId="4072" xr:uid="{C91D9554-79FF-45E3-84E9-ED7D025082DC}"/>
    <cellStyle name="Comma 5 4 4 5 3 2" xfId="8521" xr:uid="{9FF35FB2-0FD1-45F1-AD90-9CC0520F3571}"/>
    <cellStyle name="Comma 5 4 4 5 4" xfId="4789" xr:uid="{F03CF29D-42B0-4771-926A-3F903D59A2E8}"/>
    <cellStyle name="Comma 5 4 4 5 4 2" xfId="9035" xr:uid="{E63A10A1-C607-4256-942D-1615BEAEC5C2}"/>
    <cellStyle name="Comma 5 4 4 5 5" xfId="3251" xr:uid="{01747EF9-2A56-492A-AFE0-AEFE2EC0FF76}"/>
    <cellStyle name="Comma 5 4 4 5 5 2" xfId="7745" xr:uid="{7CAEA9C4-EDAE-4AB7-BA89-05E260B259C8}"/>
    <cellStyle name="Comma 5 4 4 5 6" xfId="5734" xr:uid="{1C5F5D6C-E90E-470B-8904-F8C9F7225457}"/>
    <cellStyle name="Comma 5 4 4 6" xfId="1202" xr:uid="{E21176B8-4E10-4C58-9D32-F09DF7FA95D8}"/>
    <cellStyle name="Comma 5 4 4 6 2" xfId="2188" xr:uid="{E9937AE6-AFF1-4384-8C8F-85D2F267C8F1}"/>
    <cellStyle name="Comma 5 4 4 6 2 2" xfId="5002" xr:uid="{B3F64742-7F91-4BDE-B12B-79697DF9F8B3}"/>
    <cellStyle name="Comma 5 4 4 6 2 2 2" xfId="9228" xr:uid="{D98F523B-C5F7-4458-B79C-D4070DF1E932}"/>
    <cellStyle name="Comma 5 4 4 6 2 3" xfId="3455" xr:uid="{A4D85EE7-3D50-44DB-A8C3-37D83A47E1CA}"/>
    <cellStyle name="Comma 5 4 4 6 2 3 2" xfId="7923" xr:uid="{B6DC758B-3133-44D4-A2F9-0A64FC77CB4E}"/>
    <cellStyle name="Comma 5 4 4 6 2 4" xfId="6753" xr:uid="{2EFB09D5-512E-43F0-A220-C5F6AA040D88}"/>
    <cellStyle name="Comma 5 4 4 6 3" xfId="3862" xr:uid="{C4846462-F363-4800-B2C1-7256B6C68A9A}"/>
    <cellStyle name="Comma 5 4 4 6 3 2" xfId="8311" xr:uid="{D76617F3-B83F-4B06-8725-D8099855CBA6}"/>
    <cellStyle name="Comma 5 4 4 6 4" xfId="4500" xr:uid="{23C7F1A9-AA4C-433D-8D9B-D134CF707448}"/>
    <cellStyle name="Comma 5 4 4 6 4 2" xfId="8770" xr:uid="{C385702E-6FA6-4FE4-A48B-0F33B5CF2FFC}"/>
    <cellStyle name="Comma 5 4 4 6 5" xfId="3008" xr:uid="{07DAD7B2-B695-484D-83C9-7EE417216A25}"/>
    <cellStyle name="Comma 5 4 4 6 5 2" xfId="7535" xr:uid="{4F57804B-D724-4414-A1D7-1C891C7FAC6F}"/>
    <cellStyle name="Comma 5 4 4 6 6" xfId="5774" xr:uid="{A1CBE5BC-7607-402D-B74F-633B9A493C1B}"/>
    <cellStyle name="Comma 5 4 4 7" xfId="1442" xr:uid="{C0634063-F433-43C8-9DC3-DB20C693B1F9}"/>
    <cellStyle name="Comma 5 4 4 7 2" xfId="2422" xr:uid="{42A6C0B6-FA4D-45D1-BFE3-284EE8A87C77}"/>
    <cellStyle name="Comma 5 4 4 7 2 2" xfId="6987" xr:uid="{D8903FE8-2B83-4B94-B94D-327B56A998F9}"/>
    <cellStyle name="Comma 5 4 4 7 3" xfId="3360" xr:uid="{5FADEA04-27B2-49F6-89DB-CE9288D619B2}"/>
    <cellStyle name="Comma 5 4 4 7 3 2" xfId="7847" xr:uid="{80F93655-02E6-4D1E-A7A0-548680768386}"/>
    <cellStyle name="Comma 5 4 4 7 4" xfId="6008" xr:uid="{CD016693-9596-4B1E-A1D2-2CF4014E09C1}"/>
    <cellStyle name="Comma 5 4 4 8" xfId="1697" xr:uid="{7D05081C-2EF9-408D-8A5C-07885CF35C40}"/>
    <cellStyle name="Comma 5 4 4 8 2" xfId="2677" xr:uid="{1556BC80-F3A7-4585-B7DA-EBFE871F50E5}"/>
    <cellStyle name="Comma 5 4 4 8 2 2" xfId="7242" xr:uid="{0461C3BD-B3FA-4824-95A0-600D9733EE5F}"/>
    <cellStyle name="Comma 5 4 4 8 3" xfId="3783" xr:uid="{BDF8AF09-149A-49D1-B03B-295043D21400}"/>
    <cellStyle name="Comma 5 4 4 8 3 2" xfId="8235" xr:uid="{2EDB71DA-BF3E-4D83-BB5C-22BCC180DDA5}"/>
    <cellStyle name="Comma 5 4 4 8 4" xfId="6263" xr:uid="{CFCE8BBE-721B-4BCB-A18D-B98683892641}"/>
    <cellStyle name="Comma 5 4 4 9" xfId="1913" xr:uid="{FB40009B-3E12-46AF-AFEF-5C3714A651B2}"/>
    <cellStyle name="Comma 5 4 4 9 2" xfId="4232" xr:uid="{BD0D20DE-B6DC-46C8-A60D-1084CFF251AA}"/>
    <cellStyle name="Comma 5 4 4 9 3" xfId="6478" xr:uid="{357B8C7C-04F7-40A4-9030-175FD6574C10}"/>
    <cellStyle name="Comma 5 4 5" xfId="240" xr:uid="{B9210345-E270-46E2-9EAA-D449D21F6C65}"/>
    <cellStyle name="Comma 5 4 6" xfId="690" xr:uid="{42FCC147-A5FA-4394-9BB3-B3E3D94C9477}"/>
    <cellStyle name="Comma 5 4 6 2" xfId="912" xr:uid="{27D3FDF5-4933-482B-A64D-830BCBAA75E3}"/>
    <cellStyle name="Comma 5 4 6 2 2" xfId="4154" xr:uid="{E669BFF0-D73E-465B-8CB1-6433A3DD31AB}"/>
    <cellStyle name="Comma 5 4 6 3" xfId="1113" xr:uid="{F075EE20-498A-4106-8E60-A39EFB9EF6D9}"/>
    <cellStyle name="Comma 5 4 6 3 2" xfId="5294" xr:uid="{503F512C-ED8B-4D0C-9E03-B189BBC50D8A}"/>
    <cellStyle name="Comma 5 4 7" xfId="1114" xr:uid="{1C65C9AF-110A-48EA-94B7-D2D0E0C42C97}"/>
    <cellStyle name="Comma 5 4 8" xfId="1110" xr:uid="{45615747-35EE-4BB1-92AE-D13A108747A3}"/>
    <cellStyle name="Comma 5 4 8 2" xfId="5292" xr:uid="{80F16FFF-8A57-44F5-A479-8A4088F539A7}"/>
    <cellStyle name="Comma 5 5" xfId="241" xr:uid="{5B5F52B1-E0D1-4511-A177-8D407A6A8148}"/>
    <cellStyle name="Comma 5 6" xfId="695" xr:uid="{BDD10169-E37D-4489-82F6-403DE7834EC0}"/>
    <cellStyle name="Comma 5 6 2" xfId="904" xr:uid="{23D46083-A368-421E-AFCC-EDB903B59389}"/>
    <cellStyle name="Comma 5 6 2 2" xfId="4613" xr:uid="{7771D684-16EE-47CE-9763-B654CEEF6109}"/>
    <cellStyle name="Comma 5 6 3" xfId="4368" xr:uid="{1ABBFA5A-E9BA-494C-BBBC-5FB6AE5A6B24}"/>
    <cellStyle name="Comma 5 7" xfId="2949" xr:uid="{309F0727-C2B7-45C5-ADEA-2290EC9AA8D1}"/>
    <cellStyle name="Comma 6" xfId="242" xr:uid="{5FF6691E-12BD-4E85-8CDC-D4800129A12C}"/>
    <cellStyle name="Comma 6 2" xfId="243" xr:uid="{95315200-7328-4482-B5C0-1AD1E93F1434}"/>
    <cellStyle name="Comma 6 2 2" xfId="244" xr:uid="{098B6801-6972-45F1-ABC1-A0F1D809B60B}"/>
    <cellStyle name="Comma 6 2 3" xfId="245" xr:uid="{FAAB3433-4B48-437D-8BF1-01DC60E15B3E}"/>
    <cellStyle name="Comma 6 3" xfId="689" xr:uid="{9008203D-1EEB-4C55-B7A0-38318DC2C6B9}"/>
    <cellStyle name="Comma 6 4" xfId="2950" xr:uid="{022565AF-1F41-4B76-B0E3-7348D54DFB86}"/>
    <cellStyle name="Comma 7" xfId="246" xr:uid="{68FA6A8F-4366-4D69-A101-C197E42E276C}"/>
    <cellStyle name="Comma 7 2" xfId="247" xr:uid="{33A1513D-B0C0-4405-AF88-7703DB94F347}"/>
    <cellStyle name="Comma 7 3" xfId="248" xr:uid="{F769EDED-7BF6-49BB-88F1-52562C8E5831}"/>
    <cellStyle name="Comma 7 3 10" xfId="1443" xr:uid="{B0A2650A-4235-4C72-9313-D3601A225A06}"/>
    <cellStyle name="Comma 7 3 10 2" xfId="2423" xr:uid="{69BAF920-DF95-43C2-93C3-33CC908C2131}"/>
    <cellStyle name="Comma 7 3 10 2 2" xfId="6988" xr:uid="{08A05C88-1E6F-4BE8-8861-1D2F3399BA55}"/>
    <cellStyle name="Comma 7 3 10 3" xfId="5376" xr:uid="{EEF3DBDA-0937-425B-9A77-D0776CEC107D}"/>
    <cellStyle name="Comma 7 3 10 3 2" xfId="9554" xr:uid="{9D314C1C-B24C-44A1-8D36-0BB884FD1F35}"/>
    <cellStyle name="Comma 7 3 10 4" xfId="6009" xr:uid="{F77DA032-C4B1-44A3-B0C1-62EF147FE38C}"/>
    <cellStyle name="Comma 7 3 11" xfId="1698" xr:uid="{A6369D32-00A3-4778-9D13-84C9770E93A7}"/>
    <cellStyle name="Comma 7 3 11 2" xfId="2678" xr:uid="{860B6501-2EA9-4DF7-8685-FCCC70A5D4AA}"/>
    <cellStyle name="Comma 7 3 11 2 2" xfId="7243" xr:uid="{344C3D9A-6012-41DF-A254-2E4106A467AC}"/>
    <cellStyle name="Comma 7 3 11 3" xfId="5423" xr:uid="{7531E17C-F5AE-4BB5-A544-7BF076B9341D}"/>
    <cellStyle name="Comma 7 3 11 3 2" xfId="9600" xr:uid="{96FBCB0D-BA31-4F6C-A749-1105E49EA7DE}"/>
    <cellStyle name="Comma 7 3 11 4" xfId="6264" xr:uid="{5F442F69-F3F6-4F2F-BB86-7B2C2866C947}"/>
    <cellStyle name="Comma 7 3 12" xfId="1914" xr:uid="{6FD1B08E-728D-4CB9-8B98-1A8707C7E4E4}"/>
    <cellStyle name="Comma 7 3 12 2" xfId="6479" xr:uid="{6745096E-8E3C-4B81-B0CE-29A406448111}"/>
    <cellStyle name="Comma 7 3 13" xfId="5500" xr:uid="{B8CB9750-841B-45F6-BF67-5B8457C256F0}"/>
    <cellStyle name="Comma 7 3 2" xfId="249" xr:uid="{16F0CCCE-89D4-4A61-BD3C-CDC05332A785}"/>
    <cellStyle name="Comma 7 3 2 2" xfId="3009" xr:uid="{B99A145B-7A11-4D71-ACC4-09D821D88592}"/>
    <cellStyle name="Comma 7 3 2 3" xfId="2970" xr:uid="{A1E9DB4F-C9A9-4399-B146-C0C00B4E0C68}"/>
    <cellStyle name="Comma 7 3 3" xfId="687" xr:uid="{009CEB78-D9C5-4B59-954A-917C8829DC19}"/>
    <cellStyle name="Comma 7 3 3 10" xfId="2896" xr:uid="{7233E676-E6CE-48A2-82AC-3594141738BB}"/>
    <cellStyle name="Comma 7 3 3 10 2" xfId="7460" xr:uid="{EE106E75-E6DF-46BE-8D44-43C9DB04D529}"/>
    <cellStyle name="Comma 7 3 3 11" xfId="5516" xr:uid="{2E4C1C3F-24B1-45CE-A942-BBCDA86CFF52}"/>
    <cellStyle name="Comma 7 3 3 2" xfId="923" xr:uid="{E0D4B7ED-C490-4894-9C69-A7B7D65B2FAD}"/>
    <cellStyle name="Comma 7 3 3 2 2" xfId="1300" xr:uid="{3230195B-CC7B-4C0A-9120-CA70639C1A8A}"/>
    <cellStyle name="Comma 7 3 3 2 2 2" xfId="2282" xr:uid="{BB2226E3-6EB8-45AC-9268-92B6EAAEA450}"/>
    <cellStyle name="Comma 7 3 3 2 2 2 2" xfId="4718" xr:uid="{A44C6418-4F87-465E-BB3B-759737A74FC5}"/>
    <cellStyle name="Comma 7 3 3 2 2 2 2 2" xfId="8964" xr:uid="{70B4CBD5-F23A-4F30-A4DF-3321ECA6A817}"/>
    <cellStyle name="Comma 7 3 3 2 2 2 3" xfId="3593" xr:uid="{BFBA9166-FCC9-4DB2-8688-C83C4A905577}"/>
    <cellStyle name="Comma 7 3 3 2 2 2 3 2" xfId="8060" xr:uid="{12393599-57EF-4AFF-BA81-D9A721B9EA20}"/>
    <cellStyle name="Comma 7 3 3 2 2 2 4" xfId="6847" xr:uid="{19258117-1CB1-4EEB-BFE5-E35018AE1104}"/>
    <cellStyle name="Comma 7 3 3 2 2 3" xfId="3999" xr:uid="{439F1B09-4657-47D3-A182-420AC6644FC1}"/>
    <cellStyle name="Comma 7 3 3 2 2 3 2" xfId="5101" xr:uid="{3F5EF12B-7D09-4BCE-B67E-003B50841BC0}"/>
    <cellStyle name="Comma 7 3 3 2 2 3 2 2" xfId="9326" xr:uid="{2337D8B5-BA44-4987-B32C-B624D00C7D66}"/>
    <cellStyle name="Comma 7 3 3 2 2 3 3" xfId="8448" xr:uid="{4475F658-C972-4C88-BAD6-535FB47B8057}"/>
    <cellStyle name="Comma 7 3 3 2 2 4" xfId="4468" xr:uid="{D9DF99F3-17F8-4C1F-AC88-794F648E7C96}"/>
    <cellStyle name="Comma 7 3 3 2 2 4 2" xfId="8745" xr:uid="{F7C0148D-F519-40DB-9A1F-7E4A328F2542}"/>
    <cellStyle name="Comma 7 3 3 2 2 5" xfId="3177" xr:uid="{64AF32E9-7000-4AF8-AEB3-BAD331773101}"/>
    <cellStyle name="Comma 7 3 3 2 2 5 2" xfId="7672" xr:uid="{9CD57AE3-F6FA-4982-B012-90719A52A727}"/>
    <cellStyle name="Comma 7 3 3 2 2 6" xfId="5868" xr:uid="{4CFF5CE0-2A89-4C82-919E-F5F018A0951F}"/>
    <cellStyle name="Comma 7 3 3 2 3" xfId="1536" xr:uid="{20332FD2-84CF-4087-9B37-B4ED1D3ED333}"/>
    <cellStyle name="Comma 7 3 3 2 3 2" xfId="2516" xr:uid="{CD02CE5E-8167-4939-B480-D7B2286C52E8}"/>
    <cellStyle name="Comma 7 3 3 2 3 2 2" xfId="5206" xr:uid="{08E682AC-FE3B-4240-85F0-0A7BAEC91F31}"/>
    <cellStyle name="Comma 7 3 3 2 3 2 2 2" xfId="9431" xr:uid="{8B54EE03-8A3E-4B7C-ADF5-56CBB9B92294}"/>
    <cellStyle name="Comma 7 3 3 2 3 2 3" xfId="3698" xr:uid="{1CF8C5D6-4379-4A96-BEE6-D23880198632}"/>
    <cellStyle name="Comma 7 3 3 2 3 2 3 2" xfId="8165" xr:uid="{1E607769-8AE2-4ED6-8E77-F4082A6AE77E}"/>
    <cellStyle name="Comma 7 3 3 2 3 2 4" xfId="7081" xr:uid="{515B90A1-963B-4703-A9D9-0A16BBD0423E}"/>
    <cellStyle name="Comma 7 3 3 2 3 3" xfId="4104" xr:uid="{0EB5917B-29F5-4ED8-BA7E-047466D86DD0}"/>
    <cellStyle name="Comma 7 3 3 2 3 3 2" xfId="8553" xr:uid="{2FE0406B-0B0E-4761-AD88-CDB29A3D2E56}"/>
    <cellStyle name="Comma 7 3 3 2 3 4" xfId="4610" xr:uid="{A0871F5E-17F9-4C62-B540-1BA047D6DEA7}"/>
    <cellStyle name="Comma 7 3 3 2 3 4 2" xfId="8862" xr:uid="{F9AAC4D3-B5CA-45C3-9655-A02C7530F0B6}"/>
    <cellStyle name="Comma 7 3 3 2 3 5" xfId="3284" xr:uid="{09E2A70D-21B9-4CA7-B5CA-B7A449C5D231}"/>
    <cellStyle name="Comma 7 3 3 2 3 5 2" xfId="7777" xr:uid="{7D0D9C1C-DC9F-4E62-9686-CF13D944B45B}"/>
    <cellStyle name="Comma 7 3 3 2 3 6" xfId="6102" xr:uid="{11C9B2D3-AEDA-40DD-9D99-A64142741CEE}"/>
    <cellStyle name="Comma 7 3 3 2 4" xfId="1770" xr:uid="{842001B1-BB92-4B7C-8487-EC6220C3F163}"/>
    <cellStyle name="Comma 7 3 3 2 4 2" xfId="2749" xr:uid="{7A1530A4-1B38-4D1A-ADB4-8EF768BF57B3}"/>
    <cellStyle name="Comma 7 3 3 2 4 2 2" xfId="4886" xr:uid="{B69DF048-9A06-4F5E-9040-65CA35A3014B}"/>
    <cellStyle name="Comma 7 3 3 2 4 2 2 2" xfId="9118" xr:uid="{23C1A2B1-B7ED-4443-ADCA-AF3AE3F846E3}"/>
    <cellStyle name="Comma 7 3 3 2 4 2 3" xfId="3488" xr:uid="{02D19BC8-6777-4874-BA21-6DFC73A4CA38}"/>
    <cellStyle name="Comma 7 3 3 2 4 2 3 2" xfId="7955" xr:uid="{C023F7FF-F2CC-4D70-8B7E-1132FF8290B3}"/>
    <cellStyle name="Comma 7 3 3 2 4 2 4" xfId="7314" xr:uid="{3718A113-288E-4911-A358-FE6AB9BAD7AF}"/>
    <cellStyle name="Comma 7 3 3 2 4 3" xfId="3894" xr:uid="{242DDD82-C276-4FFA-ADF8-E62D3A4B0C53}"/>
    <cellStyle name="Comma 7 3 3 2 4 3 2" xfId="8343" xr:uid="{7EA8B66A-05A9-4E35-ABF0-A331B640E29A}"/>
    <cellStyle name="Comma 7 3 3 2 4 4" xfId="4640" xr:uid="{46512BFF-8A90-4E11-9F9B-E4E322A05ACC}"/>
    <cellStyle name="Comma 7 3 3 2 4 4 2" xfId="8886" xr:uid="{EE2FF4A4-FCD6-4267-B250-E4E5A9B2B88E}"/>
    <cellStyle name="Comma 7 3 3 2 4 5" xfId="3057" xr:uid="{437BD720-F5CD-45F2-94F5-329C947CF03B}"/>
    <cellStyle name="Comma 7 3 3 2 4 5 2" xfId="7567" xr:uid="{AB4DF6E0-7325-454A-BA99-392F07C219C9}"/>
    <cellStyle name="Comma 7 3 3 2 4 6" xfId="6335" xr:uid="{E5C5251A-37C1-4C02-A70C-CB172C8541B4}"/>
    <cellStyle name="Comma 7 3 3 2 5" xfId="2007" xr:uid="{663C8AD6-9266-438E-B6D2-781D10762EBE}"/>
    <cellStyle name="Comma 7 3 3 2 5 2" xfId="4979" xr:uid="{E55EFD51-EC8C-418C-95B1-B8881528930E}"/>
    <cellStyle name="Comma 7 3 3 2 5 2 2" xfId="9208" xr:uid="{3F7A4EF3-B10D-4591-810B-698CE035A1D2}"/>
    <cellStyle name="Comma 7 3 3 2 5 3" xfId="3414" xr:uid="{BD324D59-60F3-4811-ADCD-E8AC8ED94A1F}"/>
    <cellStyle name="Comma 7 3 3 2 5 3 2" xfId="7882" xr:uid="{322F2904-9612-4352-B92F-F646B740414E}"/>
    <cellStyle name="Comma 7 3 3 2 5 4" xfId="6572" xr:uid="{51B2F714-6FF8-4EB1-9CAD-C50272336FBD}"/>
    <cellStyle name="Comma 7 3 3 2 6" xfId="3821" xr:uid="{D92D67AD-03AE-4092-B115-78ED8B7AD6C1}"/>
    <cellStyle name="Comma 7 3 3 2 6 2" xfId="8270" xr:uid="{64294150-0FC9-4E7D-98F5-334DF39BBA27}"/>
    <cellStyle name="Comma 7 3 3 2 7" xfId="4369" xr:uid="{D7587E1D-7F74-4947-A708-72C4428AD608}"/>
    <cellStyle name="Comma 7 3 3 2 7 2" xfId="8673" xr:uid="{080FA0E0-1C63-4ED1-8CEE-8E9514BE3852}"/>
    <cellStyle name="Comma 7 3 3 2 8" xfId="2932" xr:uid="{53AEEC9D-0D12-48DB-B1A2-BC0A8D8C7BC5}"/>
    <cellStyle name="Comma 7 3 3 2 8 2" xfId="7494" xr:uid="{2607EC1D-95B9-431D-8446-B72075A26E70}"/>
    <cellStyle name="Comma 7 3 3 2 9" xfId="5593" xr:uid="{2868BDF4-8959-416B-9979-5DC889490AC1}"/>
    <cellStyle name="Comma 7 3 3 3" xfId="1011" xr:uid="{2D68304D-2C1E-4346-B359-2767787525E1}"/>
    <cellStyle name="Comma 7 3 3 3 2" xfId="1379" xr:uid="{F630F244-71E5-43B5-A27E-19397B7CCC9B}"/>
    <cellStyle name="Comma 7 3 3 3 2 2" xfId="2359" xr:uid="{DD366D0C-71F2-49A9-982D-419D85779F9D}"/>
    <cellStyle name="Comma 7 3 3 3 2 2 2" xfId="5135" xr:uid="{8348B62C-0F34-4D53-9D35-5817E2AC26D9}"/>
    <cellStyle name="Comma 7 3 3 3 2 2 2 2" xfId="9360" xr:uid="{EA0B0C52-9BFA-4A68-B5EE-6C0F86AB5340}"/>
    <cellStyle name="Comma 7 3 3 3 2 2 3" xfId="3627" xr:uid="{04811055-47A9-4AB0-A9D3-A49E5E4A3C2A}"/>
    <cellStyle name="Comma 7 3 3 3 2 2 3 2" xfId="8094" xr:uid="{02081FB7-24B7-44BC-8D9E-48FF0D9009EE}"/>
    <cellStyle name="Comma 7 3 3 3 2 2 4" xfId="6924" xr:uid="{00D2B4E1-4A77-4E9A-90AF-35CF5453DD68}"/>
    <cellStyle name="Comma 7 3 3 3 2 3" xfId="4033" xr:uid="{33569C3E-1901-4F27-AECE-8EB8F8F85A1D}"/>
    <cellStyle name="Comma 7 3 3 3 2 3 2" xfId="8482" xr:uid="{30FFC67A-3DDE-429D-AFE1-056012AF5480}"/>
    <cellStyle name="Comma 7 3 3 3 2 4" xfId="4751" xr:uid="{C707E8A0-F8B4-40F0-B146-E4166C86C19C}"/>
    <cellStyle name="Comma 7 3 3 3 2 4 2" xfId="8997" xr:uid="{D3147756-03F6-424C-B341-97F9E716AA84}"/>
    <cellStyle name="Comma 7 3 3 3 2 5" xfId="3211" xr:uid="{67827686-AD55-4A4F-B664-A2E617B60ABD}"/>
    <cellStyle name="Comma 7 3 3 3 2 5 2" xfId="7706" xr:uid="{3DF79C54-4873-4FF7-A233-11ACD8B20ECC}"/>
    <cellStyle name="Comma 7 3 3 3 2 6" xfId="5945" xr:uid="{53F7B583-36B6-47B6-855D-67341A45417E}"/>
    <cellStyle name="Comma 7 3 3 3 3" xfId="1613" xr:uid="{C9A520C5-6E1D-4E6F-8EEA-C34D002B4B9F}"/>
    <cellStyle name="Comma 7 3 3 3 3 2" xfId="2593" xr:uid="{C17F9C04-EB86-42ED-9B6E-6DDD581793CF}"/>
    <cellStyle name="Comma 7 3 3 3 3 2 2" xfId="5240" xr:uid="{7183EBA8-1193-4A88-8F8B-4F4BC2D33D7E}"/>
    <cellStyle name="Comma 7 3 3 3 3 2 2 2" xfId="9465" xr:uid="{F688AC32-F3A3-440E-A229-6752A60E56A0}"/>
    <cellStyle name="Comma 7 3 3 3 3 2 3" xfId="3732" xr:uid="{9E2F8572-0CF4-45E5-8C0E-3E6A89A8CB61}"/>
    <cellStyle name="Comma 7 3 3 3 3 2 3 2" xfId="8199" xr:uid="{8DCFC1FA-C710-49D8-BFDB-3DCDEDD53A1F}"/>
    <cellStyle name="Comma 7 3 3 3 3 2 4" xfId="7158" xr:uid="{7026D2F3-54E5-4D17-B05D-734D51D9412C}"/>
    <cellStyle name="Comma 7 3 3 3 3 3" xfId="4138" xr:uid="{93C315DE-56C0-4A2E-91E0-6F52152ECE6D}"/>
    <cellStyle name="Comma 7 3 3 3 3 3 2" xfId="8587" xr:uid="{B63EEF43-C7BE-4063-827B-EB71016B696D}"/>
    <cellStyle name="Comma 7 3 3 3 3 4" xfId="4827" xr:uid="{5357DABF-BD06-42E7-83D2-8BD1B505F5FB}"/>
    <cellStyle name="Comma 7 3 3 3 3 4 2" xfId="9073" xr:uid="{B1CA945A-B491-454C-8FD7-7F00D853E189}"/>
    <cellStyle name="Comma 7 3 3 3 3 5" xfId="3322" xr:uid="{54A264E6-DD60-49CD-9FC7-58468E6C6EFB}"/>
    <cellStyle name="Comma 7 3 3 3 3 5 2" xfId="7811" xr:uid="{6D6E8EF3-1299-444F-A2CF-5F832522CF8E}"/>
    <cellStyle name="Comma 7 3 3 3 3 6" xfId="6179" xr:uid="{480840D8-32AA-4187-9DCC-E90BD6F239D1}"/>
    <cellStyle name="Comma 7 3 3 3 4" xfId="1847" xr:uid="{991B14E4-CD38-4759-912A-1FD74361C837}"/>
    <cellStyle name="Comma 7 3 3 3 4 2" xfId="2826" xr:uid="{10E7B8BB-5A8E-45F2-ADEA-52EB8F235CB6}"/>
    <cellStyle name="Comma 7 3 3 3 4 2 2" xfId="5031" xr:uid="{3825E5F7-F2FF-4372-8E59-2A06A146C594}"/>
    <cellStyle name="Comma 7 3 3 3 4 2 2 2" xfId="9257" xr:uid="{F6FDE8C5-E69A-4ECA-A148-E4CF87553B68}"/>
    <cellStyle name="Comma 7 3 3 3 4 2 3" xfId="7391" xr:uid="{A786385A-EB5D-4553-9493-D194F092141D}"/>
    <cellStyle name="Comma 7 3 3 3 4 3" xfId="3522" xr:uid="{93F1C9E2-2397-4FFA-A0EC-37DDE7AA46AE}"/>
    <cellStyle name="Comma 7 3 3 3 4 3 2" xfId="7989" xr:uid="{DA3EF75F-703E-4EE1-8BF9-EB73BE519948}"/>
    <cellStyle name="Comma 7 3 3 3 4 4" xfId="6412" xr:uid="{39243967-3C92-4E80-BD89-69EC981A6E09}"/>
    <cellStyle name="Comma 7 3 3 3 5" xfId="2084" xr:uid="{D5D6EB34-5358-4D9D-A2A1-3B101C159397}"/>
    <cellStyle name="Comma 7 3 3 3 5 2" xfId="3928" xr:uid="{046B4368-395C-4E45-A3D7-03E9E9D4100F}"/>
    <cellStyle name="Comma 7 3 3 3 5 2 2" xfId="8377" xr:uid="{46A470E8-0A44-4103-ABA7-2E026FB84236}"/>
    <cellStyle name="Comma 7 3 3 3 5 3" xfId="6649" xr:uid="{F8A992D7-7211-4B16-9329-23EB84BF8235}"/>
    <cellStyle name="Comma 7 3 3 3 6" xfId="4669" xr:uid="{533A23E3-F15F-45A7-99E0-F271173DD92A}"/>
    <cellStyle name="Comma 7 3 3 3 6 2" xfId="8915" xr:uid="{8F2B173D-BF4F-4D5E-A246-BF7C9589BA58}"/>
    <cellStyle name="Comma 7 3 3 3 7" xfId="3095" xr:uid="{09EA748E-A617-4CAB-B46F-91652FD9CC02}"/>
    <cellStyle name="Comma 7 3 3 3 7 2" xfId="7601" xr:uid="{C3A3CA8F-3E89-477B-80A0-E55182B52498}"/>
    <cellStyle name="Comma 7 3 3 3 8" xfId="5670" xr:uid="{BF2BAD19-F9E2-40F8-97FD-04392C0B1039}"/>
    <cellStyle name="Comma 7 3 3 4" xfId="1117" xr:uid="{F0C6BC24-DA89-415E-9265-256F78CB679E}"/>
    <cellStyle name="Comma 7 3 3 4 2" xfId="2150" xr:uid="{A1F3C5AD-515B-4E3E-9FE5-1590F6D3901D}"/>
    <cellStyle name="Comma 7 3 3 4 2 2" xfId="5070" xr:uid="{C8BC57B3-1C7D-489C-80BB-63CE2759306F}"/>
    <cellStyle name="Comma 7 3 3 4 2 2 2" xfId="9296" xr:uid="{E7102AD8-5B82-4DB8-A4E0-EDFB87D1AA13}"/>
    <cellStyle name="Comma 7 3 3 4 2 3" xfId="3562" xr:uid="{46C05F8E-E198-47DD-99C5-6F32BBB3AAB1}"/>
    <cellStyle name="Comma 7 3 3 4 2 3 2" xfId="8029" xr:uid="{B260D72A-C3FE-4059-979A-790345CBBB80}"/>
    <cellStyle name="Comma 7 3 3 4 2 4" xfId="6715" xr:uid="{7E1675B0-570C-4AC0-856C-E74EF0193D9D}"/>
    <cellStyle name="Comma 7 3 3 4 3" xfId="3968" xr:uid="{BC346D02-B70F-4C57-A459-D1BEB9A1586C}"/>
    <cellStyle name="Comma 7 3 3 4 3 2" xfId="8417" xr:uid="{A46D839A-29DA-43D0-A864-6E9F2F771016}"/>
    <cellStyle name="Comma 7 3 3 4 4" xfId="4694" xr:uid="{4F0E73C7-855E-47DD-B311-0F64EDA66ADF}"/>
    <cellStyle name="Comma 7 3 3 4 4 2" xfId="8940" xr:uid="{9D2AF121-C290-496C-95DB-FC1A1400A304}"/>
    <cellStyle name="Comma 7 3 3 4 5" xfId="3146" xr:uid="{F9A18583-4333-4487-BD74-C7A0555292C4}"/>
    <cellStyle name="Comma 7 3 3 4 5 2" xfId="7641" xr:uid="{B6C1DE71-7707-4CA7-AB60-2EEF2AD3AE7F}"/>
    <cellStyle name="Comma 7 3 3 4 6" xfId="5736" xr:uid="{7410E9BD-022D-4319-B0E7-08A72F387EF8}"/>
    <cellStyle name="Comma 7 3 3 5" xfId="1221" xr:uid="{C47BFD31-DE3F-49FE-BD0C-285AAD11B1C3}"/>
    <cellStyle name="Comma 7 3 3 5 2" xfId="2205" xr:uid="{643D55AC-762E-4339-B9A4-CA7BA967DC55}"/>
    <cellStyle name="Comma 7 3 3 5 2 2" xfId="5175" xr:uid="{56894805-A799-499A-B759-676426B3D502}"/>
    <cellStyle name="Comma 7 3 3 5 2 2 2" xfId="9400" xr:uid="{7A8972C3-6039-4836-A012-16351D73993C}"/>
    <cellStyle name="Comma 7 3 3 5 2 3" xfId="3667" xr:uid="{A18A6C47-BC21-454F-B28C-5C7DFC844AD2}"/>
    <cellStyle name="Comma 7 3 3 5 2 3 2" xfId="8134" xr:uid="{B3A0BFD2-680B-4E0C-B770-8A3972885F2B}"/>
    <cellStyle name="Comma 7 3 3 5 2 4" xfId="6770" xr:uid="{935AF167-3EEA-41B8-A729-7A00C2893CD4}"/>
    <cellStyle name="Comma 7 3 3 5 3" xfId="4073" xr:uid="{0EE5CC04-0DFD-4DA4-BE39-011961FD7A57}"/>
    <cellStyle name="Comma 7 3 3 5 3 2" xfId="8522" xr:uid="{7F1E2A8E-C6A7-40FC-8747-4D1FFE1C4BC4}"/>
    <cellStyle name="Comma 7 3 3 5 4" xfId="4790" xr:uid="{822640A8-166B-4350-854C-0E6BEA81CF57}"/>
    <cellStyle name="Comma 7 3 3 5 4 2" xfId="9036" xr:uid="{72F85682-A620-48E2-8830-E2B329DFE6E5}"/>
    <cellStyle name="Comma 7 3 3 5 5" xfId="3252" xr:uid="{326F9B9A-F8A3-4E96-960C-3F8199D81023}"/>
    <cellStyle name="Comma 7 3 3 5 5 2" xfId="7746" xr:uid="{AFCAAF67-B7B5-4AE0-B811-B0A0431BA8B8}"/>
    <cellStyle name="Comma 7 3 3 5 6" xfId="5791" xr:uid="{4C2EC0F0-59E0-4DB3-9E11-BDB54F7BC26E}"/>
    <cellStyle name="Comma 7 3 3 6" xfId="1459" xr:uid="{D751271F-FE55-4E1A-9B85-02AB0BC417C0}"/>
    <cellStyle name="Comma 7 3 3 6 2" xfId="2439" xr:uid="{12FA672B-BA1C-4853-A21A-4526BB99E5AD}"/>
    <cellStyle name="Comma 7 3 3 6 2 2" xfId="5003" xr:uid="{05381705-6CB7-4557-8220-1ABDF8A746CE}"/>
    <cellStyle name="Comma 7 3 3 6 2 2 2" xfId="9229" xr:uid="{3589E1B1-C592-4EFB-ADC1-8518C4D5E7BE}"/>
    <cellStyle name="Comma 7 3 3 6 2 3" xfId="3456" xr:uid="{13D29C00-B8BF-40F4-910B-31ABEE80FD1B}"/>
    <cellStyle name="Comma 7 3 3 6 2 3 2" xfId="7924" xr:uid="{59B9B183-929C-4B6A-B459-8E5B7383414F}"/>
    <cellStyle name="Comma 7 3 3 6 2 4" xfId="7004" xr:uid="{F35B15C3-26C1-447F-A046-3CBB8FB9FA8C}"/>
    <cellStyle name="Comma 7 3 3 6 3" xfId="3863" xr:uid="{DB084E44-5F01-4EAA-84BD-2309C4AE64FE}"/>
    <cellStyle name="Comma 7 3 3 6 3 2" xfId="8312" xr:uid="{5DEDA73A-3E41-4E56-9788-C2BB81150E67}"/>
    <cellStyle name="Comma 7 3 3 6 4" xfId="4501" xr:uid="{328D212D-B56D-41C8-BEF6-71BDC60E2F0C}"/>
    <cellStyle name="Comma 7 3 3 6 4 2" xfId="8771" xr:uid="{574ABE99-22C3-4D8C-985E-4E07140C6A1A}"/>
    <cellStyle name="Comma 7 3 3 6 5" xfId="3010" xr:uid="{4B7CDEBA-2648-4DC5-B582-DC3E70D0CA42}"/>
    <cellStyle name="Comma 7 3 3 6 5 2" xfId="7536" xr:uid="{6E3264ED-F994-49C0-9769-909B0DCBC731}"/>
    <cellStyle name="Comma 7 3 3 6 6" xfId="6025" xr:uid="{0731833B-053A-4EBE-87ED-8FF68DBBD311}"/>
    <cellStyle name="Comma 7 3 3 7" xfId="1699" xr:uid="{6EC9EC3F-D3BD-4A40-8656-B33674D7220B}"/>
    <cellStyle name="Comma 7 3 3 7 2" xfId="2679" xr:uid="{E1EA7CD6-2E4D-455A-82BF-E590D99BB13F}"/>
    <cellStyle name="Comma 7 3 3 7 2 2" xfId="7244" xr:uid="{D322FFC4-0326-4B05-ADF2-33B69BF55270}"/>
    <cellStyle name="Comma 7 3 3 7 3" xfId="3361" xr:uid="{B7C6CE53-5BFB-4C36-BA90-51EC4148A956}"/>
    <cellStyle name="Comma 7 3 3 7 3 2" xfId="7848" xr:uid="{8A31E134-76DB-47AB-A374-B97A85401547}"/>
    <cellStyle name="Comma 7 3 3 7 4" xfId="6265" xr:uid="{CB786C18-537C-4121-B296-F4BAFDE64DD7}"/>
    <cellStyle name="Comma 7 3 3 8" xfId="1930" xr:uid="{68711F35-635E-443C-A03F-8118021DB8B1}"/>
    <cellStyle name="Comma 7 3 3 8 2" xfId="3784" xr:uid="{AC9F9999-C40B-4641-8959-77E64260986C}"/>
    <cellStyle name="Comma 7 3 3 8 2 2" xfId="8236" xr:uid="{7BB835F7-64FF-4E95-AEBA-71AEB002CF7A}"/>
    <cellStyle name="Comma 7 3 3 8 3" xfId="6495" xr:uid="{11A81FA3-5DD4-474F-A17A-1A4253814CF3}"/>
    <cellStyle name="Comma 7 3 3 9" xfId="4233" xr:uid="{6B376EAB-E9C6-44DA-93DF-63B881894EB3}"/>
    <cellStyle name="Comma 7 3 4" xfId="686" xr:uid="{BDD3DF30-6561-4C92-98BD-C96F11AB0A62}"/>
    <cellStyle name="Comma 7 3 5" xfId="849" xr:uid="{EFB2E644-25AF-4DC4-BAF5-EDF6EE2A1518}"/>
    <cellStyle name="Comma 7 3 5 10" xfId="5542" xr:uid="{5F1160A2-AF0E-44D5-A5CF-CD0A4608CF89}"/>
    <cellStyle name="Comma 7 3 5 2" xfId="955" xr:uid="{FBB519E6-CDA2-4DAE-B85A-583DF7AD8910}"/>
    <cellStyle name="Comma 7 3 5 2 2" xfId="1328" xr:uid="{755509B8-3D0C-4F7D-9F46-D1EB84AE0F05}"/>
    <cellStyle name="Comma 7 3 5 2 2 2" xfId="2308" xr:uid="{414C6B95-288D-4189-8225-983447318EAE}"/>
    <cellStyle name="Comma 7 3 5 2 2 2 2" xfId="6873" xr:uid="{D8DA0BF9-B6CE-4D22-ABD0-DCA904E37529}"/>
    <cellStyle name="Comma 7 3 5 2 2 3" xfId="4456" xr:uid="{9CB54AE3-C9A7-4B3C-8964-677E33EDA44A}"/>
    <cellStyle name="Comma 7 3 5 2 2 3 2" xfId="8733" xr:uid="{9C48106C-138D-4F58-91FC-E9BDF31FEDDE}"/>
    <cellStyle name="Comma 7 3 5 2 2 4" xfId="5894" xr:uid="{823E8856-1CB1-4B93-8361-5318FA0A673E}"/>
    <cellStyle name="Comma 7 3 5 2 3" xfId="1562" xr:uid="{8FFCAF28-44F7-4246-82A4-2FA8A687827C}"/>
    <cellStyle name="Comma 7 3 5 2 3 2" xfId="2542" xr:uid="{0E080720-4A70-4F2E-ABE6-D6E5B6B2A4B8}"/>
    <cellStyle name="Comma 7 3 5 2 3 2 2" xfId="7107" xr:uid="{EA78433B-3E61-4ABC-8814-F52E5710162F}"/>
    <cellStyle name="Comma 7 3 5 2 3 3" xfId="4590" xr:uid="{C20DD0BC-A151-407E-8146-2E3521B3FB33}"/>
    <cellStyle name="Comma 7 3 5 2 3 3 2" xfId="8845" xr:uid="{36455EB2-1C6A-4FE3-8D80-7618F25DA042}"/>
    <cellStyle name="Comma 7 3 5 2 3 4" xfId="6128" xr:uid="{2B1DEE8F-6D7B-46E2-BC3C-14746C27095A}"/>
    <cellStyle name="Comma 7 3 5 2 4" xfId="1796" xr:uid="{5453B088-3472-454E-BE33-0D91EAA850C8}"/>
    <cellStyle name="Comma 7 3 5 2 4 2" xfId="2775" xr:uid="{3FA3377D-B778-4291-868C-EB435640B271}"/>
    <cellStyle name="Comma 7 3 5 2 4 2 2" xfId="7340" xr:uid="{A97BDFCD-1E24-47C5-8F44-C05F404107D6}"/>
    <cellStyle name="Comma 7 3 5 2 4 3" xfId="4955" xr:uid="{0A8ADA5D-1432-4F64-B46D-035E2FDD9AEE}"/>
    <cellStyle name="Comma 7 3 5 2 4 3 2" xfId="9185" xr:uid="{2C8B3E48-F928-4491-B9C3-A8F1CFCA9B28}"/>
    <cellStyle name="Comma 7 3 5 2 4 4" xfId="6361" xr:uid="{E542ECBF-5E0B-4FD1-9E78-AFC233C080B6}"/>
    <cellStyle name="Comma 7 3 5 2 5" xfId="2033" xr:uid="{3404B9D1-C440-4090-9CFE-141468EAFD67}"/>
    <cellStyle name="Comma 7 3 5 2 5 2" xfId="6598" xr:uid="{FA1AB480-B445-46CA-B4DD-7E704AA3DF15}"/>
    <cellStyle name="Comma 7 3 5 2 6" xfId="4308" xr:uid="{7F9388A1-4A56-4BB5-A053-DF23B278D11C}"/>
    <cellStyle name="Comma 7 3 5 2 6 2" xfId="8661" xr:uid="{BD81E14B-C392-40DF-8428-58BA0216B002}"/>
    <cellStyle name="Comma 7 3 5 2 7" xfId="5619" xr:uid="{0FE28197-48B0-4F8D-AFEE-DDCC49673671}"/>
    <cellStyle name="Comma 7 3 5 3" xfId="1037" xr:uid="{58C3CC8B-0A88-4555-8BFC-AD2118CDB67A}"/>
    <cellStyle name="Comma 7 3 5 3 2" xfId="1405" xr:uid="{4A1D056E-F645-4D5F-9723-E2EEDCEA2B98}"/>
    <cellStyle name="Comma 7 3 5 3 2 2" xfId="2385" xr:uid="{E4A065AD-D956-4187-9E8E-2FE6FEC3E59E}"/>
    <cellStyle name="Comma 7 3 5 3 2 2 2" xfId="6950" xr:uid="{40D447C4-60C6-47D2-A539-DCF7E4EE3003}"/>
    <cellStyle name="Comma 7 3 5 3 2 3" xfId="5368" xr:uid="{16F86BA6-7E28-4A42-9915-C06F899D7F78}"/>
    <cellStyle name="Comma 7 3 5 3 2 3 2" xfId="9546" xr:uid="{7CF7AAAF-232D-498B-AC47-BF6E4FE4431D}"/>
    <cellStyle name="Comma 7 3 5 3 2 4" xfId="5971" xr:uid="{3CBD7943-F264-4B86-95CB-1D4C8855B393}"/>
    <cellStyle name="Comma 7 3 5 3 3" xfId="1639" xr:uid="{2836E37E-DF11-4D29-BA26-6DF9BDFD6913}"/>
    <cellStyle name="Comma 7 3 5 3 3 2" xfId="2619" xr:uid="{92F635B9-42C6-4EAC-85C5-E2786A353C3D}"/>
    <cellStyle name="Comma 7 3 5 3 3 2 2" xfId="7184" xr:uid="{9C7DD837-08AC-414B-ABDC-04BDFB01AC3C}"/>
    <cellStyle name="Comma 7 3 5 3 3 3" xfId="5408" xr:uid="{2E6511BA-C828-4629-8E94-4821CEED5047}"/>
    <cellStyle name="Comma 7 3 5 3 3 3 2" xfId="9585" xr:uid="{64EA7BBF-F49D-4D2F-9987-D17A4910B898}"/>
    <cellStyle name="Comma 7 3 5 3 3 4" xfId="6205" xr:uid="{CDEFB0B0-F4FE-4406-8369-7544BDD2CDB7}"/>
    <cellStyle name="Comma 7 3 5 3 4" xfId="1873" xr:uid="{EF6E0BB6-BEA9-4137-BF82-E189314303EC}"/>
    <cellStyle name="Comma 7 3 5 3 4 2" xfId="2852" xr:uid="{A06D202A-A2DD-4FE8-B683-C9F8638F81A3}"/>
    <cellStyle name="Comma 7 3 5 3 4 2 2" xfId="7417" xr:uid="{6138DD10-E8FD-4756-B689-1E1494E58230}"/>
    <cellStyle name="Comma 7 3 5 3 4 3" xfId="5464" xr:uid="{5BC62AC5-24C2-42BA-B586-B4BF2E9FBB55}"/>
    <cellStyle name="Comma 7 3 5 3 4 3 2" xfId="9640" xr:uid="{ADACBBE9-B0E3-404F-A251-C662EF66994D}"/>
    <cellStyle name="Comma 7 3 5 3 4 4" xfId="6438" xr:uid="{B56E45BB-380F-4139-B517-7E78A84BAA19}"/>
    <cellStyle name="Comma 7 3 5 3 5" xfId="2110" xr:uid="{D2A16559-F694-497E-B00E-D10FF26B7AB7}"/>
    <cellStyle name="Comma 7 3 5 3 5 2" xfId="6675" xr:uid="{06A73CAC-A237-4C9D-9C0A-CAB066C3BC66}"/>
    <cellStyle name="Comma 7 3 5 3 6" xfId="4370" xr:uid="{B68A972E-BC6B-4F58-AC7E-010FE0A42C05}"/>
    <cellStyle name="Comma 7 3 5 3 7" xfId="5278" xr:uid="{69D5322E-AE59-4979-91EB-83A895AE6587}"/>
    <cellStyle name="Comma 7 3 5 3 7 2" xfId="9500" xr:uid="{EF07BC6C-728E-4028-BFA6-92759233B64B}"/>
    <cellStyle name="Comma 7 3 5 3 8" xfId="5696" xr:uid="{2DE7D05E-08D6-4C8A-A702-6619E7317E68}"/>
    <cellStyle name="Comma 7 3 5 4" xfId="1118" xr:uid="{E3C16761-83A9-435F-AA41-8A7A90A16801}"/>
    <cellStyle name="Comma 7 3 5 4 2" xfId="4428" xr:uid="{F2E4839B-1A9C-4B71-AD9D-531C1634CB8C}"/>
    <cellStyle name="Comma 7 3 5 4 2 2" xfId="8705" xr:uid="{8E83AA7C-A1CC-4585-82D9-CD510D5B0B79}"/>
    <cellStyle name="Comma 7 3 5 5" xfId="1249" xr:uid="{986960FB-C2A5-4261-9AB7-59FA414E85D4}"/>
    <cellStyle name="Comma 7 3 5 5 2" xfId="2231" xr:uid="{E6C123F5-4935-4F07-8EC3-4E0F6CF657BC}"/>
    <cellStyle name="Comma 7 3 5 5 2 2" xfId="6796" xr:uid="{95215982-9B46-4C4E-9D2C-A3B3ACE2BD1D}"/>
    <cellStyle name="Comma 7 3 5 5 3" xfId="4561" xr:uid="{5D96C214-7CAF-4FE3-ADE3-3B44E99D1535}"/>
    <cellStyle name="Comma 7 3 5 5 3 2" xfId="8817" xr:uid="{01B9BCB3-AD08-45F1-8BEF-B9B61CE533CC}"/>
    <cellStyle name="Comma 7 3 5 5 4" xfId="5817" xr:uid="{0BFEB621-137A-46F4-94CA-EF335C86FEF5}"/>
    <cellStyle name="Comma 7 3 5 6" xfId="1485" xr:uid="{D5DFBCE7-3DB7-45BF-BE46-9A43345D2D73}"/>
    <cellStyle name="Comma 7 3 5 6 2" xfId="2465" xr:uid="{544B3213-6131-4ACB-91E1-D8DB9FB7AAE3}"/>
    <cellStyle name="Comma 7 3 5 6 2 2" xfId="7030" xr:uid="{5BFAD102-4267-4EC2-AB87-1D5BA9C17C91}"/>
    <cellStyle name="Comma 7 3 5 6 3" xfId="4927" xr:uid="{42B20179-C289-48EC-B12F-0E01D4DF5C22}"/>
    <cellStyle name="Comma 7 3 5 6 3 2" xfId="9157" xr:uid="{C47BEA52-2DF5-4B1D-B727-A73F47D5D1CC}"/>
    <cellStyle name="Comma 7 3 5 6 4" xfId="6051" xr:uid="{EC49D07A-B0C5-4E8D-AC36-8A5EF35309C3}"/>
    <cellStyle name="Comma 7 3 5 7" xfId="1719" xr:uid="{A75EA745-3652-4065-83A6-DD385C5A997A}"/>
    <cellStyle name="Comma 7 3 5 7 2" xfId="2698" xr:uid="{798959C3-71C0-46F1-AAF2-B34B5572048A}"/>
    <cellStyle name="Comma 7 3 5 7 2 2" xfId="7263" xr:uid="{C30BC048-23E1-4FBC-BB58-5551669C49C4}"/>
    <cellStyle name="Comma 7 3 5 7 3" xfId="5428" xr:uid="{6328D59C-F2DD-49FC-B3E4-7A04DB7660C6}"/>
    <cellStyle name="Comma 7 3 5 7 3 2" xfId="9604" xr:uid="{D1003BA6-7DE6-4002-93D5-B9F007901D14}"/>
    <cellStyle name="Comma 7 3 5 7 4" xfId="6284" xr:uid="{B397514F-90E6-4DE1-A679-164F09A4C05B}"/>
    <cellStyle name="Comma 7 3 5 8" xfId="1956" xr:uid="{2081153B-BAD3-41E6-B43F-567DD3A64FE0}"/>
    <cellStyle name="Comma 7 3 5 8 2" xfId="6521" xr:uid="{739543B4-D170-4FBA-A3E8-3B3F39356584}"/>
    <cellStyle name="Comma 7 3 5 9" xfId="4278" xr:uid="{00B42AF3-14FD-43DA-B7E7-C34D3E696907}"/>
    <cellStyle name="Comma 7 3 5 9 2" xfId="8633" xr:uid="{1F2F28DD-D929-409F-BC7B-5CBDE2ADE4FD}"/>
    <cellStyle name="Comma 7 3 6" xfId="890" xr:uid="{3BAD42A7-0D13-45B0-890A-457317CB08BC}"/>
    <cellStyle name="Comma 7 3 6 2" xfId="1284" xr:uid="{254B3876-A64E-4E4B-9970-45CB2DB9539B}"/>
    <cellStyle name="Comma 7 3 6 2 2" xfId="2266" xr:uid="{83AA1E16-6649-44C2-B83A-6270875550C7}"/>
    <cellStyle name="Comma 7 3 6 2 2 2" xfId="6831" xr:uid="{061884F7-D651-4CA1-B643-36A35C2D1727}"/>
    <cellStyle name="Comma 7 3 6 2 3" xfId="5347" xr:uid="{DB1CE354-6CF7-43D6-8CB2-48175C9F1FDE}"/>
    <cellStyle name="Comma 7 3 6 2 3 2" xfId="9527" xr:uid="{61BAA823-0506-47E9-83BC-156068DBFD9C}"/>
    <cellStyle name="Comma 7 3 6 2 4" xfId="5852" xr:uid="{1CC9BF10-C66C-42DF-B72A-3AF3B7F577E0}"/>
    <cellStyle name="Comma 7 3 6 3" xfId="1520" xr:uid="{17DCE50B-6139-4BAD-9971-E705EF433AA6}"/>
    <cellStyle name="Comma 7 3 6 3 2" xfId="2500" xr:uid="{81EC0073-B356-4C29-B284-3226A9699A65}"/>
    <cellStyle name="Comma 7 3 6 3 2 2" xfId="7065" xr:uid="{00542C58-E265-47F9-B641-CAEB03BAD5BF}"/>
    <cellStyle name="Comma 7 3 6 3 3" xfId="5388" xr:uid="{DAB8AD42-814B-4D18-9F41-E31096D86280}"/>
    <cellStyle name="Comma 7 3 6 3 3 2" xfId="9565" xr:uid="{7D7B4781-D4A3-4381-9215-DC03FAFF2402}"/>
    <cellStyle name="Comma 7 3 6 3 4" xfId="6086" xr:uid="{84BAC0B0-F916-4371-9282-CF3CC1BBB31F}"/>
    <cellStyle name="Comma 7 3 6 4" xfId="1754" xr:uid="{7C2EAC4C-4094-47C7-B3DD-D569CFFD9010}"/>
    <cellStyle name="Comma 7 3 6 4 2" xfId="2733" xr:uid="{C3DC37E0-64C1-4511-BC87-D784838EBD34}"/>
    <cellStyle name="Comma 7 3 6 4 2 2" xfId="7298" xr:uid="{97605B09-6EB8-4F90-84F1-1BEEB836E643}"/>
    <cellStyle name="Comma 7 3 6 4 3" xfId="5435" xr:uid="{7AF04FAD-D6A8-479C-870E-1982A17DFA87}"/>
    <cellStyle name="Comma 7 3 6 4 3 2" xfId="9611" xr:uid="{024D285A-88B1-4A0B-A983-B0153CC40C75}"/>
    <cellStyle name="Comma 7 3 6 4 4" xfId="6319" xr:uid="{F923935B-902F-466E-8503-E478CB8056C9}"/>
    <cellStyle name="Comma 7 3 6 5" xfId="1991" xr:uid="{DBD5C6DC-B222-40A0-AF49-054D0F261CBB}"/>
    <cellStyle name="Comma 7 3 6 5 2" xfId="6556" xr:uid="{964AD3FB-8FFE-4819-9505-624C7B75AEEE}"/>
    <cellStyle name="Comma 7 3 6 6" xfId="5263" xr:uid="{0C218D85-87A3-4A61-AB68-9AAA3ADB60E7}"/>
    <cellStyle name="Comma 7 3 6 6 2" xfId="9485" xr:uid="{189D8F4A-226B-4DEC-973C-388FB7314CBA}"/>
    <cellStyle name="Comma 7 3 6 7" xfId="5577" xr:uid="{FFFDF064-3481-475C-97CC-424C685067AB}"/>
    <cellStyle name="Comma 7 3 7" xfId="995" xr:uid="{FB860476-E860-4C20-B73A-649ACE961B27}"/>
    <cellStyle name="Comma 7 3 7 2" xfId="1363" xr:uid="{97B7B89A-D51B-4E7C-B04E-CC5654957BD2}"/>
    <cellStyle name="Comma 7 3 7 2 2" xfId="2343" xr:uid="{45FAE977-E79A-446D-ACB6-ECAC9BEC6065}"/>
    <cellStyle name="Comma 7 3 7 2 2 2" xfId="6908" xr:uid="{A64C9DD5-836C-45AA-BAE2-2F9DF8E09561}"/>
    <cellStyle name="Comma 7 3 7 2 3" xfId="5361" xr:uid="{A90B5B93-8752-4D56-87F9-B0F498EE0635}"/>
    <cellStyle name="Comma 7 3 7 2 3 2" xfId="9539" xr:uid="{1F392FDB-F4E6-4E91-8F31-010ABA936857}"/>
    <cellStyle name="Comma 7 3 7 2 4" xfId="5929" xr:uid="{0128C4AF-1757-4F25-AD86-CBABD5406570}"/>
    <cellStyle name="Comma 7 3 7 3" xfId="1597" xr:uid="{2B699FFF-0EFC-49D6-BA31-01B70431DE25}"/>
    <cellStyle name="Comma 7 3 7 3 2" xfId="2577" xr:uid="{57A17AB5-B2DF-4D89-8B24-25DCA534933E}"/>
    <cellStyle name="Comma 7 3 7 3 2 2" xfId="7142" xr:uid="{27E84E31-5F4E-48D3-9352-1E1DA2E2DA9E}"/>
    <cellStyle name="Comma 7 3 7 3 3" xfId="5401" xr:uid="{60C34082-781D-43D1-825E-C70DCDB34B5D}"/>
    <cellStyle name="Comma 7 3 7 3 3 2" xfId="9578" xr:uid="{587B2C73-B9C0-4871-974B-B7A4A6CCE6D6}"/>
    <cellStyle name="Comma 7 3 7 3 4" xfId="6163" xr:uid="{2A78898B-0324-4D1B-951F-47B22FB36609}"/>
    <cellStyle name="Comma 7 3 7 4" xfId="1831" xr:uid="{783116D0-D83B-4FFB-AC28-C3E31CE06DB5}"/>
    <cellStyle name="Comma 7 3 7 4 2" xfId="2810" xr:uid="{A383110F-6B92-4502-8168-A6476B6D553E}"/>
    <cellStyle name="Comma 7 3 7 4 2 2" xfId="7375" xr:uid="{D4FADCDE-3CE4-45FF-9D95-3E1379454D49}"/>
    <cellStyle name="Comma 7 3 7 4 3" xfId="5454" xr:uid="{166C576D-2374-40EC-9B62-ECE98C3AA5FE}"/>
    <cellStyle name="Comma 7 3 7 4 3 2" xfId="9630" xr:uid="{6D9170F0-B6A4-4237-9D05-3274EE7C7C1F}"/>
    <cellStyle name="Comma 7 3 7 4 4" xfId="6396" xr:uid="{5D0A5E0C-0DF6-4480-8EE6-0747D0A77E85}"/>
    <cellStyle name="Comma 7 3 7 5" xfId="2068" xr:uid="{4F50467D-E999-4F07-BBD1-FA8AD9F2435E}"/>
    <cellStyle name="Comma 7 3 7 5 2" xfId="6633" xr:uid="{0110F3EB-EC01-4302-9164-A03C2768FEC4}"/>
    <cellStyle name="Comma 7 3 7 6" xfId="5273" xr:uid="{5F1205C9-53BA-47EE-9F5D-25CD2319D2C5}"/>
    <cellStyle name="Comma 7 3 7 6 2" xfId="9495" xr:uid="{7A8C6D87-40A0-4222-BDA5-B21F7830AB82}"/>
    <cellStyle name="Comma 7 3 7 7" xfId="5654" xr:uid="{7F3B6217-6775-463C-BC99-981AD01BCEF3}"/>
    <cellStyle name="Comma 7 3 8" xfId="1116" xr:uid="{77168CD0-5BF3-4860-8883-166104C83D7E}"/>
    <cellStyle name="Comma 7 3 8 2" xfId="2149" xr:uid="{BA2127BD-5531-473F-B018-E09A320D7446}"/>
    <cellStyle name="Comma 7 3 8 2 2" xfId="6714" xr:uid="{86947D17-CF57-4970-A501-40A7EFC9704E}"/>
    <cellStyle name="Comma 7 3 8 3" xfId="5296" xr:uid="{CEAAA5D8-FCE6-4F7B-9896-2006EF2A8FCD}"/>
    <cellStyle name="Comma 7 3 8 3 2" xfId="9510" xr:uid="{1FCA2508-B0C1-4FA4-ABFB-7A3DA43F2A84}"/>
    <cellStyle name="Comma 7 3 8 4" xfId="5735" xr:uid="{D6D8985F-F0C9-4F8D-B27A-43081F6E9AC2}"/>
    <cellStyle name="Comma 7 3 9" xfId="1203" xr:uid="{6C32C527-3060-4161-B611-B73F85CB186C}"/>
    <cellStyle name="Comma 7 3 9 2" xfId="2189" xr:uid="{08D3CD0B-EBB9-474C-8C0C-B81E250FBF82}"/>
    <cellStyle name="Comma 7 3 9 2 2" xfId="6754" xr:uid="{C79B4802-3A24-4F92-B99E-9C3353A7C39B}"/>
    <cellStyle name="Comma 7 3 9 3" xfId="5329" xr:uid="{99AFC281-3155-471F-9EF0-62BD0AC0EFD6}"/>
    <cellStyle name="Comma 7 3 9 3 2" xfId="9515" xr:uid="{790939D1-5B53-46F8-9604-5B4B0A4DDBE4}"/>
    <cellStyle name="Comma 7 3 9 4" xfId="5775" xr:uid="{C4DBA878-1EA7-4000-A585-77E2E29520C3}"/>
    <cellStyle name="Comma 7 4" xfId="250" xr:uid="{BBF6048C-B0F5-4548-A1F9-C3A98912412E}"/>
    <cellStyle name="Comma 7 5" xfId="688" xr:uid="{C978FBDE-C333-49BE-86C9-0F2D45D204D9}"/>
    <cellStyle name="Comma 7 5 2" xfId="972" xr:uid="{22F4847E-A6DA-4542-8FCC-C4E05717CA3B}"/>
    <cellStyle name="Comma 7 5 2 2" xfId="4155" xr:uid="{9DDA4C97-9CCE-426A-B885-9DE10199998E}"/>
    <cellStyle name="Comma 7 5 3" xfId="1119" xr:uid="{9FFAF6CA-9690-4247-88CE-1BB168968331}"/>
    <cellStyle name="Comma 7 5 3 2" xfId="5297" xr:uid="{CA67803A-1E27-4BDE-B8F0-7E4328522E76}"/>
    <cellStyle name="Comma 7 6" xfId="1115" xr:uid="{EFA3E706-38F8-4645-8723-5C615A725F30}"/>
    <cellStyle name="Comma 7 6 2" xfId="5295" xr:uid="{3F8D7F0A-E94C-4D6F-9312-B8B8FC967A90}"/>
    <cellStyle name="Comma 8" xfId="251" xr:uid="{7A10F523-B99F-444A-A928-DE2B99D8B404}"/>
    <cellStyle name="Comma 8 2" xfId="252" xr:uid="{B7D95369-DBD9-47B9-9C7C-03CBAC0BDB79}"/>
    <cellStyle name="Comma 8 2 2" xfId="4372" xr:uid="{45D73D0C-51C7-44F4-A90D-84BFFFA7994F}"/>
    <cellStyle name="Comma 8 2 3" xfId="4234" xr:uid="{1EC1CBFA-532E-438E-A7CA-01866AC44C88}"/>
    <cellStyle name="Comma 8 3" xfId="3011" xr:uid="{F772FB0B-17C9-4908-B706-D540836A547B}"/>
    <cellStyle name="Comma 8 3 2" xfId="4510" xr:uid="{FFF19D89-9648-4E7A-86D7-EFD9E6422B74}"/>
    <cellStyle name="Comma 8 3 3" xfId="4235" xr:uid="{DF5E5A83-9DB7-4712-8CB1-6645AC2A3423}"/>
    <cellStyle name="Comma 8 4" xfId="2971" xr:uid="{F1DB4355-41F3-4CA3-862D-EC0F77418697}"/>
    <cellStyle name="Comma 8 4 2" xfId="4541" xr:uid="{3A1BB18F-E906-4973-8121-BC77875AAE06}"/>
    <cellStyle name="Comma 8 4 3" xfId="4371" xr:uid="{71CF6B8F-A440-4263-AE30-1F5B7AC1686E}"/>
    <cellStyle name="Comma 9" xfId="253" xr:uid="{98CD3534-BA08-4F49-A8C5-F7247175D65B}"/>
    <cellStyle name="Comma 9 2" xfId="254" xr:uid="{2727B077-DFA6-4D8F-9455-97288EC46901}"/>
    <cellStyle name="Comma 9 3" xfId="3012" xr:uid="{C34F6513-2E4A-44A8-8EA2-B236870F7F86}"/>
    <cellStyle name="Comma 9 4" xfId="2972" xr:uid="{D44EBD8F-2EE9-4572-B982-137B6661117B}"/>
    <cellStyle name="Currency 2" xfId="255" xr:uid="{ADEC8191-1ED4-47DE-BC6F-AB8553A7B142}"/>
    <cellStyle name="Currency 2 2" xfId="256" xr:uid="{C3B6BB79-B834-4277-9C02-5A323DA392DC}"/>
    <cellStyle name="Currency 2 2 2" xfId="257" xr:uid="{9C451477-1629-4F13-AE9F-F06B785602A6}"/>
    <cellStyle name="Currency 2 2 2 2" xfId="685" xr:uid="{9AC33DE9-3076-4E05-B0F9-2B9F675A5640}"/>
    <cellStyle name="Currency 2 2 3" xfId="258" xr:uid="{946EAA75-F4F6-4485-8B90-950023B1F8AE}"/>
    <cellStyle name="Currency 2 2 3 2" xfId="684" xr:uid="{08D725E3-58A6-416C-982A-2FBF47EF2A88}"/>
    <cellStyle name="Currency 2 2 4" xfId="683" xr:uid="{734FBEAF-7496-4171-895E-4130429FEE14}"/>
    <cellStyle name="Currency 2 3" xfId="259" xr:uid="{4C1CF0DB-5A7A-469E-8595-99E6E50C8635}"/>
    <cellStyle name="Currency 2 3 2" xfId="260" xr:uid="{E81735A1-7A39-4714-8E3C-676D8FE7A33C}"/>
    <cellStyle name="Currency 2 3 2 2" xfId="682" xr:uid="{730CF1B6-6ED7-4DA0-8298-9EC7C04E1596}"/>
    <cellStyle name="Currency 2 3 3" xfId="261" xr:uid="{854F6A65-842E-482C-A916-157BA2B58E05}"/>
    <cellStyle name="Currency 2 3 3 2" xfId="681" xr:uid="{823F1BEA-70B0-4F86-93D9-DDEF7886D998}"/>
    <cellStyle name="Currency 2 3 4" xfId="680" xr:uid="{70F03B20-41AA-4112-97D9-1A7A1949F591}"/>
    <cellStyle name="Currency 2 4" xfId="262" xr:uid="{F125F868-55D9-48F2-BFC4-25F35502AC2D}"/>
    <cellStyle name="Currency 2 5" xfId="679" xr:uid="{A2B7E157-03A4-4D15-BEEB-B915AE657188}"/>
    <cellStyle name="Currency 2 6" xfId="678" xr:uid="{139C50A0-6888-43DC-B053-A5EBE5A699FD}"/>
    <cellStyle name="Currency 2 6 10" xfId="5515" xr:uid="{E45BF096-E0A6-4F74-BCE0-B700831BDEC8}"/>
    <cellStyle name="Currency 2 6 2" xfId="921" xr:uid="{D7A9DFDB-2BD1-48A2-9696-59DCB83676A7}"/>
    <cellStyle name="Currency 2 6 2 2" xfId="1299" xr:uid="{C519F9D4-2D2F-418A-8072-30D29AD3423D}"/>
    <cellStyle name="Currency 2 6 2 2 2" xfId="2281" xr:uid="{A4786A8C-DC0C-4968-B56B-78E9860D5365}"/>
    <cellStyle name="Currency 2 6 2 2 2 2" xfId="5136" xr:uid="{4B1C2FC3-1D4C-40FE-8680-AB1AB624C782}"/>
    <cellStyle name="Currency 2 6 2 2 2 2 2" xfId="9361" xr:uid="{747DD85F-15EC-4B5B-853C-CCA4BE5189C1}"/>
    <cellStyle name="Currency 2 6 2 2 2 3" xfId="3628" xr:uid="{C0463630-6951-44D7-B136-97B287DCE932}"/>
    <cellStyle name="Currency 2 6 2 2 2 3 2" xfId="8095" xr:uid="{036EEDE5-4F22-4F38-B0D6-7740704AC27B}"/>
    <cellStyle name="Currency 2 6 2 2 2 4" xfId="6846" xr:uid="{8230490A-83A6-43FA-8E8F-95211D7CAFEF}"/>
    <cellStyle name="Currency 2 6 2 2 3" xfId="4034" xr:uid="{7D108EEE-4336-49C9-B559-3DD37C8A30C1}"/>
    <cellStyle name="Currency 2 6 2 2 3 2" xfId="8483" xr:uid="{07582C31-6F0A-4770-8AAD-5E0BF4D33F84}"/>
    <cellStyle name="Currency 2 6 2 2 4" xfId="4752" xr:uid="{41503108-776B-4841-9F19-E32A80E89FE1}"/>
    <cellStyle name="Currency 2 6 2 2 4 2" xfId="8998" xr:uid="{1E9EC61A-C500-43A9-8AE1-D39FC5B667DB}"/>
    <cellStyle name="Currency 2 6 2 2 5" xfId="3212" xr:uid="{85AB2C40-98CC-433A-B21A-F67101E6B91D}"/>
    <cellStyle name="Currency 2 6 2 2 5 2" xfId="7707" xr:uid="{322A4141-0F18-4DB8-9DA5-C867476073E3}"/>
    <cellStyle name="Currency 2 6 2 2 6" xfId="5867" xr:uid="{26312572-E547-4CF9-8FAA-0E9681A99785}"/>
    <cellStyle name="Currency 2 6 2 3" xfId="1535" xr:uid="{2C4020F9-261D-431B-8D7A-9E53F8870D52}"/>
    <cellStyle name="Currency 2 6 2 3 2" xfId="2515" xr:uid="{84ADBAF7-91BC-42FF-9688-0FB0FA56931C}"/>
    <cellStyle name="Currency 2 6 2 3 2 2" xfId="5241" xr:uid="{C8C99D92-7DD9-47BD-8885-25391590868D}"/>
    <cellStyle name="Currency 2 6 2 3 2 2 2" xfId="9466" xr:uid="{A7684AC8-8E01-41AB-8F6D-FBF1DC6AAE5E}"/>
    <cellStyle name="Currency 2 6 2 3 2 3" xfId="3733" xr:uid="{370D0B94-B083-4241-BEFE-1F59654BD3AD}"/>
    <cellStyle name="Currency 2 6 2 3 2 3 2" xfId="8200" xr:uid="{BE3A8244-749B-4DA9-ABF7-3AE47D688EA1}"/>
    <cellStyle name="Currency 2 6 2 3 2 4" xfId="7080" xr:uid="{37FCEAA3-D1FC-4350-A441-D9DAEA9AA284}"/>
    <cellStyle name="Currency 2 6 2 3 3" xfId="4139" xr:uid="{EA557329-6AE8-42A5-855D-EC90FF42D895}"/>
    <cellStyle name="Currency 2 6 2 3 3 2" xfId="8588" xr:uid="{94140D6B-82B3-47C6-B779-2601CDE7C922}"/>
    <cellStyle name="Currency 2 6 2 3 4" xfId="4828" xr:uid="{52172FDE-56BE-4CFF-BF71-11974A380586}"/>
    <cellStyle name="Currency 2 6 2 3 4 2" xfId="9074" xr:uid="{0849B743-FAED-44F8-AC93-3833B37D73B4}"/>
    <cellStyle name="Currency 2 6 2 3 5" xfId="3323" xr:uid="{982940CF-6FD9-4B3F-A674-C093D6EB32D1}"/>
    <cellStyle name="Currency 2 6 2 3 5 2" xfId="7812" xr:uid="{2C27473E-5672-400B-9E56-5CB13A7A3BAF}"/>
    <cellStyle name="Currency 2 6 2 3 6" xfId="6101" xr:uid="{4570D358-709C-4C67-97E4-1F334908E190}"/>
    <cellStyle name="Currency 2 6 2 4" xfId="1769" xr:uid="{DD781C64-7D73-4BB2-97E5-46AD06EA08B0}"/>
    <cellStyle name="Currency 2 6 2 4 2" xfId="2748" xr:uid="{E6903B89-545C-471A-AA8E-3F0889BFE249}"/>
    <cellStyle name="Currency 2 6 2 4 2 2" xfId="5032" xr:uid="{44827AE3-CFC8-41D4-BA79-74A2928B17E2}"/>
    <cellStyle name="Currency 2 6 2 4 2 2 2" xfId="9258" xr:uid="{CED0E60E-650F-4B06-A4A1-832C7DF58501}"/>
    <cellStyle name="Currency 2 6 2 4 2 3" xfId="3523" xr:uid="{391F6567-F553-4546-AC70-78D0FA932E0A}"/>
    <cellStyle name="Currency 2 6 2 4 2 3 2" xfId="7990" xr:uid="{04AE22C3-4A2C-411B-827E-EE6E7A87276F}"/>
    <cellStyle name="Currency 2 6 2 4 2 4" xfId="7313" xr:uid="{B6B71E4B-80DF-4181-A17B-2EE395AE0E9F}"/>
    <cellStyle name="Currency 2 6 2 4 3" xfId="3929" xr:uid="{0BF56CFA-1118-4665-B156-3C92830EB897}"/>
    <cellStyle name="Currency 2 6 2 4 3 2" xfId="8378" xr:uid="{8EA8D948-D879-4127-9337-E4A5678F68A0}"/>
    <cellStyle name="Currency 2 6 2 4 4" xfId="4670" xr:uid="{BCE79F33-9A63-4EE9-AC70-02020D3A7DC5}"/>
    <cellStyle name="Currency 2 6 2 4 4 2" xfId="8916" xr:uid="{DC900AFD-56DE-40D4-8CCF-6215FE06267C}"/>
    <cellStyle name="Currency 2 6 2 4 5" xfId="3096" xr:uid="{A2F51FEE-E1B4-487E-AC21-63B67C02AD64}"/>
    <cellStyle name="Currency 2 6 2 4 5 2" xfId="7602" xr:uid="{FF365A9B-3411-4A38-8D6D-8D63B2EBC05E}"/>
    <cellStyle name="Currency 2 6 2 4 6" xfId="6334" xr:uid="{84102F81-3056-4AC7-ACFE-E0C56BFC8F1A}"/>
    <cellStyle name="Currency 2 6 2 5" xfId="2006" xr:uid="{D9672092-E2B1-4650-B6A8-5F322EE61605}"/>
    <cellStyle name="Currency 2 6 2 5 2" xfId="4616" xr:uid="{889F7183-FA87-4099-95F2-7D0D5885FA6E}"/>
    <cellStyle name="Currency 2 6 2 5 2 2" xfId="8864" xr:uid="{E2AC0CB1-3D60-487E-87B8-49B11B400A53}"/>
    <cellStyle name="Currency 2 6 2 5 3" xfId="3415" xr:uid="{1DC2F19D-24BE-4CA1-88A8-E8AA7DAC574C}"/>
    <cellStyle name="Currency 2 6 2 5 3 2" xfId="7883" xr:uid="{8C1717F7-1FCF-42CA-AE93-FB600D4625B0}"/>
    <cellStyle name="Currency 2 6 2 5 4" xfId="6571" xr:uid="{05052317-B1FA-4AD5-960E-02BB20D7D966}"/>
    <cellStyle name="Currency 2 6 2 6" xfId="3822" xr:uid="{1D206B98-E11B-405F-87BE-751B229D66B8}"/>
    <cellStyle name="Currency 2 6 2 6 2" xfId="4911" xr:uid="{5719476B-7383-4FA1-87E5-0FA748D633AD}"/>
    <cellStyle name="Currency 2 6 2 6 2 2" xfId="9141" xr:uid="{B6841952-C29B-4DD0-8DF2-96677C823568}"/>
    <cellStyle name="Currency 2 6 2 6 3" xfId="8271" xr:uid="{CAF5AFD1-2F5F-41F4-94B5-F04FB5802263}"/>
    <cellStyle name="Currency 2 6 2 7" xfId="4469" xr:uid="{4D7FBA7D-20D7-43AF-9FD8-788FFAD7EA9E}"/>
    <cellStyle name="Currency 2 6 2 7 2" xfId="8746" xr:uid="{C62B1703-CF5B-4AD2-9942-AB4747433EA8}"/>
    <cellStyle name="Currency 2 6 2 8" xfId="2933" xr:uid="{D88FBEA8-93D5-4BDC-8826-574474734DB2}"/>
    <cellStyle name="Currency 2 6 2 8 2" xfId="7495" xr:uid="{14D79829-7F6F-4256-9850-A9E8F46C6148}"/>
    <cellStyle name="Currency 2 6 2 9" xfId="5592" xr:uid="{3A8807E5-187E-49F4-A9BB-02170A7E85C3}"/>
    <cellStyle name="Currency 2 6 3" xfId="1010" xr:uid="{C923071E-36DF-49F5-BB10-68DF3545FF56}"/>
    <cellStyle name="Currency 2 6 3 2" xfId="1378" xr:uid="{9D699C23-3C24-4891-B30B-47F3DAAAF0CC}"/>
    <cellStyle name="Currency 2 6 3 2 2" xfId="2358" xr:uid="{8CA9D709-26AE-43D5-874E-6B5E5CCE9C4B}"/>
    <cellStyle name="Currency 2 6 3 2 2 2" xfId="5102" xr:uid="{D072B826-481B-4990-8D8E-B2528D0AEB82}"/>
    <cellStyle name="Currency 2 6 3 2 2 2 2" xfId="9327" xr:uid="{594839AC-7108-4F60-8225-EB64C1E42D71}"/>
    <cellStyle name="Currency 2 6 3 2 2 3" xfId="6923" xr:uid="{9BF4041C-5692-409E-A9BC-594EF1183A73}"/>
    <cellStyle name="Currency 2 6 3 2 3" xfId="3594" xr:uid="{A931CE56-CE5D-4C5D-A4DE-0DA48FA7AC8D}"/>
    <cellStyle name="Currency 2 6 3 2 3 2" xfId="8061" xr:uid="{51319948-510B-4122-B8A3-928979BA5A8F}"/>
    <cellStyle name="Currency 2 6 3 2 4" xfId="5944" xr:uid="{6B027745-D342-48E2-9C66-2AB1BE83A7DC}"/>
    <cellStyle name="Currency 2 6 3 3" xfId="1612" xr:uid="{3B9233EC-27C6-4E47-ABDB-41D6BD479F7A}"/>
    <cellStyle name="Currency 2 6 3 3 2" xfId="2592" xr:uid="{6551229D-FD62-4869-BEF3-729D62341CAF}"/>
    <cellStyle name="Currency 2 6 3 3 2 2" xfId="7157" xr:uid="{E091268E-6A2B-4552-BA75-5C5CB1EDDD15}"/>
    <cellStyle name="Currency 2 6 3 3 3" xfId="4000" xr:uid="{1CF1B420-B9F3-4F62-B8B3-D31BD9756D8A}"/>
    <cellStyle name="Currency 2 6 3 3 3 2" xfId="8449" xr:uid="{48FEDC22-A3D8-4256-91D8-4EEBA6F25139}"/>
    <cellStyle name="Currency 2 6 3 3 4" xfId="6178" xr:uid="{EA40C36F-537D-4DCE-B162-45700501E54A}"/>
    <cellStyle name="Currency 2 6 3 4" xfId="1846" xr:uid="{1AF30F26-A2F6-450E-ABD3-750EBE6EA65A}"/>
    <cellStyle name="Currency 2 6 3 4 2" xfId="2825" xr:uid="{397D408B-7893-4E50-A31A-24D1EA98B7A0}"/>
    <cellStyle name="Currency 2 6 3 4 2 2" xfId="7390" xr:uid="{A5CE2167-4B15-490F-B1B7-EA2F4C1F162A}"/>
    <cellStyle name="Currency 2 6 3 4 3" xfId="4611" xr:uid="{2F8923B9-8438-4E4D-8987-D73144535F9C}"/>
    <cellStyle name="Currency 2 6 3 4 3 2" xfId="8863" xr:uid="{C07ED447-01FF-44DC-A89B-BAF7BBD1C33E}"/>
    <cellStyle name="Currency 2 6 3 4 4" xfId="6411" xr:uid="{8EBFDB3B-CBEC-47E4-B61F-870019BA109D}"/>
    <cellStyle name="Currency 2 6 3 5" xfId="2083" xr:uid="{F1C42FD8-AD39-470F-A484-AFBD4E7EEA7B}"/>
    <cellStyle name="Currency 2 6 3 5 2" xfId="6648" xr:uid="{7F12ABF0-52F8-4D7D-A8D7-62237095A081}"/>
    <cellStyle name="Currency 2 6 3 6" xfId="3178" xr:uid="{E5974238-59E8-4340-824E-83D025928386}"/>
    <cellStyle name="Currency 2 6 3 6 2" xfId="7673" xr:uid="{8EBE2681-77BA-4287-A3AD-2A3AC61F8D05}"/>
    <cellStyle name="Currency 2 6 3 7" xfId="5669" xr:uid="{87B147CC-B6BA-49D1-A545-CBA87B58D09D}"/>
    <cellStyle name="Currency 2 6 4" xfId="1120" xr:uid="{710A9389-9516-418C-AD7A-2A6F47490350}"/>
    <cellStyle name="Currency 2 6 4 2" xfId="2151" xr:uid="{2150357F-0EB5-4516-88FB-13FFE9104DD8}"/>
    <cellStyle name="Currency 2 6 4 2 2" xfId="5207" xr:uid="{9A314BF8-3315-40C9-864A-D0E8FB2A73DB}"/>
    <cellStyle name="Currency 2 6 4 2 2 2" xfId="9432" xr:uid="{86762479-3A00-4EB6-9031-58F8790F53BF}"/>
    <cellStyle name="Currency 2 6 4 2 3" xfId="3699" xr:uid="{FE261EE5-AF0D-4931-9F4E-8CF79A8EA8FA}"/>
    <cellStyle name="Currency 2 6 4 2 3 2" xfId="8166" xr:uid="{6BDE35AB-89F1-4AC4-8D5E-8132242A2282}"/>
    <cellStyle name="Currency 2 6 4 2 4" xfId="6716" xr:uid="{9ED485F7-0DAE-426D-8CDC-856E216DA985}"/>
    <cellStyle name="Currency 2 6 4 3" xfId="4105" xr:uid="{3382E339-221D-4F02-B5F9-DE1DEFEE4032}"/>
    <cellStyle name="Currency 2 6 4 3 2" xfId="8554" xr:uid="{3A211533-106B-4A84-9488-AB3145AEDAFD}"/>
    <cellStyle name="Currency 2 6 4 4" xfId="4807" xr:uid="{06AC5A09-D51B-4BB5-A68E-FA049DAB3195}"/>
    <cellStyle name="Currency 2 6 4 4 2" xfId="9053" xr:uid="{A64CEAE5-0F65-4694-9BE7-BD7848BFE504}"/>
    <cellStyle name="Currency 2 6 4 5" xfId="3285" xr:uid="{9E865A58-ACCD-4FC5-A044-B544738DC82E}"/>
    <cellStyle name="Currency 2 6 4 5 2" xfId="7778" xr:uid="{FE91CD5D-BB12-497E-9D1D-5151FF314617}"/>
    <cellStyle name="Currency 2 6 4 6" xfId="5737" xr:uid="{5690380C-B21F-4088-8B8D-80381621E751}"/>
    <cellStyle name="Currency 2 6 5" xfId="1220" xr:uid="{7F96E3FB-02C2-4ACA-89C5-DA7475EE8034}"/>
    <cellStyle name="Currency 2 6 5 2" xfId="2204" xr:uid="{DCB3C187-D84B-401F-9C48-B3AC487F77DD}"/>
    <cellStyle name="Currency 2 6 5 2 2" xfId="4956" xr:uid="{32E07FFC-1443-4D00-8B84-5D3048E12044}"/>
    <cellStyle name="Currency 2 6 5 2 2 2" xfId="9186" xr:uid="{7F0A78C4-6975-4D0F-8DD7-BA3EC9E53951}"/>
    <cellStyle name="Currency 2 6 5 2 3" xfId="3489" xr:uid="{62C4361E-8B84-45EB-89C0-364B5793278E}"/>
    <cellStyle name="Currency 2 6 5 2 3 2" xfId="7956" xr:uid="{35D662E5-F3B2-4C64-9BBA-4D48F505EE83}"/>
    <cellStyle name="Currency 2 6 5 2 4" xfId="6769" xr:uid="{BB861F22-8FC1-4500-A965-487CBCA789D9}"/>
    <cellStyle name="Currency 2 6 5 3" xfId="3895" xr:uid="{EC1254C7-C329-4B8D-ABA7-62909151B245}"/>
    <cellStyle name="Currency 2 6 5 3 2" xfId="8344" xr:uid="{33BD7979-6361-466E-A192-19488E3730D4}"/>
    <cellStyle name="Currency 2 6 5 4" xfId="4641" xr:uid="{CEFF4B78-8C18-4E0D-8B06-787AD3AEC047}"/>
    <cellStyle name="Currency 2 6 5 4 2" xfId="8887" xr:uid="{4C4BE02B-9A37-47C8-8C51-E7AEC56439BF}"/>
    <cellStyle name="Currency 2 6 5 5" xfId="3058" xr:uid="{B0549C2C-3A4B-49F7-9E30-B3080279C427}"/>
    <cellStyle name="Currency 2 6 5 5 2" xfId="7568" xr:uid="{5FCE70CA-0C78-4739-8382-6749217CFC2B}"/>
    <cellStyle name="Currency 2 6 5 6" xfId="5790" xr:uid="{2F2208B2-0E34-4320-A92C-A49A24835185}"/>
    <cellStyle name="Currency 2 6 6" xfId="1458" xr:uid="{7D9C5AAA-1C40-4FBC-9C77-0064233D07F1}"/>
    <cellStyle name="Currency 2 6 6 2" xfId="2438" xr:uid="{0DA49656-6FF3-4A98-A293-04E2BEB303A6}"/>
    <cellStyle name="Currency 2 6 6 2 2" xfId="4983" xr:uid="{FA37F7A2-527F-46DB-A321-21906EA86A5F}"/>
    <cellStyle name="Currency 2 6 6 2 2 2" xfId="9212" xr:uid="{F41FD3BA-802A-4966-97BA-1438CB3FFBA9}"/>
    <cellStyle name="Currency 2 6 6 2 3" xfId="7003" xr:uid="{FAE9798E-AE2F-4C5F-B6E0-C51B7C0B7A72}"/>
    <cellStyle name="Currency 2 6 6 3" xfId="3362" xr:uid="{45F8702F-537C-4D2D-A9F9-93A3BD3CBDE0}"/>
    <cellStyle name="Currency 2 6 6 3 2" xfId="7849" xr:uid="{4A3F17AA-F686-4286-9EDD-43DBCC90002A}"/>
    <cellStyle name="Currency 2 6 6 4" xfId="6024" xr:uid="{531CA47C-5B3D-4A14-8747-F0E6D4606B58}"/>
    <cellStyle name="Currency 2 6 7" xfId="1700" xr:uid="{92B12EE8-6BCF-451D-86BA-BA03F2202646}"/>
    <cellStyle name="Currency 2 6 7 2" xfId="2680" xr:uid="{28461F47-6A1D-4DCF-A302-5B4F99E222DF}"/>
    <cellStyle name="Currency 2 6 7 2 2" xfId="7245" xr:uid="{202A1AF7-C56E-41D6-A728-E071879829CD}"/>
    <cellStyle name="Currency 2 6 7 3" xfId="3785" xr:uid="{24EDD09E-51E2-48BE-B6E4-5CA8A3200BBB}"/>
    <cellStyle name="Currency 2 6 7 3 2" xfId="8237" xr:uid="{BEF2248D-0D56-4D61-9F36-DCC6336DEC1D}"/>
    <cellStyle name="Currency 2 6 7 4" xfId="6266" xr:uid="{B644324B-8148-4D7B-83B4-0584B1955936}"/>
    <cellStyle name="Currency 2 6 8" xfId="1929" xr:uid="{62965F04-F795-40F3-B5F2-75B34A584999}"/>
    <cellStyle name="Currency 2 6 8 2" xfId="4373" xr:uid="{DAA1CCC0-B75A-48AB-9871-A61D3FEE959A}"/>
    <cellStyle name="Currency 2 6 8 2 2" xfId="8674" xr:uid="{C51FA00A-A42F-4EA1-8A20-1E48C1A05C16}"/>
    <cellStyle name="Currency 2 6 8 3" xfId="6494" xr:uid="{BFE62208-9C16-4EDF-9805-BDC728CC8FD4}"/>
    <cellStyle name="Currency 2 6 9" xfId="2897" xr:uid="{98B8309D-5D27-4C22-B712-6C516F418CC8}"/>
    <cellStyle name="Currency 2 6 9 2" xfId="7461" xr:uid="{D8EA0EC8-BEEB-4DE6-A9FD-21350757926F}"/>
    <cellStyle name="Currency 3" xfId="263" xr:uid="{AA0939F2-8533-485F-B3E0-8CC0412940CF}"/>
    <cellStyle name="Currency 3 2" xfId="264" xr:uid="{DC4CAAD3-8CC3-4EF2-B280-F2C76EBCA64A}"/>
    <cellStyle name="Currency 3 2 2" xfId="265" xr:uid="{E1E94EEF-4DDE-4707-B147-B2461E17D22B}"/>
    <cellStyle name="Currency 3 2 2 2" xfId="677" xr:uid="{107F72A1-A786-4597-92EE-A69C6938950A}"/>
    <cellStyle name="Currency 3 2 3" xfId="266" xr:uid="{F7DAA463-2DAB-46B1-93DD-AF4AF9399816}"/>
    <cellStyle name="Currency 3 2 3 2" xfId="676" xr:uid="{014B6364-2593-4034-8340-6EE8C5FC74E7}"/>
    <cellStyle name="Currency 3 2 4" xfId="675" xr:uid="{C5FE0133-1A58-4B85-ACBD-D27B9961B249}"/>
    <cellStyle name="Currency 3 3" xfId="267" xr:uid="{EAD6743A-B6E4-40BD-AA35-33993485279F}"/>
    <cellStyle name="Currency 3 3 2" xfId="674" xr:uid="{0F96BA4A-EC3F-4D4D-97EF-1BCCDF39DF68}"/>
    <cellStyle name="Currency 3 3 3" xfId="673" xr:uid="{AD72E54F-47C5-4DF1-A026-19F929E76780}"/>
    <cellStyle name="Currency 4" xfId="268" xr:uid="{3837DCAB-1BF4-4D6D-8776-95B6BEE8FB22}"/>
    <cellStyle name="Currency 4 2" xfId="269" xr:uid="{383DAF06-1966-43D6-B531-D268DA6602E0}"/>
    <cellStyle name="Currency 4 3" xfId="672" xr:uid="{FCC47667-4F1D-4EE4-AC5A-822DCBF8A00F}"/>
    <cellStyle name="Currency 4 3 2" xfId="892" xr:uid="{84202498-DC6A-4BB2-A817-26F6FDAAD95E}"/>
    <cellStyle name="Currency 4 3 3" xfId="1219" xr:uid="{C282BA7E-5DC7-4BFE-96E6-3B710D3FED7B}"/>
    <cellStyle name="Currency 4 3 3 2" xfId="5333" xr:uid="{B4EAEF50-F4C1-4824-B2AE-DA754F95C6E9}"/>
    <cellStyle name="Currency 4 4" xfId="1121" xr:uid="{E82CCDC4-9B34-413C-9A74-6A11CDFC9AE3}"/>
    <cellStyle name="Currency 4 4 2" xfId="5298" xr:uid="{91851133-C773-4E15-A697-0373E76CEFF4}"/>
    <cellStyle name="Currency 5" xfId="671" xr:uid="{5A0139C5-1960-44F4-81A5-E6C7DB89D79F}"/>
    <cellStyle name="Currency 6" xfId="270" xr:uid="{C9F8CAC9-7087-4D93-A810-96AB26B4E04C}"/>
    <cellStyle name="Explanatory Text 2" xfId="271" xr:uid="{FE8E9DFA-D40E-4ECD-A1A6-88FA4D89DC5C}"/>
    <cellStyle name="Explanatory Text 2 2" xfId="272" xr:uid="{B43BF8EB-52E3-4758-BF25-F23E7897138A}"/>
    <cellStyle name="Explanatory Text 2 3" xfId="273" xr:uid="{29B1C3B4-B36C-46D5-A2AA-BA60800842E8}"/>
    <cellStyle name="Explanatory Text 3" xfId="274" xr:uid="{7DD75FE1-7B7F-4EFC-9772-DC2EC3C3CAC2}"/>
    <cellStyle name="Explanatory Text 4" xfId="275" xr:uid="{84B6C373-EA53-42D4-BEB5-F5CD3362FEEF}"/>
    <cellStyle name="Good 2" xfId="276" xr:uid="{B7B407D1-4B47-45B9-8C7D-1DC13168A88A}"/>
    <cellStyle name="Good 2 2" xfId="277" xr:uid="{0BD75B24-9B93-4F45-A7C4-1BE31FED1270}"/>
    <cellStyle name="Good 2 3" xfId="278" xr:uid="{B1C98992-5415-40DA-9CB2-AFA69EB496B6}"/>
    <cellStyle name="Good 2 4" xfId="670" xr:uid="{8F62D97B-98E2-4081-9DBC-3E8A104D7CAC}"/>
    <cellStyle name="Good 2 5" xfId="669" xr:uid="{7798C726-0AAF-4FDE-85F7-17C35490BA66}"/>
    <cellStyle name="Good 2 6" xfId="1122" xr:uid="{BA6AF660-FD37-468D-AC0F-6E0CD9DF1ABD}"/>
    <cellStyle name="Good 3" xfId="279" xr:uid="{091A478A-B651-4796-909B-A89CD3BB1729}"/>
    <cellStyle name="Good 4" xfId="280" xr:uid="{0FEBA6D7-7D0E-4B84-B6C5-8A6F24335807}"/>
    <cellStyle name="Heading 1 2" xfId="281" xr:uid="{88DFD253-5D30-46CD-8EEC-C0FA283C11E6}"/>
    <cellStyle name="Heading 1 2 2" xfId="282" xr:uid="{80DC6FB3-7D5E-4724-BD24-6A8BB92B7D7B}"/>
    <cellStyle name="Heading 1 2 3" xfId="283" xr:uid="{43584A74-9626-404F-9D41-E19FF3F995D8}"/>
    <cellStyle name="Heading 1 2 4" xfId="668" xr:uid="{EA5CB095-BB55-45CF-BC61-95DED202FA38}"/>
    <cellStyle name="Heading 1 2 5" xfId="667" xr:uid="{A9F939D6-FB48-4650-91FF-C1D2A88581F8}"/>
    <cellStyle name="Heading 1 2 6" xfId="1123" xr:uid="{9084DD88-E5EE-4526-9301-EBE2FCCE3C99}"/>
    <cellStyle name="Heading 1 3" xfId="284" xr:uid="{ADA811B6-2066-4794-BBED-CDDAFA2164AF}"/>
    <cellStyle name="Heading 1 4" xfId="285" xr:uid="{94C49495-8688-49A0-9DB8-75E2F9719C90}"/>
    <cellStyle name="Heading 2 2" xfId="286" xr:uid="{1A07AA53-935D-4057-8AC9-A3B148DBD45B}"/>
    <cellStyle name="Heading 2 2 2" xfId="287" xr:uid="{0C7C027A-8B21-4512-9DC4-557ED9476F12}"/>
    <cellStyle name="Heading 2 2 3" xfId="288" xr:uid="{99580A4F-90D6-4275-8B94-CD9CC1BED164}"/>
    <cellStyle name="Heading 2 2 4" xfId="666" xr:uid="{B1254D6C-649D-4F78-A544-CC1DB9EBC906}"/>
    <cellStyle name="Heading 2 2 5" xfId="665" xr:uid="{015DB574-7979-4C97-B6E6-82681C4EAD61}"/>
    <cellStyle name="Heading 2 2 6" xfId="1124" xr:uid="{CE635455-F14E-470F-AA6C-C39A44CE6C45}"/>
    <cellStyle name="Heading 2 3" xfId="289" xr:uid="{D013C204-F137-4649-A5BA-85CB0C537D16}"/>
    <cellStyle name="Heading 2 4" xfId="290" xr:uid="{BADD73BE-B93D-4940-A192-4259C0E70BD3}"/>
    <cellStyle name="Heading 3 2" xfId="291" xr:uid="{D539755E-4C3B-4F59-AFC5-F4137D07D7F9}"/>
    <cellStyle name="Heading 3 2 2" xfId="292" xr:uid="{6C5E7FC8-FFF2-45A6-8666-85DECB6C7215}"/>
    <cellStyle name="Heading 3 2 3" xfId="293" xr:uid="{3FA62E40-F63D-42FD-8CB8-09D24C9E8E01}"/>
    <cellStyle name="Heading 3 2 4" xfId="664" xr:uid="{2BBF70B9-A106-431C-8F17-824F26593672}"/>
    <cellStyle name="Heading 3 2 5" xfId="663" xr:uid="{0E98E067-EFBD-4911-AEF7-714F47C33109}"/>
    <cellStyle name="Heading 3 2 6" xfId="1125" xr:uid="{6762DF22-EABA-426F-9C58-BA6136F54153}"/>
    <cellStyle name="Heading 3 3" xfId="294" xr:uid="{D00A1C50-F755-45C6-B02A-18569F2402FF}"/>
    <cellStyle name="Heading 3 4" xfId="295" xr:uid="{F8E1C5D9-6951-4D38-A89D-444DF0A7D6B2}"/>
    <cellStyle name="Heading 4 2" xfId="296" xr:uid="{0E4A8912-FAE4-4EB8-866E-59AEC7D94F31}"/>
    <cellStyle name="Heading 4 2 2" xfId="297" xr:uid="{A5DA4FB4-8310-40EC-A8B3-BC547FB48423}"/>
    <cellStyle name="Heading 4 2 3" xfId="298" xr:uid="{D0AAACA5-4CE1-44A8-BD6E-DFD004F3562E}"/>
    <cellStyle name="Heading 4 2 4" xfId="662" xr:uid="{4C8270DA-58D9-40BD-984C-E00EC3B9D3F5}"/>
    <cellStyle name="Heading 4 2 5" xfId="661" xr:uid="{232FBCE6-FE21-4633-84A1-39A333030106}"/>
    <cellStyle name="Heading 4 2 6" xfId="1126" xr:uid="{FE724D56-1B0A-4E3D-BBD3-DFDDC5DCBF59}"/>
    <cellStyle name="Heading 4 3" xfId="299" xr:uid="{A202A569-04A6-431F-88A6-4C25D9B7237C}"/>
    <cellStyle name="Heading 4 4" xfId="300" xr:uid="{0E1511A9-BDAF-4F53-9BF7-0E8F1A770570}"/>
    <cellStyle name="Hyperlink" xfId="2" builtinId="8"/>
    <cellStyle name="Hyperlink 17" xfId="2951" xr:uid="{295F351A-4922-49AF-A55C-5BCA4B56F616}"/>
    <cellStyle name="Hyperlink 2" xfId="15" xr:uid="{00000000-0005-0000-0000-000002000000}"/>
    <cellStyle name="Hyperlink 2 2" xfId="1052" xr:uid="{286E87C3-C222-4A06-A221-991B222BDFD8}"/>
    <cellStyle name="Hyperlink 2 2 2" xfId="4562" xr:uid="{7A60CFF8-EB49-42AC-A6B9-7A82D962ABEB}"/>
    <cellStyle name="Hyperlink 2 2 3" xfId="4374" xr:uid="{DD821948-1FFD-4CE1-83B5-75BC96E33BDA}"/>
    <cellStyle name="Hyperlink 2 2 4" xfId="2952" xr:uid="{879CE806-B6D7-4C82-A074-DFB185979C56}"/>
    <cellStyle name="Hyperlink 3" xfId="2898" xr:uid="{41299AF5-AE53-4D6C-A8BE-F36904CE7934}"/>
    <cellStyle name="Input 2" xfId="302" xr:uid="{C880A5AA-0F00-4893-9992-7991BD18A8E7}"/>
    <cellStyle name="Input 2 2" xfId="303" xr:uid="{9E488342-5087-4751-84F2-9F14AE77D961}"/>
    <cellStyle name="Input 2 3" xfId="304" xr:uid="{0B2C49E8-5F54-4A8F-A0D3-57A0F6F06CD4}"/>
    <cellStyle name="Input 2 4" xfId="660" xr:uid="{26F26568-8A1D-4949-9372-D6ADEBB4E7A3}"/>
    <cellStyle name="Input 2 5" xfId="659" xr:uid="{DC0B3F52-8BD6-48ED-AB93-83792BBE382E}"/>
    <cellStyle name="Input 2 6" xfId="1127" xr:uid="{7809EDD2-6692-4F8A-938C-1CFCCA336E77}"/>
    <cellStyle name="Input 3" xfId="305" xr:uid="{96487624-CA79-45E2-8AB6-ECC1CF28C447}"/>
    <cellStyle name="Input 4" xfId="306" xr:uid="{4E3DF37B-E967-4209-9AE2-2D4589FDE907}"/>
    <cellStyle name="Linked Cell 2" xfId="307" xr:uid="{0AE0A7C6-A8A8-4038-873B-E54F66E3E490}"/>
    <cellStyle name="Linked Cell 2 2" xfId="308" xr:uid="{4783E1BB-8868-4AF6-BE37-C42A46692D8F}"/>
    <cellStyle name="Linked Cell 2 3" xfId="309" xr:uid="{65153332-3ADA-4424-8139-C34EBBE54F66}"/>
    <cellStyle name="Linked Cell 2 4" xfId="658" xr:uid="{DA017B3C-4CD7-4F50-A20E-10D36ED5FF68}"/>
    <cellStyle name="Linked Cell 2 5" xfId="657" xr:uid="{50925ECC-D816-495B-B3D5-30D565D371BC}"/>
    <cellStyle name="Linked Cell 2 6" xfId="1128" xr:uid="{1AFD7662-53C9-4F3D-B396-1E08F553717E}"/>
    <cellStyle name="Linked Cell 3" xfId="310" xr:uid="{6C85A9FC-DFFD-431C-9D15-2888B8E50314}"/>
    <cellStyle name="Linked Cell 4" xfId="311" xr:uid="{2D51E286-2F3E-4432-A11E-A46737A1C04A}"/>
    <cellStyle name="Neutral 2" xfId="312" xr:uid="{9335E49A-3449-4057-9773-1F916B796977}"/>
    <cellStyle name="Neutral 2 2" xfId="313" xr:uid="{35EC477D-B05C-44FA-92C0-A5B4D18BAC15}"/>
    <cellStyle name="Neutral 2 2 2" xfId="4375" xr:uid="{E35AB302-43B8-4FC7-91E6-EDCE2D8AC346}"/>
    <cellStyle name="Neutral 2 2 3" xfId="4236" xr:uid="{382B2FE3-8A6D-4CEC-BF97-95DCAC25DE4C}"/>
    <cellStyle name="Neutral 2 3" xfId="314" xr:uid="{4C86D8A6-88CF-40B0-9F3C-C2161CAFC6EA}"/>
    <cellStyle name="Neutral 2 3 2" xfId="4376" xr:uid="{2784B0D0-BE19-4AB0-B349-63D6824A4DDD}"/>
    <cellStyle name="Neutral 2 3 3" xfId="4237" xr:uid="{8E7BB832-18F3-4363-AD35-C9B3E1FF6D65}"/>
    <cellStyle name="Neutral 2 4" xfId="656" xr:uid="{38A63D58-A082-4C8E-B91B-1023E9CBC7EE}"/>
    <cellStyle name="Neutral 2 4 2" xfId="4377" xr:uid="{EFDAC481-5CB6-4C99-9A7F-7606AD012ED9}"/>
    <cellStyle name="Neutral 2 4 3" xfId="4238" xr:uid="{FD996648-3B51-4B98-AFF6-09468FAFF399}"/>
    <cellStyle name="Neutral 2 5" xfId="655" xr:uid="{96B193F7-2318-4BD5-B330-9125E84E26C3}"/>
    <cellStyle name="Neutral 2 5 2" xfId="4378" xr:uid="{1FA962C2-B895-4AE9-A74C-6DC01E13F0F6}"/>
    <cellStyle name="Neutral 2 5 3" xfId="4239" xr:uid="{0FDE7D87-C22A-441C-85AE-E68A5A4E0C04}"/>
    <cellStyle name="Neutral 2 6" xfId="1129" xr:uid="{9C283B52-E637-4E62-A4D7-D42A9E4B2EB8}"/>
    <cellStyle name="Neutral 2 6 2" xfId="4379" xr:uid="{D332AA35-BECF-4F02-9C9F-DE7D607EF851}"/>
    <cellStyle name="Neutral 2 6 3" xfId="4543" xr:uid="{DB7A81EF-6AF2-46CD-ACC2-2D415189CD4E}"/>
    <cellStyle name="Neutral 2 6 4" xfId="4279" xr:uid="{834C0B51-A1B2-4EE0-AE60-ECB078EF8297}"/>
    <cellStyle name="Neutral 2 6 5" xfId="2974" xr:uid="{6E4E63CF-4503-49FA-8A65-B6CBBEE3B128}"/>
    <cellStyle name="Neutral 3" xfId="315" xr:uid="{40DBC06D-0CA3-4323-89EE-DB49965787F9}"/>
    <cellStyle name="Neutral 3 2" xfId="4380" xr:uid="{B6BB8BFD-4317-4C49-BA4E-FCF979D66F2B}"/>
    <cellStyle name="Neutral 3 3" xfId="4240" xr:uid="{48CB13D8-E64A-47B9-A614-87E1553F463B}"/>
    <cellStyle name="Neutral 4" xfId="316" xr:uid="{E6921E96-6D1A-4DFD-96C0-A0154F3FD479}"/>
    <cellStyle name="Neutral 4 2" xfId="4381" xr:uid="{0262C4E3-4B6D-4F3B-84DD-A39E5F7D219A}"/>
    <cellStyle name="Neutral 4 3" xfId="4241" xr:uid="{5BE17DF4-2375-4333-B1DF-1B4F82837935}"/>
    <cellStyle name="Normal" xfId="0" builtinId="0"/>
    <cellStyle name="Normal 10" xfId="317" xr:uid="{DCCD5784-B632-4392-BCC2-C69A5E6807DF}"/>
    <cellStyle name="Normal 10 2" xfId="318" xr:uid="{205C23A5-A0EE-4C7F-95F1-FDE596D730D9}"/>
    <cellStyle name="Normal 10 2 2" xfId="319" xr:uid="{7B5647FA-4AA3-4D2A-8FCD-38D58D7ECA51}"/>
    <cellStyle name="Normal 10 2 3" xfId="320" xr:uid="{B0DBC17F-83C1-4AD8-BB92-481EA73A7218}"/>
    <cellStyle name="Normal 10 3" xfId="321" xr:uid="{90D48FE3-6A31-4147-8C26-89FC54F86070}"/>
    <cellStyle name="Normal 10 3 10" xfId="1915" xr:uid="{05D08381-D6B5-4D91-B811-75E5BB3562DE}"/>
    <cellStyle name="Normal 10 3 10 2" xfId="4242" xr:uid="{D2117776-8F85-47F6-BD48-90A3E0D0AE94}"/>
    <cellStyle name="Normal 10 3 10 2 2" xfId="8619" xr:uid="{B2B5CA01-08DD-413E-955A-EC4A41077B08}"/>
    <cellStyle name="Normal 10 3 10 3" xfId="6480" xr:uid="{70AA1963-1441-4EE1-AFE0-81565748D3E0}"/>
    <cellStyle name="Normal 10 3 11" xfId="2899" xr:uid="{B4D18CF9-4B8F-4B28-84D5-1DA55BBF95C1}"/>
    <cellStyle name="Normal 10 3 11 2" xfId="7462" xr:uid="{5E07FB3B-AA1C-45F7-BA3E-6E6FC7574E52}"/>
    <cellStyle name="Normal 10 3 12" xfId="5501" xr:uid="{5FBF0ECB-94A9-4DE5-AB85-730676FEC3EF}"/>
    <cellStyle name="Normal 10 3 2" xfId="322" xr:uid="{D5B02697-C050-4E62-BCE5-F47B7939AB97}"/>
    <cellStyle name="Normal 10 3 3" xfId="850" xr:uid="{6B68F2F6-CDC4-40C9-84DC-88B87007F64A}"/>
    <cellStyle name="Normal 10 3 3 2" xfId="956" xr:uid="{D4ECDD65-5E05-44B1-8443-D81310B7E205}"/>
    <cellStyle name="Normal 10 3 3 2 2" xfId="1329" xr:uid="{15594081-D3B2-4D0E-873C-BCF865EC6040}"/>
    <cellStyle name="Normal 10 3 3 2 2 2" xfId="2309" xr:uid="{EC682EB4-1DFF-4041-91A3-63BD1953260D}"/>
    <cellStyle name="Normal 10 3 3 2 2 2 2" xfId="4719" xr:uid="{621AE227-18B9-4D10-8AC1-43653EB11741}"/>
    <cellStyle name="Normal 10 3 3 2 2 2 2 2" xfId="8965" xr:uid="{74E9638A-DD8E-40BC-96BD-F6CB0F34D020}"/>
    <cellStyle name="Normal 10 3 3 2 2 2 3" xfId="6874" xr:uid="{74C28ADB-A90F-4717-94EE-62A9B0223212}"/>
    <cellStyle name="Normal 10 3 3 2 2 3" xfId="3595" xr:uid="{368A5BB0-8493-4284-AAF0-EEEEF4D5898B}"/>
    <cellStyle name="Normal 10 3 3 2 2 3 2" xfId="8062" xr:uid="{C18FA3E1-9801-4BE7-B60A-E71DACF270D1}"/>
    <cellStyle name="Normal 10 3 3 2 2 4" xfId="5895" xr:uid="{8BC2C8F5-2D8A-4632-9726-15AD3DBAF7E0}"/>
    <cellStyle name="Normal 10 3 3 2 3" xfId="1563" xr:uid="{C482420E-EC5A-4FAE-BC74-27DAD7B4D795}"/>
    <cellStyle name="Normal 10 3 3 2 3 2" xfId="2543" xr:uid="{A555A61E-28EA-4F43-8C6D-1C29482F2BA8}"/>
    <cellStyle name="Normal 10 3 3 2 3 2 2" xfId="5103" xr:uid="{61948B50-64D7-4616-8105-46FECBB3AD5B}"/>
    <cellStyle name="Normal 10 3 3 2 3 2 2 2" xfId="9328" xr:uid="{DFACFC30-B796-4CE1-8725-B3CF91B743DB}"/>
    <cellStyle name="Normal 10 3 3 2 3 2 3" xfId="7108" xr:uid="{C37E06DE-C144-4AB6-B7D1-05D5E8B72D7D}"/>
    <cellStyle name="Normal 10 3 3 2 3 3" xfId="4001" xr:uid="{EDBA46FB-85D2-45A3-B1FD-8CD6C8740EA4}"/>
    <cellStyle name="Normal 10 3 3 2 3 3 2" xfId="8450" xr:uid="{A11D8C11-2337-45E4-993D-828FF6C79CF4}"/>
    <cellStyle name="Normal 10 3 3 2 3 4" xfId="6129" xr:uid="{9C0324C8-37A3-4B9E-9155-6CCA16C6E363}"/>
    <cellStyle name="Normal 10 3 3 2 4" xfId="1797" xr:uid="{275B7D12-5B9A-4F25-8708-6E27C84AFFAB}"/>
    <cellStyle name="Normal 10 3 3 2 4 2" xfId="2776" xr:uid="{1B48767F-33C5-43E4-A384-D68AB0A31A3F}"/>
    <cellStyle name="Normal 10 3 3 2 4 2 2" xfId="7341" xr:uid="{7CF88A99-F61E-4E5E-B9F1-BB521EAED637}"/>
    <cellStyle name="Normal 10 3 3 2 4 3" xfId="4442" xr:uid="{6D1417C9-9F6D-4B97-8CF8-3DB3371BE273}"/>
    <cellStyle name="Normal 10 3 3 2 4 3 2" xfId="8719" xr:uid="{9AAF4793-D471-4FE3-9895-D71B52E2ADCA}"/>
    <cellStyle name="Normal 10 3 3 2 4 4" xfId="6362" xr:uid="{CF4DCFC5-0143-4D2A-8183-37229F149B78}"/>
    <cellStyle name="Normal 10 3 3 2 5" xfId="2034" xr:uid="{7E0E7B98-D1E4-45AE-90BA-972BAC381D85}"/>
    <cellStyle name="Normal 10 3 3 2 5 2" xfId="6599" xr:uid="{0D5A942F-C4F2-41DA-B312-2260975A5983}"/>
    <cellStyle name="Normal 10 3 3 2 6" xfId="3179" xr:uid="{18FD4CD8-8855-4B95-AABC-B5D9024F4E0C}"/>
    <cellStyle name="Normal 10 3 3 2 6 2" xfId="7674" xr:uid="{3E194232-3D56-486E-A943-352673840DFC}"/>
    <cellStyle name="Normal 10 3 3 2 7" xfId="5620" xr:uid="{6A098C30-83F2-42F7-B38C-F8F60C853EF1}"/>
    <cellStyle name="Normal 10 3 3 3" xfId="1038" xr:uid="{8C458BF6-F923-49A5-BAD4-5F89AE3EBEED}"/>
    <cellStyle name="Normal 10 3 3 3 2" xfId="1406" xr:uid="{E2BFBA28-BE59-4D9B-AEED-01DE38FDB55E}"/>
    <cellStyle name="Normal 10 3 3 3 2 2" xfId="2386" xr:uid="{CEB35399-6426-4688-B27C-8B44CA5D6BF3}"/>
    <cellStyle name="Normal 10 3 3 3 2 2 2" xfId="5208" xr:uid="{731ED389-ECA8-425F-BB7A-0AE0A726FDB5}"/>
    <cellStyle name="Normal 10 3 3 3 2 2 2 2" xfId="9433" xr:uid="{0F05CD51-9ADC-4F9C-9E5B-7625A8878583}"/>
    <cellStyle name="Normal 10 3 3 3 2 2 3" xfId="6951" xr:uid="{D6FCD8FE-A363-4C85-AEA3-32AC7286989D}"/>
    <cellStyle name="Normal 10 3 3 3 2 3" xfId="3700" xr:uid="{FA845DF8-9DEF-4F53-9690-6155B1F95488}"/>
    <cellStyle name="Normal 10 3 3 3 2 3 2" xfId="8167" xr:uid="{85990816-5260-44DB-966F-7310946FAE1C}"/>
    <cellStyle name="Normal 10 3 3 3 2 4" xfId="5972" xr:uid="{9BC65E0D-5EED-411B-B306-895F45D9D890}"/>
    <cellStyle name="Normal 10 3 3 3 3" xfId="1640" xr:uid="{4BB9CC9E-5CCB-415C-A8D2-ADFD219834D8}"/>
    <cellStyle name="Normal 10 3 3 3 3 2" xfId="2620" xr:uid="{43DB8001-CD3E-451F-BD64-4F719DC4BDE9}"/>
    <cellStyle name="Normal 10 3 3 3 3 2 2" xfId="7185" xr:uid="{93147EAB-D8D2-4754-812D-C548B8240BFF}"/>
    <cellStyle name="Normal 10 3 3 3 3 3" xfId="4106" xr:uid="{9CD71836-FD44-4F10-9C25-5F4B24019636}"/>
    <cellStyle name="Normal 10 3 3 3 3 3 2" xfId="8555" xr:uid="{E53125FD-1F91-4CC3-BE53-4D3E63A15B27}"/>
    <cellStyle name="Normal 10 3 3 3 3 4" xfId="6206" xr:uid="{7D7D12E3-AE9D-45F2-8EF4-ECC947E64780}"/>
    <cellStyle name="Normal 10 3 3 3 4" xfId="1874" xr:uid="{B9668015-44AD-4BD9-8C15-7667F33BB0A0}"/>
    <cellStyle name="Normal 10 3 3 3 4 2" xfId="2853" xr:uid="{68541066-1B2D-4212-A81F-CF0684E0091C}"/>
    <cellStyle name="Normal 10 3 3 3 4 2 2" xfId="7418" xr:uid="{CC3F17DC-8C6C-4FB4-B139-D237D81FB5C0}"/>
    <cellStyle name="Normal 10 3 3 3 4 3" xfId="4576" xr:uid="{411DF313-68AC-47EB-A6E8-BDBB01162FBD}"/>
    <cellStyle name="Normal 10 3 3 3 4 3 2" xfId="8831" xr:uid="{1794F074-45ED-4867-BB8C-4064006EC1DD}"/>
    <cellStyle name="Normal 10 3 3 3 4 4" xfId="6439" xr:uid="{10DB588D-D4F7-4586-B0D0-947187EABF39}"/>
    <cellStyle name="Normal 10 3 3 3 5" xfId="2111" xr:uid="{4A1EB822-BAA7-4F9D-BB3C-15050FEB2B05}"/>
    <cellStyle name="Normal 10 3 3 3 5 2" xfId="6676" xr:uid="{47F46C28-2D35-4D61-94B4-60DB36CFA386}"/>
    <cellStyle name="Normal 10 3 3 3 6" xfId="3286" xr:uid="{EA18FDAC-FE3E-4956-ACAA-8AAAD3D31673}"/>
    <cellStyle name="Normal 10 3 3 3 6 2" xfId="7779" xr:uid="{46C79665-0D92-4581-A810-DE90C980FB2B}"/>
    <cellStyle name="Normal 10 3 3 3 7" xfId="5697" xr:uid="{9B17A1D1-F092-46B1-83A9-110A08511EA3}"/>
    <cellStyle name="Normal 10 3 3 4" xfId="1250" xr:uid="{2D73353F-569F-436F-BEE9-85994C7C5A6A}"/>
    <cellStyle name="Normal 10 3 3 4 2" xfId="2232" xr:uid="{C7746EFE-87F5-43F7-B960-9E81F58A91D8}"/>
    <cellStyle name="Normal 10 3 3 4 2 2" xfId="4982" xr:uid="{E864AB80-11DD-4245-A4A1-855049E0B9A2}"/>
    <cellStyle name="Normal 10 3 3 4 2 2 2" xfId="9211" xr:uid="{50B636D1-0001-4C39-B4FF-72BDEBE95645}"/>
    <cellStyle name="Normal 10 3 3 4 2 3" xfId="3490" xr:uid="{BEE0CC93-8E69-4FEB-8C05-0D29630D1039}"/>
    <cellStyle name="Normal 10 3 3 4 2 3 2" xfId="7957" xr:uid="{EDA85574-7356-4E7E-BA45-AA40C6C20D84}"/>
    <cellStyle name="Normal 10 3 3 4 2 4" xfId="6797" xr:uid="{BED1BB49-F00B-4E5A-AF40-ECE3E478E52D}"/>
    <cellStyle name="Normal 10 3 3 4 3" xfId="3896" xr:uid="{F3BE91B2-C0C0-4541-AE9E-284E060199AA}"/>
    <cellStyle name="Normal 10 3 3 4 3 2" xfId="8345" xr:uid="{05D7F209-94E9-45C2-AC6D-2D1935EBB035}"/>
    <cellStyle name="Normal 10 3 3 4 4" xfId="4642" xr:uid="{3FE09A67-FF45-4021-8DED-DABE470ABB4E}"/>
    <cellStyle name="Normal 10 3 3 4 4 2" xfId="8888" xr:uid="{E0250386-BE2C-4D0F-AA83-E72ABA8235BA}"/>
    <cellStyle name="Normal 10 3 3 4 5" xfId="3059" xr:uid="{39F4636E-4B0B-4F54-985B-25731C28CE40}"/>
    <cellStyle name="Normal 10 3 3 4 5 2" xfId="7569" xr:uid="{788DC0F0-A79B-4CAE-B730-A3363F02F0F7}"/>
    <cellStyle name="Normal 10 3 3 4 6" xfId="5818" xr:uid="{6E49DE74-8D34-4A8E-A192-E09F49D24CAE}"/>
    <cellStyle name="Normal 10 3 3 5" xfId="1486" xr:uid="{36D4DB53-7C75-4F7A-BCDA-E33078FEDD64}"/>
    <cellStyle name="Normal 10 3 3 5 2" xfId="2466" xr:uid="{F9788170-B7DE-40EE-9D53-C87153B22AAC}"/>
    <cellStyle name="Normal 10 3 3 5 2 2" xfId="4941" xr:uid="{BC6747C3-305D-4819-92D0-8ED0AFB81E41}"/>
    <cellStyle name="Normal 10 3 3 5 2 2 2" xfId="9171" xr:uid="{152DC58E-AE9B-40E5-818B-66CAB50139A5}"/>
    <cellStyle name="Normal 10 3 3 5 2 3" xfId="7031" xr:uid="{A76A7078-1143-419E-A185-C5E01443705C}"/>
    <cellStyle name="Normal 10 3 3 5 3" xfId="3416" xr:uid="{A17E12EE-0EAD-4854-8567-248912018C30}"/>
    <cellStyle name="Normal 10 3 3 5 3 2" xfId="7884" xr:uid="{959221D9-3599-41F9-B372-9FAD64DB44FD}"/>
    <cellStyle name="Normal 10 3 3 5 4" xfId="6052" xr:uid="{730A83F0-513E-4DFB-A392-F827FB8C5175}"/>
    <cellStyle name="Normal 10 3 3 6" xfId="1720" xr:uid="{5EC61DAC-6AEE-495E-BE5D-7C126EEA048C}"/>
    <cellStyle name="Normal 10 3 3 6 2" xfId="2699" xr:uid="{F8A6DE23-AE63-4E84-827B-22787A9ADD56}"/>
    <cellStyle name="Normal 10 3 3 6 2 2" xfId="7264" xr:uid="{AAC656EE-535A-4399-8059-B4648D315B3C}"/>
    <cellStyle name="Normal 10 3 3 6 3" xfId="3823" xr:uid="{B4210410-BC74-4318-BAAE-52927C9A4474}"/>
    <cellStyle name="Normal 10 3 3 6 3 2" xfId="8272" xr:uid="{F157F8F7-6315-4CE0-A3B5-2F724FBA1623}"/>
    <cellStyle name="Normal 10 3 3 6 4" xfId="6285" xr:uid="{D2856DB2-DEB7-415E-8B05-F72F7369C3F5}"/>
    <cellStyle name="Normal 10 3 3 7" xfId="1957" xr:uid="{EB42C302-9746-443C-8DCA-B8086C31E353}"/>
    <cellStyle name="Normal 10 3 3 7 2" xfId="4294" xr:uid="{3B750098-66F1-4EE2-81FC-84B2F3A9FAFE}"/>
    <cellStyle name="Normal 10 3 3 7 2 2" xfId="8647" xr:uid="{EC8F9DF8-0503-4FF1-A317-307ACE4FF8A8}"/>
    <cellStyle name="Normal 10 3 3 7 3" xfId="6522" xr:uid="{1B713F7E-93F5-4C96-B821-71C80C6CE298}"/>
    <cellStyle name="Normal 10 3 3 8" xfId="2934" xr:uid="{407328CF-A39C-46D1-8DC0-9A2317748DBE}"/>
    <cellStyle name="Normal 10 3 3 8 2" xfId="7496" xr:uid="{5D592E6B-A655-4ED2-9165-12489D4D63C2}"/>
    <cellStyle name="Normal 10 3 3 9" xfId="5543" xr:uid="{FF2D4AC6-FED5-432E-9692-C5D72525DACA}"/>
    <cellStyle name="Normal 10 3 4" xfId="893" xr:uid="{7BB899A9-6EAF-4667-A8FD-E29332FB77A7}"/>
    <cellStyle name="Normal 10 3 4 2" xfId="1285" xr:uid="{837F7348-77D0-4C4F-A013-0071C510A046}"/>
    <cellStyle name="Normal 10 3 4 2 2" xfId="2267" xr:uid="{CD08653D-40A2-4CA0-9679-57DF9CB6C4F0}"/>
    <cellStyle name="Normal 10 3 4 2 2 2" xfId="5137" xr:uid="{0EFD50F9-F651-4F6C-A447-EEAE93E03AA6}"/>
    <cellStyle name="Normal 10 3 4 2 2 2 2" xfId="9362" xr:uid="{47D7196F-3326-4EFA-A125-E7244C88F030}"/>
    <cellStyle name="Normal 10 3 4 2 2 3" xfId="3629" xr:uid="{5279AC82-08F5-43D9-9547-C9450D907A35}"/>
    <cellStyle name="Normal 10 3 4 2 2 3 2" xfId="8096" xr:uid="{914BC340-2D86-4E03-81B6-8BACF1C6417E}"/>
    <cellStyle name="Normal 10 3 4 2 2 4" xfId="6832" xr:uid="{EB91214D-10C7-49E8-AD54-2AFFC08E97F4}"/>
    <cellStyle name="Normal 10 3 4 2 3" xfId="4035" xr:uid="{BA642B16-9C2F-4CE3-9C71-097C8E9B3137}"/>
    <cellStyle name="Normal 10 3 4 2 3 2" xfId="8484" xr:uid="{DDDCCC8D-2D61-4149-82EE-DFC9EFA11B01}"/>
    <cellStyle name="Normal 10 3 4 2 4" xfId="4753" xr:uid="{3AD4D2D4-7572-444D-9F39-E9CD12FA9E46}"/>
    <cellStyle name="Normal 10 3 4 2 4 2" xfId="8999" xr:uid="{1DF5A1FD-3BC5-4893-BBC8-9484797A1D27}"/>
    <cellStyle name="Normal 10 3 4 2 5" xfId="3213" xr:uid="{D611021C-54B8-4BD4-A129-43B00903F068}"/>
    <cellStyle name="Normal 10 3 4 2 5 2" xfId="7708" xr:uid="{A80AD538-9367-4178-B17A-5AA4008848D0}"/>
    <cellStyle name="Normal 10 3 4 2 6" xfId="5853" xr:uid="{0B5FFA79-D6B0-4FD3-98CC-2D63630F12B7}"/>
    <cellStyle name="Normal 10 3 4 3" xfId="1521" xr:uid="{85696EF4-2255-4EBC-95A3-A1F6ACB1A9EB}"/>
    <cellStyle name="Normal 10 3 4 3 2" xfId="2501" xr:uid="{144417D1-D06F-43F7-84B2-1568420FFD91}"/>
    <cellStyle name="Normal 10 3 4 3 2 2" xfId="5242" xr:uid="{926BD8AC-7DEC-4C58-BE5A-F6022DB3E02B}"/>
    <cellStyle name="Normal 10 3 4 3 2 2 2" xfId="9467" xr:uid="{2F06E922-7B0F-44A2-9321-C73539447403}"/>
    <cellStyle name="Normal 10 3 4 3 2 3" xfId="3734" xr:uid="{02B1A1A1-3EE8-4856-8324-0483B51E7184}"/>
    <cellStyle name="Normal 10 3 4 3 2 3 2" xfId="8201" xr:uid="{1A41BB4C-B4F3-4558-99DC-737B183EF9E0}"/>
    <cellStyle name="Normal 10 3 4 3 2 4" xfId="7066" xr:uid="{DC11A4B8-F4FC-451D-946A-30FA046C446B}"/>
    <cellStyle name="Normal 10 3 4 3 3" xfId="4140" xr:uid="{84E40446-BB38-48BF-973F-83CE78806990}"/>
    <cellStyle name="Normal 10 3 4 3 3 2" xfId="8589" xr:uid="{4CB65076-4FB8-4A9D-BBA9-2A8DBC71973F}"/>
    <cellStyle name="Normal 10 3 4 3 4" xfId="4829" xr:uid="{5A73D450-E309-48C3-9DEC-96D08C106618}"/>
    <cellStyle name="Normal 10 3 4 3 4 2" xfId="9075" xr:uid="{2783465C-B86B-483B-906F-4E5FDB96D0E4}"/>
    <cellStyle name="Normal 10 3 4 3 5" xfId="3324" xr:uid="{8CBA69FB-4CDF-40E0-BC8D-25F6D4B335A8}"/>
    <cellStyle name="Normal 10 3 4 3 5 2" xfId="7813" xr:uid="{A90E817A-F390-41FF-90FB-F2C6CD4FA74A}"/>
    <cellStyle name="Normal 10 3 4 3 6" xfId="6087" xr:uid="{8F9B58FE-1F2F-4BAE-95F4-A2829F814775}"/>
    <cellStyle name="Normal 10 3 4 4" xfId="1755" xr:uid="{8B93BA8B-05BC-4CE4-9D10-B5B3F8F44F7E}"/>
    <cellStyle name="Normal 10 3 4 4 2" xfId="2734" xr:uid="{8F87BE02-DD35-440C-BF26-1CDF954E5A71}"/>
    <cellStyle name="Normal 10 3 4 4 2 2" xfId="4671" xr:uid="{B8BC9B6B-ABFA-44B2-8C03-D7A8DD22C974}"/>
    <cellStyle name="Normal 10 3 4 4 2 2 2" xfId="8917" xr:uid="{9FA4D650-B801-4502-A6B7-BF6F757069C1}"/>
    <cellStyle name="Normal 10 3 4 4 2 3" xfId="7299" xr:uid="{A87EB486-8FCC-49A6-B8E6-516DC24CDF2B}"/>
    <cellStyle name="Normal 10 3 4 4 3" xfId="3524" xr:uid="{D8C2FA3F-6ACA-4E02-9C37-4ADC7DDBA9D3}"/>
    <cellStyle name="Normal 10 3 4 4 3 2" xfId="7991" xr:uid="{966E2732-8CAA-4FB2-93DF-E344ACC18901}"/>
    <cellStyle name="Normal 10 3 4 4 4" xfId="6320" xr:uid="{C58C83E9-03D1-436F-9E28-E56B65CC88A3}"/>
    <cellStyle name="Normal 10 3 4 5" xfId="1992" xr:uid="{24784642-8BC0-4C25-A0B4-4344B4424CF0}"/>
    <cellStyle name="Normal 10 3 4 5 2" xfId="5033" xr:uid="{A694B438-0171-40C8-B215-724187D6FD43}"/>
    <cellStyle name="Normal 10 3 4 5 2 2" xfId="9259" xr:uid="{EF32B0FC-15A8-4FAE-BC4F-8D8B60D0B76B}"/>
    <cellStyle name="Normal 10 3 4 5 3" xfId="3930" xr:uid="{31307C9C-04C7-4AB5-85E8-7069A6D6613A}"/>
    <cellStyle name="Normal 10 3 4 5 3 2" xfId="8379" xr:uid="{EC8DD15D-DFD8-4DEE-9863-4F403859F9C7}"/>
    <cellStyle name="Normal 10 3 4 5 4" xfId="6557" xr:uid="{6CA1988A-C763-48C9-86D3-971C8DB69FCE}"/>
    <cellStyle name="Normal 10 3 4 6" xfId="4414" xr:uid="{D47B5DAD-BAF3-440F-BA3D-B66428F45DE1}"/>
    <cellStyle name="Normal 10 3 4 6 2" xfId="8691" xr:uid="{486C4D3E-35E7-4077-905B-D57824AD9989}"/>
    <cellStyle name="Normal 10 3 4 7" xfId="3097" xr:uid="{AD6F1F18-2BFA-4403-ABAD-D52E2CCFC444}"/>
    <cellStyle name="Normal 10 3 4 7 2" xfId="7603" xr:uid="{FAEF9EAA-B73B-4C74-9660-6BE447449293}"/>
    <cellStyle name="Normal 10 3 4 8" xfId="5578" xr:uid="{2663B6CF-783D-4306-8552-A3A4854CCB0D}"/>
    <cellStyle name="Normal 10 3 5" xfId="996" xr:uid="{81EBA799-B5CE-4C06-8344-A3DC8A9E94E1}"/>
    <cellStyle name="Normal 10 3 5 2" xfId="1364" xr:uid="{387F741F-41C7-486B-B95B-F9022DF5ABC0}"/>
    <cellStyle name="Normal 10 3 5 2 2" xfId="2344" xr:uid="{DBDFDB03-6099-4082-BA7F-3B70DED2262D}"/>
    <cellStyle name="Normal 10 3 5 2 2 2" xfId="5049" xr:uid="{0DAC35B9-7B6F-487C-82AA-F567E80173FB}"/>
    <cellStyle name="Normal 10 3 5 2 2 2 2" xfId="9275" xr:uid="{20B679A6-F6FE-466D-9F15-E33188990AD6}"/>
    <cellStyle name="Normal 10 3 5 2 2 3" xfId="6909" xr:uid="{5C11C4E5-34DB-478A-9323-FA0CA53B129A}"/>
    <cellStyle name="Normal 10 3 5 2 3" xfId="3541" xr:uid="{012A5AB0-BC88-4A9A-A99C-E25AF92AA937}"/>
    <cellStyle name="Normal 10 3 5 2 3 2" xfId="8008" xr:uid="{822B812A-0CE8-4BF8-9D09-ED451C9A22BB}"/>
    <cellStyle name="Normal 10 3 5 2 4" xfId="5930" xr:uid="{494478ED-9025-45E0-923C-7E9F5DE67AC7}"/>
    <cellStyle name="Normal 10 3 5 3" xfId="1598" xr:uid="{A5283035-A87C-4CA3-A5D5-4A11C6E1EF9C}"/>
    <cellStyle name="Normal 10 3 5 3 2" xfId="2578" xr:uid="{2B43E78B-19B8-42EC-9F5C-B3AFF9BAC7BF}"/>
    <cellStyle name="Normal 10 3 5 3 2 2" xfId="7143" xr:uid="{B0E41472-5E14-4BBF-AAB2-AED9BDA9242E}"/>
    <cellStyle name="Normal 10 3 5 3 3" xfId="3947" xr:uid="{6A405CFC-F808-4345-8FED-BC1554BCC8D4}"/>
    <cellStyle name="Normal 10 3 5 3 3 2" xfId="8396" xr:uid="{AF648174-80FC-477A-B37B-3EC36890B4E2}"/>
    <cellStyle name="Normal 10 3 5 3 4" xfId="6164" xr:uid="{F962ADB8-3FEC-4C70-A4E2-4218753E82D8}"/>
    <cellStyle name="Normal 10 3 5 4" xfId="1832" xr:uid="{2C0C1AFD-4581-4542-B448-89E6A6EEC61A}"/>
    <cellStyle name="Normal 10 3 5 4 2" xfId="2811" xr:uid="{537FAB27-2C17-419D-B2E6-C97D2058B0F4}"/>
    <cellStyle name="Normal 10 3 5 4 2 2" xfId="7376" xr:uid="{4ED40A97-39DE-41A7-9C91-D73671E22168}"/>
    <cellStyle name="Normal 10 3 5 4 3" xfId="4518" xr:uid="{3C5D60B5-4E6C-41C7-B65F-28FD724006D5}"/>
    <cellStyle name="Normal 10 3 5 4 3 2" xfId="8785" xr:uid="{31041DBC-25F6-4473-A694-97D933EC3686}"/>
    <cellStyle name="Normal 10 3 5 4 4" xfId="6397" xr:uid="{996588D7-1195-4FB0-B9DE-CE881AC7EE46}"/>
    <cellStyle name="Normal 10 3 5 5" xfId="2069" xr:uid="{37ABCB75-3459-40DD-8167-2753F6038FA1}"/>
    <cellStyle name="Normal 10 3 5 5 2" xfId="6634" xr:uid="{4BE8CB34-F454-4456-8D56-D9D215B67B15}"/>
    <cellStyle name="Normal 10 3 5 6" xfId="3125" xr:uid="{6E9D222D-17E9-4737-8FAB-45E0FCD728E5}"/>
    <cellStyle name="Normal 10 3 5 6 2" xfId="7620" xr:uid="{66314315-6317-4976-A6F9-FB91BE9CD557}"/>
    <cellStyle name="Normal 10 3 5 7" xfId="5655" xr:uid="{F3269D2E-2C64-4401-BFE4-D4C0FB532E95}"/>
    <cellStyle name="Normal 10 3 6" xfId="1131" xr:uid="{C2A1DAA1-47FC-4EE3-8AEB-D60E266D85C5}"/>
    <cellStyle name="Normal 10 3 6 2" xfId="2152" xr:uid="{95702BA4-7E86-49A3-A700-F784E551C793}"/>
    <cellStyle name="Normal 10 3 6 2 2" xfId="5154" xr:uid="{D7639E39-8836-45C9-98C7-6BBB16335664}"/>
    <cellStyle name="Normal 10 3 6 2 2 2" xfId="9379" xr:uid="{7B8F9BB3-1524-4828-8653-7012EF70F153}"/>
    <cellStyle name="Normal 10 3 6 2 3" xfId="3646" xr:uid="{39601680-4616-47D7-85DC-477DB8F2F12E}"/>
    <cellStyle name="Normal 10 3 6 2 3 2" xfId="8113" xr:uid="{CDB23028-2E55-4784-9D68-0342BDB9B435}"/>
    <cellStyle name="Normal 10 3 6 2 4" xfId="6717" xr:uid="{8EDABFF1-4AFB-4908-BD25-6EF4ABFCEBC3}"/>
    <cellStyle name="Normal 10 3 6 3" xfId="4052" xr:uid="{2E9F5132-FE97-4BF8-8974-8DE800DEF904}"/>
    <cellStyle name="Normal 10 3 6 3 2" xfId="8501" xr:uid="{94CFCCB3-9DFD-419A-8970-4EF322EB0B98}"/>
    <cellStyle name="Normal 10 3 6 4" xfId="4770" xr:uid="{91C977FF-C2E4-4AD3-B240-7C4730986768}"/>
    <cellStyle name="Normal 10 3 6 4 2" xfId="9016" xr:uid="{E1774099-B6C0-41CE-9665-C3D7FF42B0D1}"/>
    <cellStyle name="Normal 10 3 6 5" xfId="3230" xr:uid="{1D78587E-3499-47E1-8562-652084E789BD}"/>
    <cellStyle name="Normal 10 3 6 5 2" xfId="7725" xr:uid="{38B6D47D-2134-4261-A05B-37509D586978}"/>
    <cellStyle name="Normal 10 3 6 6" xfId="5738" xr:uid="{E7F4EAF6-FB0C-448D-BF8F-7046C072B954}"/>
    <cellStyle name="Normal 10 3 7" xfId="1204" xr:uid="{FBFBB85E-29AE-4D65-A0C1-D8DB201CF03C}"/>
    <cellStyle name="Normal 10 3 7 2" xfId="2190" xr:uid="{B8FF5DD6-488C-48DA-A027-29EB4C69F5F1}"/>
    <cellStyle name="Normal 10 3 7 2 2" xfId="4889" xr:uid="{4AB4C40C-AC07-46FD-93BF-4E2752FEAA12}"/>
    <cellStyle name="Normal 10 3 7 2 2 2" xfId="9121" xr:uid="{422040FA-B0C3-4281-B2CA-4D15D1AB48ED}"/>
    <cellStyle name="Normal 10 3 7 2 3" xfId="3435" xr:uid="{9C0C28A6-7ACF-471C-97E7-30B26A1BB8DF}"/>
    <cellStyle name="Normal 10 3 7 2 3 2" xfId="7903" xr:uid="{0D9B1FE6-E630-412B-8CC1-9626EF7DE167}"/>
    <cellStyle name="Normal 10 3 7 2 4" xfId="6755" xr:uid="{506B1E11-3A4A-42E6-A4E3-B116E70D385A}"/>
    <cellStyle name="Normal 10 3 7 3" xfId="3842" xr:uid="{209D7E35-323B-4E61-A4D8-38DBA250F336}"/>
    <cellStyle name="Normal 10 3 7 3 2" xfId="8291" xr:uid="{40B284AF-C6B7-4992-B1BD-7C21A211FAA9}"/>
    <cellStyle name="Normal 10 3 7 4" xfId="4620" xr:uid="{07C429DF-7422-4554-B50F-AA78CC3CDCFC}"/>
    <cellStyle name="Normal 10 3 7 4 2" xfId="8867" xr:uid="{C2602BE2-B233-42BC-B7D5-0EAA7A8B5E59}"/>
    <cellStyle name="Normal 10 3 7 5" xfId="2975" xr:uid="{EB0634F0-FB62-47E0-BC1D-8F219A47EB27}"/>
    <cellStyle name="Normal 10 3 7 5 2" xfId="7515" xr:uid="{73E43B2B-67D4-429D-BCC8-2AF1192442E8}"/>
    <cellStyle name="Normal 10 3 7 6" xfId="5776" xr:uid="{B4A4A477-8CEA-445B-8348-9955B309E082}"/>
    <cellStyle name="Normal 10 3 8" xfId="1444" xr:uid="{4AA65D73-600D-41A4-8FC7-E0E19DC9C90A}"/>
    <cellStyle name="Normal 10 3 8 2" xfId="2424" xr:uid="{D0B0F46B-154F-4D35-A565-5035BC7D518F}"/>
    <cellStyle name="Normal 10 3 8 2 2" xfId="4896" xr:uid="{D0BFD0E6-D128-48E1-BCD7-D741934757D3}"/>
    <cellStyle name="Normal 10 3 8 2 2 2" xfId="9127" xr:uid="{FF93CF08-698A-4E12-9BE2-192EFF3160F4}"/>
    <cellStyle name="Normal 10 3 8 2 3" xfId="6989" xr:uid="{0A20B31D-364B-4166-B43F-0D9AC269DAE0}"/>
    <cellStyle name="Normal 10 3 8 3" xfId="3363" xr:uid="{BAEF2EC1-E2CE-4AB0-A3FA-E7272FAC6D40}"/>
    <cellStyle name="Normal 10 3 8 3 2" xfId="7850" xr:uid="{ED9C4E5C-44F4-4673-98E4-1212F5CFE264}"/>
    <cellStyle name="Normal 10 3 8 4" xfId="6010" xr:uid="{9A659055-7557-4D75-9F5A-A0C3027F98D0}"/>
    <cellStyle name="Normal 10 3 9" xfId="1702" xr:uid="{356E906F-16E6-4DB6-987C-C364E60029E1}"/>
    <cellStyle name="Normal 10 3 9 2" xfId="2682" xr:uid="{2A3C8F8F-7FA1-4D02-8CB9-C3EB36CD97F8}"/>
    <cellStyle name="Normal 10 3 9 2 2" xfId="7247" xr:uid="{953C49D5-83B2-47D2-8CEF-54C02A13B1DF}"/>
    <cellStyle name="Normal 10 3 9 3" xfId="3787" xr:uid="{8170B8FD-9E70-4C63-BBDF-58D133C9633E}"/>
    <cellStyle name="Normal 10 3 9 3 2" xfId="8238" xr:uid="{C30F1A06-44DF-4122-BEB1-5C186602198D}"/>
    <cellStyle name="Normal 10 3 9 4" xfId="6268" xr:uid="{B228A3B8-0AAD-4013-BB98-266214A7A823}"/>
    <cellStyle name="Normal 10 4" xfId="323" xr:uid="{911EF245-C282-4BE8-9CE2-5EE631818F57}"/>
    <cellStyle name="Normal 10 5" xfId="654" xr:uid="{1EF527A4-6E6C-45F4-9F76-4F1A98587418}"/>
    <cellStyle name="Normal 10 5 2" xfId="876" xr:uid="{EB227083-9D18-4568-B81C-7BEBD348182B}"/>
    <cellStyle name="Normal 10 5 2 2" xfId="4156" xr:uid="{5757EABA-FCBF-45A2-8F81-592DF90D38FE}"/>
    <cellStyle name="Normal 10 5 3" xfId="1132" xr:uid="{4717E449-8914-423A-A41D-9F888397D459}"/>
    <cellStyle name="Normal 10 5 3 2" xfId="5300" xr:uid="{1B9D665C-15CF-48E9-B131-1BC368D04794}"/>
    <cellStyle name="Normal 10 6" xfId="1130" xr:uid="{7C32FBB1-A752-47AA-8ED0-CDBEA0B0E8F7}"/>
    <cellStyle name="Normal 10 6 2" xfId="5299" xr:uid="{57802FB8-546A-4C17-90FA-67BA79B3EE8E}"/>
    <cellStyle name="Normal 100" xfId="4846" xr:uid="{0C8C2659-187B-4B16-9B01-E8FFBFDC427D}"/>
    <cellStyle name="Normal 11" xfId="324" xr:uid="{288130A9-E92F-44D9-A210-6D11BB9A5852}"/>
    <cellStyle name="Normal 11 2" xfId="325" xr:uid="{1C828F3A-7AFC-4185-BE8B-2F3B79999F93}"/>
    <cellStyle name="Normal 11 2 2" xfId="326" xr:uid="{A6162806-53B5-49D5-9E66-6B47163A7556}"/>
    <cellStyle name="Normal 11 2 2 2" xfId="327" xr:uid="{777731F7-0B85-4F0F-907A-50CAD4C5CCAB}"/>
    <cellStyle name="Normal 11 2 3" xfId="328" xr:uid="{AABB465B-7FB2-4F63-8896-ABDEB2207E29}"/>
    <cellStyle name="Normal 11 2 3 2" xfId="329" xr:uid="{35A2DE49-6A11-4EEF-A61A-EDCCF68F877F}"/>
    <cellStyle name="Normal 11 2 3 3" xfId="330" xr:uid="{34575514-9967-495A-9228-6237B9A987CD}"/>
    <cellStyle name="Normal 11 2 4" xfId="331" xr:uid="{78CF69BD-917D-4DF7-9341-7E48EFFBC091}"/>
    <cellStyle name="Normal 11 2 5" xfId="332" xr:uid="{594DF1E9-0DA3-4AAD-B4E4-AA1E54CE4E7B}"/>
    <cellStyle name="Normal 11 2 6" xfId="333" xr:uid="{A2ABC434-4B83-48C9-867B-D0802623BBB0}"/>
    <cellStyle name="Normal 11 2 7" xfId="653" xr:uid="{2C72ACBC-B690-47E3-A048-09207E753D59}"/>
    <cellStyle name="Normal 11 2 7 2" xfId="891" xr:uid="{55979B1D-8EFC-45AE-AD6E-CF5C8020924B}"/>
    <cellStyle name="Normal 11 2 7 2 2" xfId="4157" xr:uid="{06A0A687-97BE-441E-8DC6-9D2A594D1A64}"/>
    <cellStyle name="Normal 11 2 7 3" xfId="1134" xr:uid="{2161AE68-C83B-4B70-8E90-5C71B59D022F}"/>
    <cellStyle name="Normal 11 2 7 3 2" xfId="5302" xr:uid="{14BB863F-4A6B-4F6C-B610-CFFB7BDC556E}"/>
    <cellStyle name="Normal 11 2 8" xfId="1135" xr:uid="{E9F0AB63-C279-4C71-86DF-EE4461BB75B3}"/>
    <cellStyle name="Normal 11 2 9" xfId="1133" xr:uid="{24F06346-B53A-4CA7-9474-1A0FC0286CA7}"/>
    <cellStyle name="Normal 11 2 9 2" xfId="5301" xr:uid="{BFBF56A6-AB61-412E-99DF-8DA821CFDFCE}"/>
    <cellStyle name="Normal 11 3" xfId="652" xr:uid="{D77C6B78-B535-46EB-911A-D41926E33E7D}"/>
    <cellStyle name="Normal 12" xfId="334" xr:uid="{C6881A56-680C-475F-8DF3-EF0911A4FD8A}"/>
    <cellStyle name="Normal 12 2" xfId="335" xr:uid="{C6C01EBF-68A8-4E56-8FF1-676006D21836}"/>
    <cellStyle name="Normal 12 2 10" xfId="1703" xr:uid="{64748F27-6317-4573-BF93-949BAB541B86}"/>
    <cellStyle name="Normal 12 2 10 2" xfId="2683" xr:uid="{4FC02567-47F7-4DEF-A3CE-8C3257B4D739}"/>
    <cellStyle name="Normal 12 2 10 2 2" xfId="7248" xr:uid="{EBD1085A-B0C6-4FA7-8D0B-784A85A75726}"/>
    <cellStyle name="Normal 12 2 10 3" xfId="3788" xr:uid="{C584510A-4D37-4664-BA80-A7161CF9EF99}"/>
    <cellStyle name="Normal 12 2 10 3 2" xfId="8239" xr:uid="{77A6BB19-3884-4291-87B0-EAA468AE76DE}"/>
    <cellStyle name="Normal 12 2 10 4" xfId="6269" xr:uid="{03578F96-881B-429A-B8B0-40BE2C869B34}"/>
    <cellStyle name="Normal 12 2 11" xfId="1916" xr:uid="{C43A896C-A416-46DC-88F7-EBC4D46DE264}"/>
    <cellStyle name="Normal 12 2 11 2" xfId="4243" xr:uid="{395580FA-C286-4B37-9222-F761EA5A242D}"/>
    <cellStyle name="Normal 12 2 11 2 2" xfId="8620" xr:uid="{17744763-05A8-4E01-9D7F-85C6FA3F6395}"/>
    <cellStyle name="Normal 12 2 11 3" xfId="6481" xr:uid="{73CB6ED9-4205-46F0-8CB9-92D69BE3B0D5}"/>
    <cellStyle name="Normal 12 2 12" xfId="2900" xr:uid="{B153C32D-15EA-4C4E-8816-1B7BCD24B3C2}"/>
    <cellStyle name="Normal 12 2 12 2" xfId="7463" xr:uid="{08735ED9-7638-44A3-9D3A-C7728A4A134B}"/>
    <cellStyle name="Normal 12 2 13" xfId="5502" xr:uid="{366F5E88-A9CB-436F-B23B-01D2752B8337}"/>
    <cellStyle name="Normal 12 2 2" xfId="336" xr:uid="{A3B3CE5E-DD21-4DA7-B7EF-A1E97744136A}"/>
    <cellStyle name="Normal 12 2 2 10" xfId="2901" xr:uid="{A63A2CC4-DDE3-454A-99F9-8D9436C0CE1A}"/>
    <cellStyle name="Normal 12 2 2 10 2" xfId="7464" xr:uid="{B6BB72D1-838C-4CFD-89CC-2848FED843B9}"/>
    <cellStyle name="Normal 12 2 2 11" xfId="5503" xr:uid="{BFFC66A5-D6DB-4D2A-A419-FE635F490CFA}"/>
    <cellStyle name="Normal 12 2 2 2" xfId="852" xr:uid="{2207D729-C93C-4E19-87DB-40BCEC99EFB3}"/>
    <cellStyle name="Normal 12 2 2 2 2" xfId="958" xr:uid="{D5EA6EF9-21B2-4CF5-984D-C8183791BF19}"/>
    <cellStyle name="Normal 12 2 2 2 2 2" xfId="1331" xr:uid="{94BBC802-0ECB-401C-A5A3-E20EA19F80CD}"/>
    <cellStyle name="Normal 12 2 2 2 2 2 2" xfId="2311" xr:uid="{662B57AA-9B99-43CD-9915-101328C84D74}"/>
    <cellStyle name="Normal 12 2 2 2 2 2 2 2" xfId="4721" xr:uid="{021E1810-06A9-4A13-96BC-110570B0BC81}"/>
    <cellStyle name="Normal 12 2 2 2 2 2 2 2 2" xfId="8967" xr:uid="{7BFC4FE0-F5D3-4310-B0B2-094EB98A5AFC}"/>
    <cellStyle name="Normal 12 2 2 2 2 2 2 3" xfId="6876" xr:uid="{338B903D-7310-4600-96ED-524C4F3FBEB1}"/>
    <cellStyle name="Normal 12 2 2 2 2 2 3" xfId="3597" xr:uid="{EDE82005-7AA3-44DF-AB7E-F4B45905AC36}"/>
    <cellStyle name="Normal 12 2 2 2 2 2 3 2" xfId="8064" xr:uid="{6217338B-BD82-46C1-BCAC-B236B5FFD4F2}"/>
    <cellStyle name="Normal 12 2 2 2 2 2 4" xfId="5897" xr:uid="{9592434F-C597-4DB0-A8FC-584D10DF0A2B}"/>
    <cellStyle name="Normal 12 2 2 2 2 3" xfId="1565" xr:uid="{2E4052D8-EFBE-4CEE-BF6B-AA49B39CC83B}"/>
    <cellStyle name="Normal 12 2 2 2 2 3 2" xfId="2545" xr:uid="{D235B247-4052-4A92-838E-D9137143E86F}"/>
    <cellStyle name="Normal 12 2 2 2 2 3 2 2" xfId="5105" xr:uid="{5E9EF169-AD42-47EA-ACA2-104A4C387531}"/>
    <cellStyle name="Normal 12 2 2 2 2 3 2 2 2" xfId="9330" xr:uid="{F526EA5E-B9E5-4E4F-9F67-B63931E14AC7}"/>
    <cellStyle name="Normal 12 2 2 2 2 3 2 3" xfId="7110" xr:uid="{C0240F31-DD78-45D1-BB8C-4946BCC109B4}"/>
    <cellStyle name="Normal 12 2 2 2 2 3 3" xfId="4003" xr:uid="{10A00C57-38D7-4720-9949-C97065912437}"/>
    <cellStyle name="Normal 12 2 2 2 2 3 3 2" xfId="8452" xr:uid="{055B4698-89B0-4794-BB2A-1B17A4854993}"/>
    <cellStyle name="Normal 12 2 2 2 2 3 4" xfId="6131" xr:uid="{D08FEFCA-BF91-4BFE-BE33-92E23AC2EB63}"/>
    <cellStyle name="Normal 12 2 2 2 2 4" xfId="1799" xr:uid="{646DCA0B-0957-4A76-A33A-A4D88995AC92}"/>
    <cellStyle name="Normal 12 2 2 2 2 4 2" xfId="2778" xr:uid="{4AC45807-6A44-4DF4-88CE-94327B06A186}"/>
    <cellStyle name="Normal 12 2 2 2 2 4 2 2" xfId="7343" xr:uid="{F7765484-6C7D-414E-87AE-17805B162D7A}"/>
    <cellStyle name="Normal 12 2 2 2 2 4 3" xfId="4444" xr:uid="{C13FC07F-3579-45E7-B16E-65893CBA4070}"/>
    <cellStyle name="Normal 12 2 2 2 2 4 3 2" xfId="8721" xr:uid="{67E68A87-44B4-4689-9A47-8EBD107FE113}"/>
    <cellStyle name="Normal 12 2 2 2 2 4 4" xfId="6364" xr:uid="{779E60B6-3629-42C3-B0C7-77FE18E6C3A3}"/>
    <cellStyle name="Normal 12 2 2 2 2 5" xfId="2036" xr:uid="{0AAFA942-22DC-44B0-9E5D-9332EA7E4544}"/>
    <cellStyle name="Normal 12 2 2 2 2 5 2" xfId="6601" xr:uid="{1DE542F5-D67B-4688-80B2-4FFDDEBD1E55}"/>
    <cellStyle name="Normal 12 2 2 2 2 6" xfId="3181" xr:uid="{49EAF4C5-36C4-4512-B05A-9CFCF3672185}"/>
    <cellStyle name="Normal 12 2 2 2 2 6 2" xfId="7676" xr:uid="{2AD452F4-B305-4906-A6F9-63A24F835A8B}"/>
    <cellStyle name="Normal 12 2 2 2 2 7" xfId="5622" xr:uid="{54F2546F-1F86-404A-9B41-EF06E1FFCAF6}"/>
    <cellStyle name="Normal 12 2 2 2 3" xfId="1040" xr:uid="{09B7708E-FC7D-4FA6-A55B-C76969B91482}"/>
    <cellStyle name="Normal 12 2 2 2 3 2" xfId="1408" xr:uid="{05363AB2-E5B3-4158-B4C0-C9269A650B95}"/>
    <cellStyle name="Normal 12 2 2 2 3 2 2" xfId="2388" xr:uid="{3081EA98-E84E-4C40-8A2F-50E5E9465681}"/>
    <cellStyle name="Normal 12 2 2 2 3 2 2 2" xfId="5210" xr:uid="{33DC883B-64C2-4F31-A9AB-BEB55142934A}"/>
    <cellStyle name="Normal 12 2 2 2 3 2 2 2 2" xfId="9435" xr:uid="{18D93A04-8639-4A54-AEA0-EA1E20ECA6D6}"/>
    <cellStyle name="Normal 12 2 2 2 3 2 2 3" xfId="6953" xr:uid="{B054DC82-6DA3-47E9-AF9C-930DD06D0757}"/>
    <cellStyle name="Normal 12 2 2 2 3 2 3" xfId="3702" xr:uid="{B78AE367-0036-4B69-999B-3092ACD2FBDA}"/>
    <cellStyle name="Normal 12 2 2 2 3 2 3 2" xfId="8169" xr:uid="{07CA4E47-82FE-4C7A-9ECC-7A7719919B01}"/>
    <cellStyle name="Normal 12 2 2 2 3 2 4" xfId="5974" xr:uid="{C1465796-3271-4217-946E-F53F4ABA4AEE}"/>
    <cellStyle name="Normal 12 2 2 2 3 3" xfId="1642" xr:uid="{83E6FBEA-B516-47DF-8D7C-71AAA5E30C3F}"/>
    <cellStyle name="Normal 12 2 2 2 3 3 2" xfId="2622" xr:uid="{20979358-0856-4FA4-83A2-B6F88EE57D74}"/>
    <cellStyle name="Normal 12 2 2 2 3 3 2 2" xfId="7187" xr:uid="{9BD8D0A2-22F9-428B-8D94-25B594D21FE4}"/>
    <cellStyle name="Normal 12 2 2 2 3 3 3" xfId="4108" xr:uid="{FE7F83FA-6DD9-419D-B821-E4B8D5ED9C0E}"/>
    <cellStyle name="Normal 12 2 2 2 3 3 3 2" xfId="8557" xr:uid="{33D54194-7125-42C3-A557-927A90662B4B}"/>
    <cellStyle name="Normal 12 2 2 2 3 3 4" xfId="6208" xr:uid="{9F8E66FB-9385-4732-B5CD-57520AE2E771}"/>
    <cellStyle name="Normal 12 2 2 2 3 4" xfId="1876" xr:uid="{A1E25676-F052-4A42-B5A1-C2ADE80FA12D}"/>
    <cellStyle name="Normal 12 2 2 2 3 4 2" xfId="2855" xr:uid="{7FE426A1-594C-48E4-9D54-6FA01117CFB0}"/>
    <cellStyle name="Normal 12 2 2 2 3 4 2 2" xfId="7420" xr:uid="{C143B19D-3D65-4979-86C7-A733B67C9897}"/>
    <cellStyle name="Normal 12 2 2 2 3 4 3" xfId="4578" xr:uid="{AB54206E-5C77-4029-9924-3F6667497341}"/>
    <cellStyle name="Normal 12 2 2 2 3 4 3 2" xfId="8833" xr:uid="{AED7BD8C-A7DA-4451-BA23-258B35A70CD6}"/>
    <cellStyle name="Normal 12 2 2 2 3 4 4" xfId="6441" xr:uid="{2B81ECC8-1473-4011-81B0-2A24AECE16E8}"/>
    <cellStyle name="Normal 12 2 2 2 3 5" xfId="2113" xr:uid="{72287AE8-711D-4639-A2F0-D3FDD5787285}"/>
    <cellStyle name="Normal 12 2 2 2 3 5 2" xfId="6678" xr:uid="{FE79E429-8550-4782-B77B-D012BA6F7BB7}"/>
    <cellStyle name="Normal 12 2 2 2 3 6" xfId="3288" xr:uid="{FEE74D74-FAD7-4C6A-98BD-71481EE722CA}"/>
    <cellStyle name="Normal 12 2 2 2 3 6 2" xfId="7781" xr:uid="{64981D07-FCAD-4E0C-A486-375FFEF1F125}"/>
    <cellStyle name="Normal 12 2 2 2 3 7" xfId="5699" xr:uid="{36709F9D-33F4-4485-894F-F59892A08C4F}"/>
    <cellStyle name="Normal 12 2 2 2 4" xfId="1252" xr:uid="{8B47263C-6EC3-40D1-91D0-893EAC8F5783}"/>
    <cellStyle name="Normal 12 2 2 2 4 2" xfId="2234" xr:uid="{E2EB76C0-8EDE-47A3-B720-5F2C0C8450A7}"/>
    <cellStyle name="Normal 12 2 2 2 4 2 2" xfId="4882" xr:uid="{7659E40E-2DE4-46BD-93A4-F6686EB2DE18}"/>
    <cellStyle name="Normal 12 2 2 2 4 2 2 2" xfId="9115" xr:uid="{465BA43F-5809-4D7F-9C47-BEDA11E478AD}"/>
    <cellStyle name="Normal 12 2 2 2 4 2 3" xfId="3492" xr:uid="{C02CCDFB-FEEE-4DB8-9356-4F0F41E9A6AA}"/>
    <cellStyle name="Normal 12 2 2 2 4 2 3 2" xfId="7959" xr:uid="{BC06F80B-ECEE-44CE-83C3-DC3682E135FF}"/>
    <cellStyle name="Normal 12 2 2 2 4 2 4" xfId="6799" xr:uid="{69472AF7-9B9C-44DF-8719-0390CBB00E83}"/>
    <cellStyle name="Normal 12 2 2 2 4 3" xfId="3898" xr:uid="{FE304CB4-9234-43BE-A7F4-5F16E82AE47E}"/>
    <cellStyle name="Normal 12 2 2 2 4 3 2" xfId="8347" xr:uid="{83B0FEF3-D9D7-4B62-B27D-3C856CFB0944}"/>
    <cellStyle name="Normal 12 2 2 2 4 4" xfId="4644" xr:uid="{7E8DEF2F-0524-4E64-901B-D99A8E214A86}"/>
    <cellStyle name="Normal 12 2 2 2 4 4 2" xfId="8890" xr:uid="{69676C44-2488-4CA7-9393-C1927AF79173}"/>
    <cellStyle name="Normal 12 2 2 2 4 5" xfId="3061" xr:uid="{A2467171-2012-4561-8BDE-FA5BC582CB0F}"/>
    <cellStyle name="Normal 12 2 2 2 4 5 2" xfId="7571" xr:uid="{C862A0EB-159D-49D6-824B-8CFA80A8CDE2}"/>
    <cellStyle name="Normal 12 2 2 2 4 6" xfId="5820" xr:uid="{0224C590-D5A8-4D91-AF01-5A180DB8C9E9}"/>
    <cellStyle name="Normal 12 2 2 2 5" xfId="1488" xr:uid="{79F47885-F4BC-416B-8AAD-6A157D69842D}"/>
    <cellStyle name="Normal 12 2 2 2 5 2" xfId="2468" xr:uid="{3C7D2B32-7ABA-4AFD-B910-26FCCF43A6CD}"/>
    <cellStyle name="Normal 12 2 2 2 5 2 2" xfId="4943" xr:uid="{079FCC64-E6A1-4E03-8E48-54AB63F0A3B0}"/>
    <cellStyle name="Normal 12 2 2 2 5 2 2 2" xfId="9173" xr:uid="{1A14BA1E-44B7-4BDE-8F28-ADE63586B250}"/>
    <cellStyle name="Normal 12 2 2 2 5 2 3" xfId="7033" xr:uid="{1A66A01F-E272-4DCA-BDB4-686ACB7EBBE7}"/>
    <cellStyle name="Normal 12 2 2 2 5 3" xfId="3418" xr:uid="{7EE5CFE6-4DA6-4C44-BF49-8732A449B155}"/>
    <cellStyle name="Normal 12 2 2 2 5 3 2" xfId="7886" xr:uid="{819BC38F-E077-4531-BBF7-9939077476D7}"/>
    <cellStyle name="Normal 12 2 2 2 5 4" xfId="6054" xr:uid="{2A5AB2BD-6EEB-4B57-BD3D-43B262503E0F}"/>
    <cellStyle name="Normal 12 2 2 2 6" xfId="1722" xr:uid="{AF1824D6-B4FC-42DA-975A-E427F698472B}"/>
    <cellStyle name="Normal 12 2 2 2 6 2" xfId="2701" xr:uid="{BF1B6BC6-B816-42B1-9D6A-FADB1DCF890C}"/>
    <cellStyle name="Normal 12 2 2 2 6 2 2" xfId="7266" xr:uid="{AD464BE0-84B0-47E1-B9DA-B60B742629F8}"/>
    <cellStyle name="Normal 12 2 2 2 6 3" xfId="3825" xr:uid="{59BF525E-7B4C-4BC6-BDC9-00D305C32728}"/>
    <cellStyle name="Normal 12 2 2 2 6 3 2" xfId="8274" xr:uid="{EE5CE242-C252-4CAD-BE6F-E848D705A657}"/>
    <cellStyle name="Normal 12 2 2 2 6 4" xfId="6287" xr:uid="{F490907F-5216-4086-B9CE-0840363D1BBE}"/>
    <cellStyle name="Normal 12 2 2 2 7" xfId="1959" xr:uid="{5703B11F-2D95-4952-A08F-C9B83803EFE0}"/>
    <cellStyle name="Normal 12 2 2 2 7 2" xfId="4296" xr:uid="{6495EE6C-8078-43FA-A4E3-A9101E42A826}"/>
    <cellStyle name="Normal 12 2 2 2 7 2 2" xfId="8649" xr:uid="{474436D3-3202-403C-87AC-9A3DC8A001C0}"/>
    <cellStyle name="Normal 12 2 2 2 7 3" xfId="6524" xr:uid="{4528E715-8F26-46AE-A5B6-FC2C513BDD9E}"/>
    <cellStyle name="Normal 12 2 2 2 8" xfId="2936" xr:uid="{66D34BF1-E511-44ED-A878-0C3F6994563E}"/>
    <cellStyle name="Normal 12 2 2 2 8 2" xfId="7498" xr:uid="{963D87AC-B359-4098-940C-27351327AC48}"/>
    <cellStyle name="Normal 12 2 2 2 9" xfId="5545" xr:uid="{5CEDE01B-5BFB-4DC9-89CB-1E7360D82E4E}"/>
    <cellStyle name="Normal 12 2 2 3" xfId="895" xr:uid="{6B93D40F-88D8-4D98-8AE0-A53D173E8E95}"/>
    <cellStyle name="Normal 12 2 2 3 2" xfId="1287" xr:uid="{68BA118A-D7F7-48FF-A722-FDDABB9ED065}"/>
    <cellStyle name="Normal 12 2 2 3 2 2" xfId="2269" xr:uid="{E8B8C8FA-9CD2-4920-AB3F-ACEE7A307CCC}"/>
    <cellStyle name="Normal 12 2 2 3 2 2 2" xfId="5139" xr:uid="{23E0993C-E7DA-4C0A-8734-D5313C564DC6}"/>
    <cellStyle name="Normal 12 2 2 3 2 2 2 2" xfId="9364" xr:uid="{219C28C2-EE7A-4378-ABA7-2BDD49A4DC5E}"/>
    <cellStyle name="Normal 12 2 2 3 2 2 3" xfId="3631" xr:uid="{7B087B5A-25D9-4DCB-BAE2-8E502CD80B0A}"/>
    <cellStyle name="Normal 12 2 2 3 2 2 3 2" xfId="8098" xr:uid="{FA9E29F9-EC5A-4938-B016-3CE17929F3FE}"/>
    <cellStyle name="Normal 12 2 2 3 2 2 4" xfId="6834" xr:uid="{78A273B4-DDDD-4124-86F5-CA5F33F120F2}"/>
    <cellStyle name="Normal 12 2 2 3 2 3" xfId="4037" xr:uid="{8BAE748C-8EB8-4B30-AC99-37C138C3518C}"/>
    <cellStyle name="Normal 12 2 2 3 2 3 2" xfId="8486" xr:uid="{AF78D35E-299D-4128-BBB6-8A1A064AD2CA}"/>
    <cellStyle name="Normal 12 2 2 3 2 4" xfId="4755" xr:uid="{50C63444-2DE4-41B9-B56A-114DB6A7CAB9}"/>
    <cellStyle name="Normal 12 2 2 3 2 4 2" xfId="9001" xr:uid="{18E3AEB1-C73C-4E81-9028-5FD3EF3A8DD0}"/>
    <cellStyle name="Normal 12 2 2 3 2 5" xfId="3215" xr:uid="{E1D1CD92-DC44-47D3-97F3-8774C26B89C1}"/>
    <cellStyle name="Normal 12 2 2 3 2 5 2" xfId="7710" xr:uid="{3D08A77D-6382-4EA9-8C36-EF3FEAA41489}"/>
    <cellStyle name="Normal 12 2 2 3 2 6" xfId="5855" xr:uid="{997356F8-74AB-459A-B7FF-AF355E695994}"/>
    <cellStyle name="Normal 12 2 2 3 3" xfId="1523" xr:uid="{AEB804BB-62C4-48BC-AAA6-8571952D69AF}"/>
    <cellStyle name="Normal 12 2 2 3 3 2" xfId="2503" xr:uid="{1653729E-355A-45FC-B0BE-3F85CD66C8A4}"/>
    <cellStyle name="Normal 12 2 2 3 3 2 2" xfId="5244" xr:uid="{EEC7AD23-0655-4898-AC53-7DBBEA65F935}"/>
    <cellStyle name="Normal 12 2 2 3 3 2 2 2" xfId="9469" xr:uid="{D38BB6EC-2715-44F9-B161-59C46EEEB3B3}"/>
    <cellStyle name="Normal 12 2 2 3 3 2 3" xfId="3736" xr:uid="{A4AAF058-F364-4230-90BF-F32872839545}"/>
    <cellStyle name="Normal 12 2 2 3 3 2 3 2" xfId="8203" xr:uid="{0B5ED5E9-D977-49C4-BD71-1979F4A70EC0}"/>
    <cellStyle name="Normal 12 2 2 3 3 2 4" xfId="7068" xr:uid="{96C71D35-F652-4BC8-8DD7-EC90684E849C}"/>
    <cellStyle name="Normal 12 2 2 3 3 3" xfId="4142" xr:uid="{458E2BC5-B654-476A-A524-C4D5557AF597}"/>
    <cellStyle name="Normal 12 2 2 3 3 3 2" xfId="8591" xr:uid="{94257091-9666-4452-8670-FB4F11BB554B}"/>
    <cellStyle name="Normal 12 2 2 3 3 4" xfId="4831" xr:uid="{DAF54545-E21B-42CA-A880-68D2E26E0F96}"/>
    <cellStyle name="Normal 12 2 2 3 3 4 2" xfId="9077" xr:uid="{E5E42DF0-3E7C-4B07-8120-573C3E586EF7}"/>
    <cellStyle name="Normal 12 2 2 3 3 5" xfId="3326" xr:uid="{B8A679FB-F9C7-4D57-8433-3B2D6B1FC9B9}"/>
    <cellStyle name="Normal 12 2 2 3 3 5 2" xfId="7815" xr:uid="{F0657462-EEF7-479B-8DE6-4A94199C3A2F}"/>
    <cellStyle name="Normal 12 2 2 3 3 6" xfId="6089" xr:uid="{4455BA14-C3E2-4272-90E7-9B6506771FBD}"/>
    <cellStyle name="Normal 12 2 2 3 4" xfId="1757" xr:uid="{4D55D75D-FFFA-4204-B000-274D9E686522}"/>
    <cellStyle name="Normal 12 2 2 3 4 2" xfId="2736" xr:uid="{507B49BA-C5C9-42CE-B86F-457BED4124E6}"/>
    <cellStyle name="Normal 12 2 2 3 4 2 2" xfId="4673" xr:uid="{4C194A6A-6243-4308-8C9D-6AB061F1215F}"/>
    <cellStyle name="Normal 12 2 2 3 4 2 2 2" xfId="8919" xr:uid="{6A5C2AB9-0304-4860-875D-446164285E88}"/>
    <cellStyle name="Normal 12 2 2 3 4 2 3" xfId="7301" xr:uid="{84AE6561-9529-4BC7-9C60-D7F0081A6AF5}"/>
    <cellStyle name="Normal 12 2 2 3 4 3" xfId="3526" xr:uid="{E72B45E0-DD5C-464F-93E6-C92A824402B5}"/>
    <cellStyle name="Normal 12 2 2 3 4 3 2" xfId="7993" xr:uid="{C576FAE9-ADA9-485E-B85D-A7390A83680E}"/>
    <cellStyle name="Normal 12 2 2 3 4 4" xfId="6322" xr:uid="{DE5CF77C-81A5-446A-8DF7-3CDAA834E011}"/>
    <cellStyle name="Normal 12 2 2 3 5" xfId="1994" xr:uid="{2C9414F5-E48A-4A47-BB76-BA758ED995FE}"/>
    <cellStyle name="Normal 12 2 2 3 5 2" xfId="5035" xr:uid="{575579C8-C67A-485A-AB10-A7C8D427CFBB}"/>
    <cellStyle name="Normal 12 2 2 3 5 2 2" xfId="9261" xr:uid="{B4B7DA25-272B-4689-B2C8-617A5615180A}"/>
    <cellStyle name="Normal 12 2 2 3 5 3" xfId="3932" xr:uid="{9C367791-AD60-4293-8E67-1C65455914B9}"/>
    <cellStyle name="Normal 12 2 2 3 5 3 2" xfId="8381" xr:uid="{50D79772-F136-44DE-852D-14F891B1C44D}"/>
    <cellStyle name="Normal 12 2 2 3 5 4" xfId="6559" xr:uid="{EC95691C-CF36-446D-B160-8D79B9022119}"/>
    <cellStyle name="Normal 12 2 2 3 6" xfId="4416" xr:uid="{5B2BB652-F60A-43EE-ADC8-91CB931D4D45}"/>
    <cellStyle name="Normal 12 2 2 3 6 2" xfId="8693" xr:uid="{A046589B-D917-4A9A-9EBD-F9D0DE08343A}"/>
    <cellStyle name="Normal 12 2 2 3 7" xfId="3099" xr:uid="{58537500-060B-46B3-9DE0-9E88604EF3AC}"/>
    <cellStyle name="Normal 12 2 2 3 7 2" xfId="7605" xr:uid="{93A326DB-04F0-4211-AD88-2D04CB153BCE}"/>
    <cellStyle name="Normal 12 2 2 3 8" xfId="5580" xr:uid="{E03310B4-7CF1-42E9-8621-51B6CF969745}"/>
    <cellStyle name="Normal 12 2 2 4" xfId="998" xr:uid="{9AE2CF75-E2F2-47E9-9A93-25C6B36440A9}"/>
    <cellStyle name="Normal 12 2 2 4 2" xfId="1366" xr:uid="{C65E7BFC-5B33-4686-ABC2-15E68A7C0E8A}"/>
    <cellStyle name="Normal 12 2 2 4 2 2" xfId="2346" xr:uid="{3D5A622A-59ED-4713-83C3-A1DE6E080990}"/>
    <cellStyle name="Normal 12 2 2 4 2 2 2" xfId="5071" xr:uid="{C4B02FBC-0584-4984-A70F-6D699EE7F014}"/>
    <cellStyle name="Normal 12 2 2 4 2 2 2 2" xfId="9297" xr:uid="{57B691FB-ADB9-4F5D-9AF6-4B0193677EE8}"/>
    <cellStyle name="Normal 12 2 2 4 2 2 3" xfId="6911" xr:uid="{0C236781-DA9C-4FD7-9C38-AD811B6A5EAC}"/>
    <cellStyle name="Normal 12 2 2 4 2 3" xfId="3563" xr:uid="{C70E48ED-0A5D-4A41-8B43-4EE6415FEDB5}"/>
    <cellStyle name="Normal 12 2 2 4 2 3 2" xfId="8030" xr:uid="{9B5D2E9A-455F-4AA2-91B0-8EB669D0D186}"/>
    <cellStyle name="Normal 12 2 2 4 2 4" xfId="5932" xr:uid="{328BF136-B05A-45B4-B060-E774C5425F64}"/>
    <cellStyle name="Normal 12 2 2 4 3" xfId="1600" xr:uid="{AFE9B049-6ECD-49E9-A6BD-76C747F4E5E7}"/>
    <cellStyle name="Normal 12 2 2 4 3 2" xfId="2580" xr:uid="{1478EC63-6DAB-4D21-9772-7C0511AB022C}"/>
    <cellStyle name="Normal 12 2 2 4 3 2 2" xfId="7145" xr:uid="{424EF7C1-2F5B-4AE5-ADFE-A412EB0F3163}"/>
    <cellStyle name="Normal 12 2 2 4 3 3" xfId="3969" xr:uid="{29BF6A0F-1C1C-4B33-BCCA-05BDB3EF2472}"/>
    <cellStyle name="Normal 12 2 2 4 3 3 2" xfId="8418" xr:uid="{3A49A907-B88A-43C1-B046-D3CD238FCB1C}"/>
    <cellStyle name="Normal 12 2 2 4 3 4" xfId="6166" xr:uid="{EC3762AE-D6BE-4B57-9ABE-E870EEAC60D4}"/>
    <cellStyle name="Normal 12 2 2 4 4" xfId="1834" xr:uid="{0A58E5A5-4890-4187-AA62-D5C501179F28}"/>
    <cellStyle name="Normal 12 2 2 4 4 2" xfId="2813" xr:uid="{3E7191C1-3167-4732-A48B-6B3ABE48891A}"/>
    <cellStyle name="Normal 12 2 2 4 4 2 2" xfId="7378" xr:uid="{6AC69D23-1C2C-45DA-8D5B-31EA76DBD5AC}"/>
    <cellStyle name="Normal 12 2 2 4 4 3" xfId="4520" xr:uid="{BA8C335F-1F47-41C1-97B0-BB29BEA51BB9}"/>
    <cellStyle name="Normal 12 2 2 4 4 3 2" xfId="8787" xr:uid="{32C4A7CE-3BF9-4024-A518-BEF51019E159}"/>
    <cellStyle name="Normal 12 2 2 4 4 4" xfId="6399" xr:uid="{63F78517-4EC5-4056-A875-3609B4BF51F2}"/>
    <cellStyle name="Normal 12 2 2 4 5" xfId="2071" xr:uid="{C6049244-C3B5-41B8-9932-85FEA73741A6}"/>
    <cellStyle name="Normal 12 2 2 4 5 2" xfId="6636" xr:uid="{367EFA58-9B4D-4A1E-A5AA-C7A8A43F82BA}"/>
    <cellStyle name="Normal 12 2 2 4 6" xfId="3147" xr:uid="{BC02D091-14CD-46AB-B5D2-5D31CA6D0B73}"/>
    <cellStyle name="Normal 12 2 2 4 6 2" xfId="7642" xr:uid="{D214D54B-031E-44FB-9131-B04B15E334A7}"/>
    <cellStyle name="Normal 12 2 2 4 7" xfId="5657" xr:uid="{AF30C147-1DE1-470E-A298-8AC49DCAEDFD}"/>
    <cellStyle name="Normal 12 2 2 5" xfId="1137" xr:uid="{EC9E2EE4-CAC0-4910-8E5B-C673DD014DBC}"/>
    <cellStyle name="Normal 12 2 2 5 2" xfId="2154" xr:uid="{704D224C-F5DC-49EA-980E-AFE4487F3584}"/>
    <cellStyle name="Normal 12 2 2 5 2 2" xfId="5176" xr:uid="{1343F665-9323-4952-A84B-A023C4452D07}"/>
    <cellStyle name="Normal 12 2 2 5 2 2 2" xfId="9401" xr:uid="{72FC5F3D-7DB6-4154-AF65-016E3D7F5D24}"/>
    <cellStyle name="Normal 12 2 2 5 2 3" xfId="3668" xr:uid="{CCD7FC93-06C2-46F5-AB7C-DB4EECD4FF11}"/>
    <cellStyle name="Normal 12 2 2 5 2 3 2" xfId="8135" xr:uid="{C8C18E89-C669-4A91-A94F-CD1866AB7E84}"/>
    <cellStyle name="Normal 12 2 2 5 2 4" xfId="6719" xr:uid="{497B8D98-5824-4F56-90DA-8558DC30E342}"/>
    <cellStyle name="Normal 12 2 2 5 3" xfId="4074" xr:uid="{B8C6A57E-9954-4348-ACB4-88713033EF91}"/>
    <cellStyle name="Normal 12 2 2 5 3 2" xfId="8523" xr:uid="{30EFABCE-33D7-4606-AA32-38F37B544783}"/>
    <cellStyle name="Normal 12 2 2 5 4" xfId="4791" xr:uid="{6993736B-DA70-410F-92F3-17DE647BDBEB}"/>
    <cellStyle name="Normal 12 2 2 5 4 2" xfId="9037" xr:uid="{D564FFDF-41D3-4387-ABAC-FB0B0F464B65}"/>
    <cellStyle name="Normal 12 2 2 5 5" xfId="3253" xr:uid="{09E3D847-E47A-4132-AFF4-A71A9044B35E}"/>
    <cellStyle name="Normal 12 2 2 5 5 2" xfId="7747" xr:uid="{064E9398-D980-48E5-86BC-82DA7F3CFBCA}"/>
    <cellStyle name="Normal 12 2 2 5 6" xfId="5740" xr:uid="{F624DC78-DE25-4003-95C2-D9710FBE95CB}"/>
    <cellStyle name="Normal 12 2 2 6" xfId="1206" xr:uid="{AA44BF77-F772-4F80-A280-6524E41A7A89}"/>
    <cellStyle name="Normal 12 2 2 6 2" xfId="2192" xr:uid="{84E9622D-E17E-48F3-8FCB-347CA4FEAD1F}"/>
    <cellStyle name="Normal 12 2 2 6 2 2" xfId="4893" xr:uid="{73FC7A27-4BA1-4EE6-8613-201149EE0B9C}"/>
    <cellStyle name="Normal 12 2 2 6 2 2 2" xfId="9125" xr:uid="{8B1D0850-D25F-44EC-8B5B-6284FA0BFAB2}"/>
    <cellStyle name="Normal 12 2 2 6 2 3" xfId="3457" xr:uid="{AAC796B8-3D78-4217-8297-B3FE0F624253}"/>
    <cellStyle name="Normal 12 2 2 6 2 3 2" xfId="7925" xr:uid="{2FD1F78E-D664-4ED2-9F59-3079EE99DD17}"/>
    <cellStyle name="Normal 12 2 2 6 2 4" xfId="6757" xr:uid="{BBD43A86-ACC7-449A-95B8-09AE76AFA1DB}"/>
    <cellStyle name="Normal 12 2 2 6 3" xfId="3864" xr:uid="{90316728-8D4C-402C-BA96-FF7F560F8E84}"/>
    <cellStyle name="Normal 12 2 2 6 3 2" xfId="8313" xr:uid="{1DCF570D-94AD-4FBE-9940-C7DC732C7A60}"/>
    <cellStyle name="Normal 12 2 2 6 4" xfId="4502" xr:uid="{1D365124-926A-4840-A60E-272A4A2EC88B}"/>
    <cellStyle name="Normal 12 2 2 6 4 2" xfId="8772" xr:uid="{5F4AE1DF-1B93-40DB-B95B-B3D8FE816EA4}"/>
    <cellStyle name="Normal 12 2 2 6 5" xfId="3013" xr:uid="{8B4954A0-0D4E-44E7-93D4-6575989ADACA}"/>
    <cellStyle name="Normal 12 2 2 6 5 2" xfId="7537" xr:uid="{9EEB579E-B202-49BA-A988-4844CFE76C46}"/>
    <cellStyle name="Normal 12 2 2 6 6" xfId="5778" xr:uid="{A174E827-5D43-44D9-8B94-D1B0DCC1824D}"/>
    <cellStyle name="Normal 12 2 2 7" xfId="1446" xr:uid="{F26907E7-EEDA-4C19-AD4B-AE028C6BFBEE}"/>
    <cellStyle name="Normal 12 2 2 7 2" xfId="2426" xr:uid="{91444890-8991-422C-8FB4-BEB9E7501F7C}"/>
    <cellStyle name="Normal 12 2 2 7 2 2" xfId="4898" xr:uid="{F3AEB71F-8D03-4D98-919E-AE5DE542718A}"/>
    <cellStyle name="Normal 12 2 2 7 2 2 2" xfId="9129" xr:uid="{F03846E7-7515-4300-AC75-29B03CF6288A}"/>
    <cellStyle name="Normal 12 2 2 7 2 3" xfId="6991" xr:uid="{A3531E21-316E-4E4C-A469-64BBED48294A}"/>
    <cellStyle name="Normal 12 2 2 7 3" xfId="3365" xr:uid="{EEE1D8F3-E2CF-41A8-AACB-6D53F3BE5E5F}"/>
    <cellStyle name="Normal 12 2 2 7 3 2" xfId="7852" xr:uid="{72BE823C-4359-4E60-BB5D-07F6D2AFDC2D}"/>
    <cellStyle name="Normal 12 2 2 7 4" xfId="6012" xr:uid="{26D217D1-D85E-4A8C-8174-4C96AAC8616A}"/>
    <cellStyle name="Normal 12 2 2 8" xfId="1704" xr:uid="{527ACCA7-2E8B-40D4-932F-B3432A805FDF}"/>
    <cellStyle name="Normal 12 2 2 8 2" xfId="2684" xr:uid="{42D12E42-2BBA-4464-AE88-350A2560DADA}"/>
    <cellStyle name="Normal 12 2 2 8 2 2" xfId="7249" xr:uid="{FB4122F3-E133-4C3B-AADF-60D1C064B2E7}"/>
    <cellStyle name="Normal 12 2 2 8 3" xfId="3789" xr:uid="{9A92AD6F-6012-4D4C-ABD2-EE084D3D3B5A}"/>
    <cellStyle name="Normal 12 2 2 8 3 2" xfId="8240" xr:uid="{37A9C099-B4B8-41A2-BEC3-95FD119ADADA}"/>
    <cellStyle name="Normal 12 2 2 8 4" xfId="6270" xr:uid="{38CF3759-A362-4A9D-87FC-FFE3A674DDA0}"/>
    <cellStyle name="Normal 12 2 2 9" xfId="1917" xr:uid="{7EFD1956-20BD-4DC4-B784-8C6ACD654C75}"/>
    <cellStyle name="Normal 12 2 2 9 2" xfId="4244" xr:uid="{A7F9AEFD-5550-46D5-958A-F281D2C69535}"/>
    <cellStyle name="Normal 12 2 2 9 2 2" xfId="8621" xr:uid="{4A4D8375-464B-4DC0-9D70-1E290C54D654}"/>
    <cellStyle name="Normal 12 2 2 9 3" xfId="6482" xr:uid="{B0A3645E-5B75-431E-8945-DF103339B466}"/>
    <cellStyle name="Normal 12 2 3" xfId="337" xr:uid="{D7D314DB-C795-4C9B-B1D5-8B4794558DCF}"/>
    <cellStyle name="Normal 12 2 4" xfId="851" xr:uid="{BBE3A696-4374-4073-839B-E8319D86BDD1}"/>
    <cellStyle name="Normal 12 2 4 2" xfId="957" xr:uid="{FA88B214-1FF4-48E7-B459-9E04C279C11E}"/>
    <cellStyle name="Normal 12 2 4 2 2" xfId="1330" xr:uid="{E73E9836-CA65-4081-90CA-8F1CF744481B}"/>
    <cellStyle name="Normal 12 2 4 2 2 2" xfId="2310" xr:uid="{345C5B78-6FBB-4E6F-AAC3-A53ED4EA8667}"/>
    <cellStyle name="Normal 12 2 4 2 2 2 2" xfId="4720" xr:uid="{E4BA4DAA-8E1F-4798-AF2C-D5786F286477}"/>
    <cellStyle name="Normal 12 2 4 2 2 2 2 2" xfId="8966" xr:uid="{FAC07E59-862A-4FB8-AF68-3B5D3E80C20F}"/>
    <cellStyle name="Normal 12 2 4 2 2 2 3" xfId="6875" xr:uid="{4D903499-84DD-48ED-8D52-8E21559870AC}"/>
    <cellStyle name="Normal 12 2 4 2 2 3" xfId="3596" xr:uid="{3FB2D948-1785-43F0-90C2-E211D6460736}"/>
    <cellStyle name="Normal 12 2 4 2 2 3 2" xfId="8063" xr:uid="{D480214E-0356-4802-888B-A07E6762CEA8}"/>
    <cellStyle name="Normal 12 2 4 2 2 4" xfId="5896" xr:uid="{C699411C-B3A7-45D0-BE35-63725D4C2AEB}"/>
    <cellStyle name="Normal 12 2 4 2 3" xfId="1564" xr:uid="{7BFF5018-D8A3-47B3-A052-BE5AE557E44C}"/>
    <cellStyle name="Normal 12 2 4 2 3 2" xfId="2544" xr:uid="{9FC6E3C1-9842-4CF6-919B-4766A2D9870F}"/>
    <cellStyle name="Normal 12 2 4 2 3 2 2" xfId="5104" xr:uid="{ECC40134-1CA1-4958-BCF7-07FD19DF51B8}"/>
    <cellStyle name="Normal 12 2 4 2 3 2 2 2" xfId="9329" xr:uid="{5954F5B4-4CA3-4034-9E3E-5C49FFB1C7E9}"/>
    <cellStyle name="Normal 12 2 4 2 3 2 3" xfId="7109" xr:uid="{28031A1F-1614-4DB5-836C-D9B791941D2F}"/>
    <cellStyle name="Normal 12 2 4 2 3 3" xfId="4002" xr:uid="{BD650642-6624-4A86-A747-5265C0B5D724}"/>
    <cellStyle name="Normal 12 2 4 2 3 3 2" xfId="8451" xr:uid="{E74B6485-1264-4028-995E-0547BB935571}"/>
    <cellStyle name="Normal 12 2 4 2 3 4" xfId="6130" xr:uid="{28269226-6A72-4899-807C-DBB5E88C8FD9}"/>
    <cellStyle name="Normal 12 2 4 2 4" xfId="1798" xr:uid="{6F09A1AC-8D83-4505-A9CF-340373A1038B}"/>
    <cellStyle name="Normal 12 2 4 2 4 2" xfId="2777" xr:uid="{062E5A7F-D33A-40A8-9746-9EE711E291DE}"/>
    <cellStyle name="Normal 12 2 4 2 4 2 2" xfId="7342" xr:uid="{AFC4ABBE-C153-4C48-BE6E-D5EEB31301E8}"/>
    <cellStyle name="Normal 12 2 4 2 4 3" xfId="4443" xr:uid="{79DC38C8-C761-4B0B-90BF-7EF6EC0D0577}"/>
    <cellStyle name="Normal 12 2 4 2 4 3 2" xfId="8720" xr:uid="{009B0F2D-8A04-430A-8314-3747276F44E0}"/>
    <cellStyle name="Normal 12 2 4 2 4 4" xfId="6363" xr:uid="{CBD6D61E-0A2F-44BD-96A7-9FBB2E7584A2}"/>
    <cellStyle name="Normal 12 2 4 2 5" xfId="2035" xr:uid="{E8A1E723-AFC2-46B9-A80A-4BDF240A1691}"/>
    <cellStyle name="Normal 12 2 4 2 5 2" xfId="6600" xr:uid="{F7A43066-A75B-4D3A-BE15-FB7C99271812}"/>
    <cellStyle name="Normal 12 2 4 2 6" xfId="3180" xr:uid="{90E8EE12-53B9-4B9A-B4FC-F9A77D731466}"/>
    <cellStyle name="Normal 12 2 4 2 6 2" xfId="7675" xr:uid="{CB29BC43-EA58-4A85-ACA6-18555AB5669D}"/>
    <cellStyle name="Normal 12 2 4 2 7" xfId="5621" xr:uid="{61D45E94-F6A4-489A-9831-A593D6BAE80B}"/>
    <cellStyle name="Normal 12 2 4 3" xfId="1039" xr:uid="{3EE5C8D0-DB1C-472D-AC60-3A95A73B1CFD}"/>
    <cellStyle name="Normal 12 2 4 3 2" xfId="1407" xr:uid="{91BB2A6B-E03C-4208-A682-C0F1210CC9CD}"/>
    <cellStyle name="Normal 12 2 4 3 2 2" xfId="2387" xr:uid="{66B8F05D-4403-486D-8E5D-7FCC13BA1B49}"/>
    <cellStyle name="Normal 12 2 4 3 2 2 2" xfId="5209" xr:uid="{C426F469-9C10-494E-920D-81BDCB706639}"/>
    <cellStyle name="Normal 12 2 4 3 2 2 2 2" xfId="9434" xr:uid="{FE1C18BD-F79B-4CF9-8924-3C2739B18871}"/>
    <cellStyle name="Normal 12 2 4 3 2 2 3" xfId="6952" xr:uid="{3A177791-5750-4216-ABA2-D3190F8F927B}"/>
    <cellStyle name="Normal 12 2 4 3 2 3" xfId="3701" xr:uid="{12E667CA-E67D-47C7-A3C0-B777077F5FED}"/>
    <cellStyle name="Normal 12 2 4 3 2 3 2" xfId="8168" xr:uid="{33F04830-57BE-4073-963F-5B2979C4AFFD}"/>
    <cellStyle name="Normal 12 2 4 3 2 4" xfId="5973" xr:uid="{AD73BA1B-1445-4EF3-8056-35AEFE532205}"/>
    <cellStyle name="Normal 12 2 4 3 3" xfId="1641" xr:uid="{77F4DD09-7D50-4C40-A18F-78A5180FD130}"/>
    <cellStyle name="Normal 12 2 4 3 3 2" xfId="2621" xr:uid="{DAA19733-91EE-418C-BAD3-A38066DDDA48}"/>
    <cellStyle name="Normal 12 2 4 3 3 2 2" xfId="7186" xr:uid="{2054820A-E471-4858-A985-933D0234E460}"/>
    <cellStyle name="Normal 12 2 4 3 3 3" xfId="4107" xr:uid="{C0C54D0C-BCEF-4219-9A7C-D5E5A026E8DB}"/>
    <cellStyle name="Normal 12 2 4 3 3 3 2" xfId="8556" xr:uid="{2AD15CD7-A311-43A9-8AC8-1E84DFAA7C51}"/>
    <cellStyle name="Normal 12 2 4 3 3 4" xfId="6207" xr:uid="{FF83D052-4311-4F74-8BD4-4FD5C615699F}"/>
    <cellStyle name="Normal 12 2 4 3 4" xfId="1875" xr:uid="{1BBC491C-C30F-4D3A-A441-08D4090381FC}"/>
    <cellStyle name="Normal 12 2 4 3 4 2" xfId="2854" xr:uid="{9D0CECBF-7C0C-4D38-AEC6-F355B7BE9F10}"/>
    <cellStyle name="Normal 12 2 4 3 4 2 2" xfId="7419" xr:uid="{467CDA0C-FDBB-47D8-A095-F2CC32636D64}"/>
    <cellStyle name="Normal 12 2 4 3 4 3" xfId="4577" xr:uid="{E008E4F7-46C9-465D-A8EF-E5953DF49F2F}"/>
    <cellStyle name="Normal 12 2 4 3 4 3 2" xfId="8832" xr:uid="{749EDFB4-6256-4CA2-9A70-A6B0FA09ACFA}"/>
    <cellStyle name="Normal 12 2 4 3 4 4" xfId="6440" xr:uid="{9B4E0228-97B3-409C-8357-34CFDA3E19E0}"/>
    <cellStyle name="Normal 12 2 4 3 5" xfId="2112" xr:uid="{C977295C-55F5-4E38-B27F-B2D8697875CB}"/>
    <cellStyle name="Normal 12 2 4 3 5 2" xfId="6677" xr:uid="{C24D3168-4235-4241-B71E-8967130019CF}"/>
    <cellStyle name="Normal 12 2 4 3 6" xfId="3287" xr:uid="{2A967250-6E40-4DF4-928B-B66A24DD0A17}"/>
    <cellStyle name="Normal 12 2 4 3 6 2" xfId="7780" xr:uid="{65ABC79C-17E3-4459-897A-B7AAA5AB89D9}"/>
    <cellStyle name="Normal 12 2 4 3 7" xfId="5698" xr:uid="{58472DC6-77D3-49B6-81CF-27DC2422DEB2}"/>
    <cellStyle name="Normal 12 2 4 4" xfId="1251" xr:uid="{2BA3F8D9-109D-48C3-82E5-D7E4B5B4F069}"/>
    <cellStyle name="Normal 12 2 4 4 2" xfId="2233" xr:uid="{D344B259-670F-4BA2-A58B-C3FCC2DC3107}"/>
    <cellStyle name="Normal 12 2 4 4 2 2" xfId="4919" xr:uid="{6243E24E-C0D3-4766-8827-6AF2112B4F45}"/>
    <cellStyle name="Normal 12 2 4 4 2 2 2" xfId="9149" xr:uid="{D640B972-34C0-4178-911A-A4A2B5E2F8E7}"/>
    <cellStyle name="Normal 12 2 4 4 2 3" xfId="3491" xr:uid="{9D1EFCA3-447F-4FD1-98D1-ACA5314D6F5A}"/>
    <cellStyle name="Normal 12 2 4 4 2 3 2" xfId="7958" xr:uid="{C3F074BF-95B1-4F76-BEA1-0C991F9FF6A9}"/>
    <cellStyle name="Normal 12 2 4 4 2 4" xfId="6798" xr:uid="{D0C2FF97-7625-4A7F-A5A2-4E86F309965E}"/>
    <cellStyle name="Normal 12 2 4 4 3" xfId="3897" xr:uid="{6A47067D-29BB-4B86-A25D-F0CD1B5F1745}"/>
    <cellStyle name="Normal 12 2 4 4 3 2" xfId="8346" xr:uid="{F50FC7CE-261F-469A-BD6A-24396C932D47}"/>
    <cellStyle name="Normal 12 2 4 4 4" xfId="4643" xr:uid="{31F8A708-3365-49D1-8D46-E92D4133E91F}"/>
    <cellStyle name="Normal 12 2 4 4 4 2" xfId="8889" xr:uid="{CEA2AD6E-BFA3-4489-B27A-5210F6E8D0CA}"/>
    <cellStyle name="Normal 12 2 4 4 5" xfId="3060" xr:uid="{09FD76AB-3FAF-4597-994A-0FB538B09D86}"/>
    <cellStyle name="Normal 12 2 4 4 5 2" xfId="7570" xr:uid="{03F48B16-7BA3-4BB3-A21F-7B377DB1FE62}"/>
    <cellStyle name="Normal 12 2 4 4 6" xfId="5819" xr:uid="{5DC5CBCE-A958-4033-96B1-E14FF50833A2}"/>
    <cellStyle name="Normal 12 2 4 5" xfId="1487" xr:uid="{BA2FCB73-F90F-495B-B1F4-DD4475EA7D17}"/>
    <cellStyle name="Normal 12 2 4 5 2" xfId="2467" xr:uid="{9CD73369-07B9-4EE4-A49A-FE254EB0F817}"/>
    <cellStyle name="Normal 12 2 4 5 2 2" xfId="4942" xr:uid="{4B10AEA6-44E1-478D-BEBD-2A2A61982E83}"/>
    <cellStyle name="Normal 12 2 4 5 2 2 2" xfId="9172" xr:uid="{4760C68D-585F-4AE3-A58E-1C769323896B}"/>
    <cellStyle name="Normal 12 2 4 5 2 3" xfId="7032" xr:uid="{9E512070-67B0-4256-A265-D305777F36A0}"/>
    <cellStyle name="Normal 12 2 4 5 3" xfId="3417" xr:uid="{1522ACD8-1469-423B-A1E9-E1F39BBC1FC4}"/>
    <cellStyle name="Normal 12 2 4 5 3 2" xfId="7885" xr:uid="{80CA38B4-082F-431F-B347-F33DCF1F41D4}"/>
    <cellStyle name="Normal 12 2 4 5 4" xfId="6053" xr:uid="{9C402687-AE07-4939-8C89-AC7F45FC6364}"/>
    <cellStyle name="Normal 12 2 4 6" xfId="1721" xr:uid="{80D3F714-640A-4567-A067-4E802B7DD118}"/>
    <cellStyle name="Normal 12 2 4 6 2" xfId="2700" xr:uid="{E58845EB-E016-45E2-8D25-81867F1EFB3A}"/>
    <cellStyle name="Normal 12 2 4 6 2 2" xfId="7265" xr:uid="{CC3C29EB-4E44-415A-B679-14BF4E41CC85}"/>
    <cellStyle name="Normal 12 2 4 6 3" xfId="3824" xr:uid="{3123BC3B-6046-433E-A174-26963642DA2F}"/>
    <cellStyle name="Normal 12 2 4 6 3 2" xfId="8273" xr:uid="{8BFE39D1-1828-45DA-A3C6-AFB08970D15A}"/>
    <cellStyle name="Normal 12 2 4 6 4" xfId="6286" xr:uid="{198F5714-CF12-4549-B153-26EF4958141A}"/>
    <cellStyle name="Normal 12 2 4 7" xfId="1958" xr:uid="{1F156BB6-066F-4057-922A-DFE6A8262581}"/>
    <cellStyle name="Normal 12 2 4 7 2" xfId="4295" xr:uid="{B96B237F-75FC-48F9-9EC4-8AEB1A73D0F5}"/>
    <cellStyle name="Normal 12 2 4 7 2 2" xfId="8648" xr:uid="{9EECCD51-A1E6-421F-98B6-7231D8A83BC3}"/>
    <cellStyle name="Normal 12 2 4 7 3" xfId="6523" xr:uid="{CDC32A89-1624-4048-80C5-0D62CBEEF760}"/>
    <cellStyle name="Normal 12 2 4 8" xfId="2935" xr:uid="{49EACD6F-FCB3-44D5-98DE-DFC7A25348BC}"/>
    <cellStyle name="Normal 12 2 4 8 2" xfId="7497" xr:uid="{095A47F2-6011-47AF-89FD-9771CC3EA6CB}"/>
    <cellStyle name="Normal 12 2 4 9" xfId="5544" xr:uid="{AAC439C6-BEDA-4152-9750-6B8E3B2A94B5}"/>
    <cellStyle name="Normal 12 2 5" xfId="894" xr:uid="{6693DF09-C58E-46FC-89E1-F369B8FB71DE}"/>
    <cellStyle name="Normal 12 2 5 2" xfId="1286" xr:uid="{D0918B87-2379-49D2-928B-A9189F8611D9}"/>
    <cellStyle name="Normal 12 2 5 2 2" xfId="2268" xr:uid="{701A7BDE-15E6-416E-AC1D-B3B9FF2088DE}"/>
    <cellStyle name="Normal 12 2 5 2 2 2" xfId="5138" xr:uid="{AB87F856-5944-4D97-B662-8B04C1C1D029}"/>
    <cellStyle name="Normal 12 2 5 2 2 2 2" xfId="9363" xr:uid="{9802F374-30B2-4873-9425-86F868F2AAE3}"/>
    <cellStyle name="Normal 12 2 5 2 2 3" xfId="3630" xr:uid="{7B726922-DB41-4536-B719-951F3320E89E}"/>
    <cellStyle name="Normal 12 2 5 2 2 3 2" xfId="8097" xr:uid="{4D2FB507-401A-4DA7-9AFD-4D1876A582CE}"/>
    <cellStyle name="Normal 12 2 5 2 2 4" xfId="6833" xr:uid="{56099A16-BF1D-4C0E-9E39-344BDCA4BD9B}"/>
    <cellStyle name="Normal 12 2 5 2 3" xfId="4036" xr:uid="{BFC44007-1C20-4E72-8574-8BDD8E0B6F93}"/>
    <cellStyle name="Normal 12 2 5 2 3 2" xfId="8485" xr:uid="{C8AE6159-F302-4286-9BC1-D74EB636CA1E}"/>
    <cellStyle name="Normal 12 2 5 2 4" xfId="4754" xr:uid="{ACA95B03-1E66-4B89-A74D-4C7030B1E21C}"/>
    <cellStyle name="Normal 12 2 5 2 4 2" xfId="9000" xr:uid="{644CBCF2-75DE-4880-91E5-0D1C85D4D13A}"/>
    <cellStyle name="Normal 12 2 5 2 5" xfId="3214" xr:uid="{D8307FD7-BABF-4D70-A2FD-CC0EB3753656}"/>
    <cellStyle name="Normal 12 2 5 2 5 2" xfId="7709" xr:uid="{DF7339DB-4D5F-4A09-ABE5-8E0B7E10097E}"/>
    <cellStyle name="Normal 12 2 5 2 6" xfId="5854" xr:uid="{F05F7AE4-01E4-4C0A-880C-1F44847FEF1C}"/>
    <cellStyle name="Normal 12 2 5 3" xfId="1522" xr:uid="{A6DAB013-59D8-49E6-B5E1-3636B02097CA}"/>
    <cellStyle name="Normal 12 2 5 3 2" xfId="2502" xr:uid="{520A501F-C924-4444-BFDE-2150FA547D76}"/>
    <cellStyle name="Normal 12 2 5 3 2 2" xfId="5243" xr:uid="{60233F93-34C0-4DA5-B156-DBBD5F4024DC}"/>
    <cellStyle name="Normal 12 2 5 3 2 2 2" xfId="9468" xr:uid="{17CE3354-DD5F-411E-BF71-12392C6B2BB5}"/>
    <cellStyle name="Normal 12 2 5 3 2 3" xfId="3735" xr:uid="{6B361585-1E1D-46C4-84B1-50B814CB6641}"/>
    <cellStyle name="Normal 12 2 5 3 2 3 2" xfId="8202" xr:uid="{7B3D012E-61FD-4904-8CB2-70957624E826}"/>
    <cellStyle name="Normal 12 2 5 3 2 4" xfId="7067" xr:uid="{69EA172E-1C14-421A-A819-B74307BE0C55}"/>
    <cellStyle name="Normal 12 2 5 3 3" xfId="4141" xr:uid="{5F32BA17-E4C0-4E4F-9D23-13E6A298EC3D}"/>
    <cellStyle name="Normal 12 2 5 3 3 2" xfId="8590" xr:uid="{D655A133-59BE-41BF-A076-275365965F53}"/>
    <cellStyle name="Normal 12 2 5 3 4" xfId="4830" xr:uid="{86776EE2-AE23-4EB4-9AF8-FCEDA14D1CB2}"/>
    <cellStyle name="Normal 12 2 5 3 4 2" xfId="9076" xr:uid="{C2C2AC45-E0A7-481E-A839-1CA7896FBD64}"/>
    <cellStyle name="Normal 12 2 5 3 5" xfId="3325" xr:uid="{07AA00E2-766A-432B-963B-2D10FBAFF45A}"/>
    <cellStyle name="Normal 12 2 5 3 5 2" xfId="7814" xr:uid="{8BE389F1-DCD1-4AED-A97D-DDA60E35B326}"/>
    <cellStyle name="Normal 12 2 5 3 6" xfId="6088" xr:uid="{4BD52859-8ECD-4EAA-8A37-80819107CB8B}"/>
    <cellStyle name="Normal 12 2 5 4" xfId="1756" xr:uid="{788ABE84-0C27-4DE7-B505-C800546900BF}"/>
    <cellStyle name="Normal 12 2 5 4 2" xfId="2735" xr:uid="{6F94FDEF-772C-4AB5-96D2-4E5D9226BE8A}"/>
    <cellStyle name="Normal 12 2 5 4 2 2" xfId="4672" xr:uid="{B1A48003-A453-42F7-9F66-FFFE3D92DDCA}"/>
    <cellStyle name="Normal 12 2 5 4 2 2 2" xfId="8918" xr:uid="{0D325517-B507-4C05-8AAA-AD07FECE5356}"/>
    <cellStyle name="Normal 12 2 5 4 2 3" xfId="7300" xr:uid="{0BD55AD6-F014-4230-BD71-75FC5FDF7D86}"/>
    <cellStyle name="Normal 12 2 5 4 3" xfId="3525" xr:uid="{DEB55DF8-5E63-4538-956B-17AAB379936B}"/>
    <cellStyle name="Normal 12 2 5 4 3 2" xfId="7992" xr:uid="{4626C67A-6FD1-4AA4-98CD-DB9B99D463A8}"/>
    <cellStyle name="Normal 12 2 5 4 4" xfId="6321" xr:uid="{4BA052B4-2E65-4305-958A-877F631D6467}"/>
    <cellStyle name="Normal 12 2 5 5" xfId="1993" xr:uid="{97240FB1-3F01-4F1D-BD61-A0D25CBE0C49}"/>
    <cellStyle name="Normal 12 2 5 5 2" xfId="5034" xr:uid="{81DC9E5E-10DB-4683-ADE0-0AADDEF7C759}"/>
    <cellStyle name="Normal 12 2 5 5 2 2" xfId="9260" xr:uid="{48C4DEA5-18C7-44A9-83BA-2552314E5798}"/>
    <cellStyle name="Normal 12 2 5 5 3" xfId="3931" xr:uid="{531E4691-AA80-4CB7-BAE3-75FB1176B6F4}"/>
    <cellStyle name="Normal 12 2 5 5 3 2" xfId="8380" xr:uid="{B9E677EB-B366-4423-9924-BD29B893C129}"/>
    <cellStyle name="Normal 12 2 5 5 4" xfId="6558" xr:uid="{B30BD5C6-1B80-46C8-8D7E-99D82E7FDF8B}"/>
    <cellStyle name="Normal 12 2 5 6" xfId="4415" xr:uid="{50BA2D9B-7F39-4CB8-9567-9A7B549241B0}"/>
    <cellStyle name="Normal 12 2 5 6 2" xfId="8692" xr:uid="{0531D2EA-C7DC-4523-B870-BA2640FC4F46}"/>
    <cellStyle name="Normal 12 2 5 7" xfId="3098" xr:uid="{C7E0125C-9ECB-4207-A1B6-DFAB5D5E68BA}"/>
    <cellStyle name="Normal 12 2 5 7 2" xfId="7604" xr:uid="{497CE6EC-BD65-4511-8344-E3F77985084D}"/>
    <cellStyle name="Normal 12 2 5 8" xfId="5579" xr:uid="{B7922AA1-0178-4542-A214-555597E2DC42}"/>
    <cellStyle name="Normal 12 2 6" xfId="997" xr:uid="{35D171AC-3142-4AD5-8AD5-F14D448E112C}"/>
    <cellStyle name="Normal 12 2 6 2" xfId="1365" xr:uid="{9D82FA95-1B5A-4296-BD60-7029BFDF5BE0}"/>
    <cellStyle name="Normal 12 2 6 2 2" xfId="2345" xr:uid="{7199D446-F3A3-46E8-A6F6-1EFC87E8EEF3}"/>
    <cellStyle name="Normal 12 2 6 2 2 2" xfId="5050" xr:uid="{65048344-00E9-4E52-9DD1-3E65BF0EED6A}"/>
    <cellStyle name="Normal 12 2 6 2 2 2 2" xfId="9276" xr:uid="{63828F54-F5C8-454E-AD66-0F62BFB1650D}"/>
    <cellStyle name="Normal 12 2 6 2 2 3" xfId="6910" xr:uid="{D91CDD96-B5AD-40EE-9017-FE7B98074EF9}"/>
    <cellStyle name="Normal 12 2 6 2 3" xfId="3542" xr:uid="{B30E6F20-7ECA-432C-B0A5-342AD668E04C}"/>
    <cellStyle name="Normal 12 2 6 2 3 2" xfId="8009" xr:uid="{8B307F20-E7D6-4FC0-AD63-0630E1FEDC55}"/>
    <cellStyle name="Normal 12 2 6 2 4" xfId="5931" xr:uid="{4C16AE38-A080-49AF-B10D-6130D61CD6F8}"/>
    <cellStyle name="Normal 12 2 6 3" xfId="1599" xr:uid="{7207486A-A719-48E6-8176-0F86E5499E17}"/>
    <cellStyle name="Normal 12 2 6 3 2" xfId="2579" xr:uid="{9A8C602B-A212-463A-8D64-223E2113B6AC}"/>
    <cellStyle name="Normal 12 2 6 3 2 2" xfId="7144" xr:uid="{6DCE8ED9-701B-4B86-BF6A-90BBAF800F90}"/>
    <cellStyle name="Normal 12 2 6 3 3" xfId="3948" xr:uid="{5C6D79D5-E1B9-4F63-BEEA-429A4C713A45}"/>
    <cellStyle name="Normal 12 2 6 3 3 2" xfId="8397" xr:uid="{8875FA91-A0FB-4013-9461-4C1E115DE7D2}"/>
    <cellStyle name="Normal 12 2 6 3 4" xfId="6165" xr:uid="{FDEAD83C-7C50-4326-9366-FA8CE7F5B5EC}"/>
    <cellStyle name="Normal 12 2 6 4" xfId="1833" xr:uid="{A390A46A-EBFA-448A-A95C-4DCA1FC58999}"/>
    <cellStyle name="Normal 12 2 6 4 2" xfId="2812" xr:uid="{0BA293E7-D6BD-4AB9-A3F5-72F7A8DA9843}"/>
    <cellStyle name="Normal 12 2 6 4 2 2" xfId="7377" xr:uid="{8C318B2A-A2D2-4748-B8ED-5DC4E02E6AA4}"/>
    <cellStyle name="Normal 12 2 6 4 3" xfId="4519" xr:uid="{7712039C-3E6C-4C96-933F-B7A844139833}"/>
    <cellStyle name="Normal 12 2 6 4 3 2" xfId="8786" xr:uid="{9D859CD8-56B2-4E2B-AB3F-6184946113E9}"/>
    <cellStyle name="Normal 12 2 6 4 4" xfId="6398" xr:uid="{062D95B8-3B61-41AE-A935-9486AE6DB8A1}"/>
    <cellStyle name="Normal 12 2 6 5" xfId="2070" xr:uid="{F4A6768B-0B1D-4695-BB8B-099D9E6EFDDD}"/>
    <cellStyle name="Normal 12 2 6 5 2" xfId="6635" xr:uid="{C07D5BFE-051F-4C38-9714-00BDCC1350D7}"/>
    <cellStyle name="Normal 12 2 6 6" xfId="3126" xr:uid="{E635AEA9-80D4-428D-8C39-FC7EA3A2FB3C}"/>
    <cellStyle name="Normal 12 2 6 6 2" xfId="7621" xr:uid="{22CDD1B8-ED2E-49D4-99FC-FA6C33DD5A9C}"/>
    <cellStyle name="Normal 12 2 6 7" xfId="5656" xr:uid="{32328643-DDF9-4343-866E-0297D76EEC47}"/>
    <cellStyle name="Normal 12 2 7" xfId="1136" xr:uid="{DF04CA21-90E6-4228-A678-87B4ADD6E2DB}"/>
    <cellStyle name="Normal 12 2 7 2" xfId="2153" xr:uid="{4C3E14E0-4A5E-4853-A6B6-29C493392E65}"/>
    <cellStyle name="Normal 12 2 7 2 2" xfId="5155" xr:uid="{12C6B7E1-C7B3-438E-8409-A6445EDEF4DE}"/>
    <cellStyle name="Normal 12 2 7 2 2 2" xfId="9380" xr:uid="{641512CC-4550-4AD1-A638-5670E1D7AA26}"/>
    <cellStyle name="Normal 12 2 7 2 3" xfId="3647" xr:uid="{1A53496C-D59C-4CC5-8856-FF8C36673EE1}"/>
    <cellStyle name="Normal 12 2 7 2 3 2" xfId="8114" xr:uid="{15398A27-8B03-4F18-B0E3-1594B7EC0F74}"/>
    <cellStyle name="Normal 12 2 7 2 4" xfId="6718" xr:uid="{C492B77F-D12D-45C3-BC20-A79A9649E21F}"/>
    <cellStyle name="Normal 12 2 7 3" xfId="4053" xr:uid="{DEF802AA-9BEE-4C34-AE73-20C9AAA9A4C5}"/>
    <cellStyle name="Normal 12 2 7 3 2" xfId="8502" xr:uid="{C945D410-6606-49E2-B673-BF22EEBD87E6}"/>
    <cellStyle name="Normal 12 2 7 4" xfId="4771" xr:uid="{27D33C1B-2C23-4D92-B89B-F1E42C00D5D1}"/>
    <cellStyle name="Normal 12 2 7 4 2" xfId="9017" xr:uid="{8C8C9651-106C-4C8F-BE4B-69397526E645}"/>
    <cellStyle name="Normal 12 2 7 5" xfId="3231" xr:uid="{6D6BBBFA-D606-4FBD-ADE6-D9F59927065F}"/>
    <cellStyle name="Normal 12 2 7 5 2" xfId="7726" xr:uid="{5F3CFC3F-03E7-4002-BB34-31501955F363}"/>
    <cellStyle name="Normal 12 2 7 6" xfId="5739" xr:uid="{2CAE905C-C7B7-4DCB-92C7-90595555F9C3}"/>
    <cellStyle name="Normal 12 2 8" xfId="1205" xr:uid="{F7983EE7-067E-4B78-89F0-F970083EF123}"/>
    <cellStyle name="Normal 12 2 8 2" xfId="2191" xr:uid="{CBBF3A2F-A7A1-49C3-A6B6-806B6274B0EC}"/>
    <cellStyle name="Normal 12 2 8 2 2" xfId="4972" xr:uid="{F68A45C4-64C3-499E-84E4-383024FE9862}"/>
    <cellStyle name="Normal 12 2 8 2 2 2" xfId="9201" xr:uid="{C780FB72-00F6-466C-9970-39BDD12B942F}"/>
    <cellStyle name="Normal 12 2 8 2 3" xfId="3436" xr:uid="{8A74F118-ADD6-4BC0-9313-234FEA273B3A}"/>
    <cellStyle name="Normal 12 2 8 2 3 2" xfId="7904" xr:uid="{50368A38-8695-4563-8BC7-790A22E6F47F}"/>
    <cellStyle name="Normal 12 2 8 2 4" xfId="6756" xr:uid="{19F7F43D-1A13-40DF-A87F-76D20B164DDD}"/>
    <cellStyle name="Normal 12 2 8 3" xfId="3843" xr:uid="{5C308B8A-12E9-4239-8E63-3BD76087000C}"/>
    <cellStyle name="Normal 12 2 8 3 2" xfId="8292" xr:uid="{1B7379DE-8E57-4F77-BB3E-22000554CB5F}"/>
    <cellStyle name="Normal 12 2 8 4" xfId="4621" xr:uid="{F0D2D12B-43A0-4F28-9DDE-9816A74CA189}"/>
    <cellStyle name="Normal 12 2 8 4 2" xfId="8868" xr:uid="{62E59BC4-99F0-412D-9C39-23F61D5F1946}"/>
    <cellStyle name="Normal 12 2 8 5" xfId="2976" xr:uid="{8AE46439-0D66-4D76-9C6F-3292F6D465B6}"/>
    <cellStyle name="Normal 12 2 8 5 2" xfId="7516" xr:uid="{5A16186C-CE4A-4D1C-967F-FC1ED9CAB61B}"/>
    <cellStyle name="Normal 12 2 8 6" xfId="5777" xr:uid="{28A38DF6-9D27-4D5E-8A63-49BB85F232AF}"/>
    <cellStyle name="Normal 12 2 9" xfId="1445" xr:uid="{9537C080-1143-4733-97C4-ACF16B94AE21}"/>
    <cellStyle name="Normal 12 2 9 2" xfId="2425" xr:uid="{76BA98C5-8234-4D96-9700-A1744AC66238}"/>
    <cellStyle name="Normal 12 2 9 2 2" xfId="4897" xr:uid="{2DE54049-B22D-4803-B9C3-BCEA4CDE9A72}"/>
    <cellStyle name="Normal 12 2 9 2 2 2" xfId="9128" xr:uid="{D38A5EB3-CBC2-4CAB-92CA-2A8C049ADDE6}"/>
    <cellStyle name="Normal 12 2 9 2 3" xfId="6990" xr:uid="{CD640D92-C40F-4036-B212-3560B1E08FD1}"/>
    <cellStyle name="Normal 12 2 9 3" xfId="3364" xr:uid="{4C2F10C9-530B-498A-9E25-E6FA3B00FE49}"/>
    <cellStyle name="Normal 12 2 9 3 2" xfId="7851" xr:uid="{3C01BB31-DD84-470C-9B53-C6F934EFD634}"/>
    <cellStyle name="Normal 12 2 9 4" xfId="6011" xr:uid="{3170C403-97D7-43A9-B101-21DBE6DE3097}"/>
    <cellStyle name="Normal 12 3" xfId="338" xr:uid="{B17FC671-D3BC-43FD-B9B9-529C06F05347}"/>
    <cellStyle name="Normal 13" xfId="339" xr:uid="{698C70F3-706F-4BC2-BCCE-29A3B9863D2B}"/>
    <cellStyle name="Normal 13 2" xfId="340" xr:uid="{E4CE3605-FA59-4C00-91E3-B5BEAF1D1C97}"/>
    <cellStyle name="Normal 13 3" xfId="341" xr:uid="{958602D9-CE91-4D49-9960-4DDC37A18173}"/>
    <cellStyle name="Normal 14" xfId="342" xr:uid="{744B9AFB-8272-4EA1-B84D-E1D2194EB85B}"/>
    <cellStyle name="Normal 14 2" xfId="343" xr:uid="{09E5B621-38E4-423C-ABCB-75D586D3D6D2}"/>
    <cellStyle name="Normal 14 2 2" xfId="651" xr:uid="{F1844E1C-45BF-4EC4-AEEF-95ED73AAC08F}"/>
    <cellStyle name="Normal 14 2 3" xfId="650" xr:uid="{6AA522AF-A31F-47A2-A19F-0F9F7F8C2704}"/>
    <cellStyle name="Normal 14 3" xfId="344" xr:uid="{47D997F2-17A9-434E-A27B-5347D01046FC}"/>
    <cellStyle name="Normal 15" xfId="345" xr:uid="{90A1E48D-4F23-43EC-A1D7-E716D0588D45}"/>
    <cellStyle name="Normal 15 2" xfId="346" xr:uid="{7B9C3B71-F76C-4482-B163-E95A42233D64}"/>
    <cellStyle name="Normal 16" xfId="347" xr:uid="{222B1DD0-7174-43D2-AB05-15AE683947EF}"/>
    <cellStyle name="Normal 16 2" xfId="348" xr:uid="{68903F3A-D795-4B19-98E0-0DF2B3C83FD4}"/>
    <cellStyle name="Normal 16 2 10" xfId="1705" xr:uid="{508214EA-DE95-463D-A68D-A08EDA0D25B2}"/>
    <cellStyle name="Normal 16 2 10 2" xfId="2685" xr:uid="{C92B115D-90D1-48B5-BCA7-7F5046B92D98}"/>
    <cellStyle name="Normal 16 2 10 2 2" xfId="7250" xr:uid="{12AC7701-92AE-4C41-9DD6-BBA4ED3ABB49}"/>
    <cellStyle name="Normal 16 2 10 3" xfId="5425" xr:uid="{C1327087-1CE8-459F-A9F5-50C9BB8AE037}"/>
    <cellStyle name="Normal 16 2 10 3 2" xfId="9602" xr:uid="{69B6E4AD-3B87-4BC0-96E1-65F56F22D8CB}"/>
    <cellStyle name="Normal 16 2 10 4" xfId="6271" xr:uid="{0EBE5D7D-BC6F-4F33-AA65-ED2576942B54}"/>
    <cellStyle name="Normal 16 2 11" xfId="1918" xr:uid="{A954AD49-5159-412E-8FE1-F32BFC34A542}"/>
    <cellStyle name="Normal 16 2 11 2" xfId="6483" xr:uid="{5939F19A-7EBA-4EB2-8C25-2089D8C37BAE}"/>
    <cellStyle name="Normal 16 2 12" xfId="5504" xr:uid="{B2942008-E919-44FE-800C-F7E6451F6FB0}"/>
    <cellStyle name="Normal 16 2 2" xfId="649" xr:uid="{F1ED1D1C-2968-4FA4-B5BC-CFE54E36C23E}"/>
    <cellStyle name="Normal 16 2 2 10" xfId="2902" xr:uid="{3BB8ACB5-FC7E-4D8D-9CC5-221488EE73B1}"/>
    <cellStyle name="Normal 16 2 2 10 2" xfId="7465" xr:uid="{5A5292D5-C5E4-405D-AA03-6A89E5E14E8A}"/>
    <cellStyle name="Normal 16 2 2 11" xfId="5514" xr:uid="{A76D9B05-0262-48EC-8F2A-3CE2AF4D0E35}"/>
    <cellStyle name="Normal 16 2 2 2" xfId="919" xr:uid="{D89F9E1B-9E6D-457E-8666-F6E0CA413B4B}"/>
    <cellStyle name="Normal 16 2 2 2 2" xfId="1298" xr:uid="{B4F23CE2-4C48-4D15-A8CF-2A6878725932}"/>
    <cellStyle name="Normal 16 2 2 2 2 2" xfId="2280" xr:uid="{EDB41630-D936-467B-B4CC-2BB1242F0F7F}"/>
    <cellStyle name="Normal 16 2 2 2 2 2 2" xfId="5106" xr:uid="{C6077A26-1800-4867-B359-A16BA581F1B5}"/>
    <cellStyle name="Normal 16 2 2 2 2 2 2 2" xfId="9331" xr:uid="{C89C8508-5FBA-40AE-BC5F-650D06BA0349}"/>
    <cellStyle name="Normal 16 2 2 2 2 2 3" xfId="3598" xr:uid="{AAE44117-727E-4CAD-95EF-35047BAB02E9}"/>
    <cellStyle name="Normal 16 2 2 2 2 2 3 2" xfId="8065" xr:uid="{B77BF239-64CF-4623-B6C5-0A28A5F0DCE6}"/>
    <cellStyle name="Normal 16 2 2 2 2 2 4" xfId="6845" xr:uid="{0A161454-70C1-4EEE-A796-E0D6F982CA17}"/>
    <cellStyle name="Normal 16 2 2 2 2 3" xfId="4004" xr:uid="{08EBBFAB-F2E9-4C7F-B027-0218D1CFCD8B}"/>
    <cellStyle name="Normal 16 2 2 2 2 3 2" xfId="8453" xr:uid="{DDD0AC8C-6922-44F2-BB2F-CBF115D41546}"/>
    <cellStyle name="Normal 16 2 2 2 2 4" xfId="4722" xr:uid="{C9FF9E90-60D7-45C0-A4C8-330443A51769}"/>
    <cellStyle name="Normal 16 2 2 2 2 4 2" xfId="8968" xr:uid="{5F928C9F-F5ED-4EC6-8FAF-1DA3EE23CFED}"/>
    <cellStyle name="Normal 16 2 2 2 2 5" xfId="3182" xr:uid="{F6D972B8-7B3C-4A03-927E-E1A71FBFCC24}"/>
    <cellStyle name="Normal 16 2 2 2 2 5 2" xfId="7677" xr:uid="{C8BAC538-AA33-4981-83EC-C3B9A3966828}"/>
    <cellStyle name="Normal 16 2 2 2 2 6" xfId="5866" xr:uid="{EDBDAC55-F580-4181-9670-686BB6D99A2F}"/>
    <cellStyle name="Normal 16 2 2 2 3" xfId="1534" xr:uid="{9FA1DAD4-E26B-4337-8F3E-22E590465DCC}"/>
    <cellStyle name="Normal 16 2 2 2 3 2" xfId="2514" xr:uid="{8C8814DD-BAC5-478E-B397-048BFAC180FF}"/>
    <cellStyle name="Normal 16 2 2 2 3 2 2" xfId="5211" xr:uid="{6EF59EBA-B928-4FDB-8755-10A73524EB3F}"/>
    <cellStyle name="Normal 16 2 2 2 3 2 2 2" xfId="9436" xr:uid="{9D85A553-9E65-4EF2-8045-C3CF35DB110F}"/>
    <cellStyle name="Normal 16 2 2 2 3 2 3" xfId="3703" xr:uid="{F69E3BFF-909B-4870-B304-625CD37BF255}"/>
    <cellStyle name="Normal 16 2 2 2 3 2 3 2" xfId="8170" xr:uid="{0CAF02F4-935E-4091-8589-AD1A7D98CF67}"/>
    <cellStyle name="Normal 16 2 2 2 3 2 4" xfId="7079" xr:uid="{E7BA736E-724E-4EEB-9F57-FECA114E3768}"/>
    <cellStyle name="Normal 16 2 2 2 3 3" xfId="4109" xr:uid="{79A352C4-6A23-46FF-B579-3E7E51788DEE}"/>
    <cellStyle name="Normal 16 2 2 2 3 3 2" xfId="8558" xr:uid="{6C914878-5824-47D5-91CC-FE2AA0155B22}"/>
    <cellStyle name="Normal 16 2 2 2 3 4" xfId="4808" xr:uid="{AED12FB9-9204-43B6-9302-98803CB1D040}"/>
    <cellStyle name="Normal 16 2 2 2 3 4 2" xfId="9054" xr:uid="{C20369C8-053D-4FA7-BBEC-D7E8F49878C7}"/>
    <cellStyle name="Normal 16 2 2 2 3 5" xfId="3289" xr:uid="{5DF8D77F-D278-4243-8279-E4F265C9D1E1}"/>
    <cellStyle name="Normal 16 2 2 2 3 5 2" xfId="7782" xr:uid="{965CB790-1930-44CD-BE5E-28A013E1654D}"/>
    <cellStyle name="Normal 16 2 2 2 3 6" xfId="6100" xr:uid="{845E64E8-246B-419F-B914-5980206C2420}"/>
    <cellStyle name="Normal 16 2 2 2 4" xfId="1768" xr:uid="{A036844E-FE55-4A4E-8AD0-D47E32DB892F}"/>
    <cellStyle name="Normal 16 2 2 2 4 2" xfId="2747" xr:uid="{30AD7F6F-77F6-4463-B7B6-994DDE932D31}"/>
    <cellStyle name="Normal 16 2 2 2 4 2 2" xfId="5005" xr:uid="{5D810198-0029-4FE8-B9F5-C14BB319A750}"/>
    <cellStyle name="Normal 16 2 2 2 4 2 2 2" xfId="9231" xr:uid="{532339F4-4252-4CD9-9FDD-0E2E85D413E6}"/>
    <cellStyle name="Normal 16 2 2 2 4 2 3" xfId="3493" xr:uid="{C53D728F-0004-4932-B668-ABAB38603F1F}"/>
    <cellStyle name="Normal 16 2 2 2 4 2 3 2" xfId="7960" xr:uid="{FA754CC7-F110-4381-A6A3-33BCCBD8F5C2}"/>
    <cellStyle name="Normal 16 2 2 2 4 2 4" xfId="7312" xr:uid="{8B4CBD34-7706-47B6-A99C-152D2C8BBEA6}"/>
    <cellStyle name="Normal 16 2 2 2 4 3" xfId="3899" xr:uid="{1C2791F9-D7D1-4A37-8031-2BA18BC64397}"/>
    <cellStyle name="Normal 16 2 2 2 4 3 2" xfId="8348" xr:uid="{418ECF27-71B4-49C4-BB72-7B56F48DADAC}"/>
    <cellStyle name="Normal 16 2 2 2 4 4" xfId="4645" xr:uid="{C3D2B897-A3A9-48EF-8102-60C23EB7A095}"/>
    <cellStyle name="Normal 16 2 2 2 4 4 2" xfId="8891" xr:uid="{C7160A03-5BB9-498E-A8AE-551B893536C9}"/>
    <cellStyle name="Normal 16 2 2 2 4 5" xfId="3062" xr:uid="{3C1DFBEE-4B36-4918-B169-70AA3B12A0B5}"/>
    <cellStyle name="Normal 16 2 2 2 4 5 2" xfId="7572" xr:uid="{6304CB7F-2806-4DFB-BBEC-8D0FB83A0E8E}"/>
    <cellStyle name="Normal 16 2 2 2 4 6" xfId="6333" xr:uid="{1E822657-1A14-415F-A87A-561CDDF05894}"/>
    <cellStyle name="Normal 16 2 2 2 5" xfId="2005" xr:uid="{3E74F7C2-551B-4414-8F9E-8C6D8FDEC8D3}"/>
    <cellStyle name="Normal 16 2 2 2 5 2" xfId="4473" xr:uid="{B382CD0B-5D5C-4AC8-A130-2C3B7D2B0A12}"/>
    <cellStyle name="Normal 16 2 2 2 5 2 2" xfId="8750" xr:uid="{5DC0A91B-F3E1-4DE0-BF5D-D3BDF4D66E47}"/>
    <cellStyle name="Normal 16 2 2 2 5 3" xfId="3419" xr:uid="{889BB875-7935-47FC-AAF8-5D27DC0278D8}"/>
    <cellStyle name="Normal 16 2 2 2 5 3 2" xfId="7887" xr:uid="{BCB96871-3046-4975-92A2-743C2BFB6722}"/>
    <cellStyle name="Normal 16 2 2 2 5 4" xfId="6570" xr:uid="{F63462F1-7474-40FD-A6D1-970E1BD63D01}"/>
    <cellStyle name="Normal 16 2 2 2 6" xfId="3826" xr:uid="{04E91B04-CD6F-4743-B6F3-8E786D404DEE}"/>
    <cellStyle name="Normal 16 2 2 2 6 2" xfId="4922" xr:uid="{F6E6158F-E03D-4705-9241-7B3FA21EF814}"/>
    <cellStyle name="Normal 16 2 2 2 6 2 2" xfId="9152" xr:uid="{A2B2E23C-6150-4032-8656-7533B3E0E8D4}"/>
    <cellStyle name="Normal 16 2 2 2 6 3" xfId="8275" xr:uid="{27B6A20E-4F88-44EF-8BD2-03F85218E6E2}"/>
    <cellStyle name="Normal 16 2 2 2 7" xfId="4445" xr:uid="{86E58BD0-6A17-4990-89D3-89371717F71D}"/>
    <cellStyle name="Normal 16 2 2 2 7 2" xfId="8722" xr:uid="{13DA7006-183B-4E75-90D3-016C46CEDA0A}"/>
    <cellStyle name="Normal 16 2 2 2 8" xfId="2937" xr:uid="{071B0D2D-8BB4-44EC-8315-528EEC80C209}"/>
    <cellStyle name="Normal 16 2 2 2 8 2" xfId="7499" xr:uid="{A1CC1615-4217-45A0-93B2-4007ACB12EC8}"/>
    <cellStyle name="Normal 16 2 2 2 9" xfId="5591" xr:uid="{C774DB9A-0F99-46C6-80FF-A48B3609897D}"/>
    <cellStyle name="Normal 16 2 2 3" xfId="1009" xr:uid="{546E0F59-693D-448F-A8FF-CD9EB00DFC73}"/>
    <cellStyle name="Normal 16 2 2 3 2" xfId="1377" xr:uid="{867A8D69-BDF7-4680-BC58-43D92BCFB067}"/>
    <cellStyle name="Normal 16 2 2 3 2 2" xfId="2357" xr:uid="{2ACE4F01-E7C4-481F-BB46-C300C98364C8}"/>
    <cellStyle name="Normal 16 2 2 3 2 2 2" xfId="5140" xr:uid="{A76ED7A7-D138-4D6D-B0A7-2D30CAE62651}"/>
    <cellStyle name="Normal 16 2 2 3 2 2 2 2" xfId="9365" xr:uid="{CFBCEB83-DCD6-4CDB-8F54-B2B6900883DF}"/>
    <cellStyle name="Normal 16 2 2 3 2 2 3" xfId="3632" xr:uid="{775B2532-0432-4FCF-ADB8-AA85028BB8EE}"/>
    <cellStyle name="Normal 16 2 2 3 2 2 3 2" xfId="8099" xr:uid="{EECFFA1D-9A60-4A9B-B9DF-FDC1B5899D1C}"/>
    <cellStyle name="Normal 16 2 2 3 2 2 4" xfId="6922" xr:uid="{F6A682B5-0B25-4CE0-8A21-CC62FF5C3685}"/>
    <cellStyle name="Normal 16 2 2 3 2 3" xfId="4038" xr:uid="{233603E4-A920-4951-A442-47964335958F}"/>
    <cellStyle name="Normal 16 2 2 3 2 3 2" xfId="8487" xr:uid="{CB1B6629-F06F-4EDF-804D-58A1E052A85F}"/>
    <cellStyle name="Normal 16 2 2 3 2 4" xfId="4756" xr:uid="{D90571CF-679D-4D7E-828C-7A9D9AC507A2}"/>
    <cellStyle name="Normal 16 2 2 3 2 4 2" xfId="9002" xr:uid="{9C03A4EF-F6FC-4FD2-8D16-84244B011801}"/>
    <cellStyle name="Normal 16 2 2 3 2 5" xfId="3216" xr:uid="{32DB476B-FE7D-47D7-8202-EB0FB9740B78}"/>
    <cellStyle name="Normal 16 2 2 3 2 5 2" xfId="7711" xr:uid="{E933E520-1E81-4702-8DC8-9A954F903130}"/>
    <cellStyle name="Normal 16 2 2 3 2 6" xfId="5943" xr:uid="{7E6F3348-48FF-4A5F-9B75-C0E84177DCEE}"/>
    <cellStyle name="Normal 16 2 2 3 3" xfId="1611" xr:uid="{F0CD50E5-8E95-4F9D-87BA-65091B39DDE9}"/>
    <cellStyle name="Normal 16 2 2 3 3 2" xfId="2591" xr:uid="{73ABB5EF-A15F-4295-8C90-F45E069E661A}"/>
    <cellStyle name="Normal 16 2 2 3 3 2 2" xfId="5245" xr:uid="{E2F0A4CB-A261-4AB2-B74F-9E83057E9898}"/>
    <cellStyle name="Normal 16 2 2 3 3 2 2 2" xfId="9470" xr:uid="{B7E3AC7A-4B82-4776-8F42-F0AE567D249B}"/>
    <cellStyle name="Normal 16 2 2 3 3 2 3" xfId="3737" xr:uid="{C0C42549-5D25-4D0B-9731-6D8D62C9D9DD}"/>
    <cellStyle name="Normal 16 2 2 3 3 2 3 2" xfId="8204" xr:uid="{5BA3B295-685C-4E6E-AEC5-1F7F4FB9CE04}"/>
    <cellStyle name="Normal 16 2 2 3 3 2 4" xfId="7156" xr:uid="{893ED40C-5313-4677-9C63-F9E15297D761}"/>
    <cellStyle name="Normal 16 2 2 3 3 3" xfId="4143" xr:uid="{03D8455F-D7B3-46B1-90F4-2D80A7DB91FB}"/>
    <cellStyle name="Normal 16 2 2 3 3 3 2" xfId="8592" xr:uid="{8A64DBE3-5E47-4405-BFAE-A56592360D9E}"/>
    <cellStyle name="Normal 16 2 2 3 3 4" xfId="4832" xr:uid="{72EF1FE1-ECDC-4CF5-A993-E3A38388E77A}"/>
    <cellStyle name="Normal 16 2 2 3 3 4 2" xfId="9078" xr:uid="{ACA39E12-22BA-462B-94B1-570194B51B9E}"/>
    <cellStyle name="Normal 16 2 2 3 3 5" xfId="3327" xr:uid="{6E8FFC86-5C2A-4421-9A6B-E77590864AA9}"/>
    <cellStyle name="Normal 16 2 2 3 3 5 2" xfId="7816" xr:uid="{7FE5E933-B2A9-4405-9A53-66BD44009CB8}"/>
    <cellStyle name="Normal 16 2 2 3 3 6" xfId="6177" xr:uid="{A1AC94B1-4311-430D-A5CB-7F61BB75AAA9}"/>
    <cellStyle name="Normal 16 2 2 3 4" xfId="1845" xr:uid="{207E8AD3-FBBE-44CA-A438-F5B612AD9E16}"/>
    <cellStyle name="Normal 16 2 2 3 4 2" xfId="2824" xr:uid="{A66EDC54-2D20-400B-AF95-09FC0E25594F}"/>
    <cellStyle name="Normal 16 2 2 3 4 2 2" xfId="5036" xr:uid="{9135D8C5-A4BA-44C0-8716-96107468C443}"/>
    <cellStyle name="Normal 16 2 2 3 4 2 2 2" xfId="9262" xr:uid="{C2683757-7EDA-43A6-B9A4-8E80440E5427}"/>
    <cellStyle name="Normal 16 2 2 3 4 2 3" xfId="7389" xr:uid="{C4FA6D64-7484-4023-826C-213CF7C20DF0}"/>
    <cellStyle name="Normal 16 2 2 3 4 3" xfId="3527" xr:uid="{711A66F7-91FF-4FC8-A9F9-0AE1A6699DC3}"/>
    <cellStyle name="Normal 16 2 2 3 4 3 2" xfId="7994" xr:uid="{D166A341-F459-42C9-8CB1-A9F8E87A71D9}"/>
    <cellStyle name="Normal 16 2 2 3 4 4" xfId="6410" xr:uid="{14AF6BA9-3EFC-4B99-B08F-34B0DADEFBFA}"/>
    <cellStyle name="Normal 16 2 2 3 5" xfId="2082" xr:uid="{6A2C1B82-9D4F-468A-AD39-9D4617DF382D}"/>
    <cellStyle name="Normal 16 2 2 3 5 2" xfId="3933" xr:uid="{AC217FCD-FC10-4EA4-800C-4A95C59924C9}"/>
    <cellStyle name="Normal 16 2 2 3 5 2 2" xfId="8382" xr:uid="{FA25500A-8A2A-4162-8D91-815B252C31F7}"/>
    <cellStyle name="Normal 16 2 2 3 5 3" xfId="6647" xr:uid="{CB56966C-8BB5-4242-A725-0DF1A5A2CBD5}"/>
    <cellStyle name="Normal 16 2 2 3 6" xfId="4579" xr:uid="{77701E5F-066A-401F-8398-BCB4A3F2DF05}"/>
    <cellStyle name="Normal 16 2 2 3 6 2" xfId="8834" xr:uid="{E189DE5C-8DFB-4999-AA52-89C4BD4A6416}"/>
    <cellStyle name="Normal 16 2 2 3 7" xfId="3100" xr:uid="{5BD711CB-F2B6-4D29-B57F-0D39EA42C7C7}"/>
    <cellStyle name="Normal 16 2 2 3 7 2" xfId="7606" xr:uid="{7ED04510-AA30-484A-ADE4-2DCA19B4C4BB}"/>
    <cellStyle name="Normal 16 2 2 3 8" xfId="5668" xr:uid="{0C4C6B9C-D7C1-4F99-9C4D-84941843D8B3}"/>
    <cellStyle name="Normal 16 2 2 4" xfId="1139" xr:uid="{04522729-F8E9-40F8-AB34-01359A4B90FD}"/>
    <cellStyle name="Normal 16 2 2 4 2" xfId="2156" xr:uid="{5D6BC774-D520-4783-9942-56696E181E19}"/>
    <cellStyle name="Normal 16 2 2 4 2 2" xfId="5072" xr:uid="{103D36BD-5B18-47FA-A322-BF814DF61253}"/>
    <cellStyle name="Normal 16 2 2 4 2 2 2" xfId="9298" xr:uid="{6050CF24-716E-4ECE-BFF6-99EE88B177F9}"/>
    <cellStyle name="Normal 16 2 2 4 2 3" xfId="3564" xr:uid="{BA425729-E855-4B8C-9BA4-558450E03526}"/>
    <cellStyle name="Normal 16 2 2 4 2 3 2" xfId="8031" xr:uid="{DD5650AA-3EC7-4415-B03C-81CEC6A8F49C}"/>
    <cellStyle name="Normal 16 2 2 4 2 4" xfId="6721" xr:uid="{8F4BD385-DB12-411C-A5AD-B8CD73B17B70}"/>
    <cellStyle name="Normal 16 2 2 4 3" xfId="3970" xr:uid="{A6DE4B59-8347-42E4-A93C-CB8AB09216FE}"/>
    <cellStyle name="Normal 16 2 2 4 3 2" xfId="8419" xr:uid="{984C2A16-71FF-427F-85F5-43B8B2ADADE9}"/>
    <cellStyle name="Normal 16 2 2 4 4" xfId="4695" xr:uid="{6BDBAD91-6744-40D9-86D6-EDFC68DDDB72}"/>
    <cellStyle name="Normal 16 2 2 4 4 2" xfId="8941" xr:uid="{7478833F-8E64-4138-8901-A548B340410B}"/>
    <cellStyle name="Normal 16 2 2 4 5" xfId="3148" xr:uid="{67D26269-C2E2-4EA0-825B-BD7B2C8FEA85}"/>
    <cellStyle name="Normal 16 2 2 4 5 2" xfId="7643" xr:uid="{A3C9D446-8B57-408E-AC82-8C1E63FB6411}"/>
    <cellStyle name="Normal 16 2 2 4 6" xfId="5742" xr:uid="{36A39D48-D015-49C9-9E6F-F1CA66FDB1C7}"/>
    <cellStyle name="Normal 16 2 2 5" xfId="1218" xr:uid="{63DB9D39-135F-477E-BD68-5B654DE735F6}"/>
    <cellStyle name="Normal 16 2 2 5 2" xfId="2203" xr:uid="{F167FD23-92B0-4AA5-A0EE-2663B03E1423}"/>
    <cellStyle name="Normal 16 2 2 5 2 2" xfId="5177" xr:uid="{60C80BFC-FA6A-4A27-8779-7FDB1E597480}"/>
    <cellStyle name="Normal 16 2 2 5 2 2 2" xfId="9402" xr:uid="{7F877E4C-4CF6-4287-830F-C545427D89C4}"/>
    <cellStyle name="Normal 16 2 2 5 2 3" xfId="3669" xr:uid="{6B0432DD-CA63-454D-9F2F-D6BB02B23258}"/>
    <cellStyle name="Normal 16 2 2 5 2 3 2" xfId="8136" xr:uid="{29E224EC-71E1-4CD3-AFCE-2EFD930E01F9}"/>
    <cellStyle name="Normal 16 2 2 5 2 4" xfId="6768" xr:uid="{C1B6797B-814E-4A1D-85B7-9D8F67A3350F}"/>
    <cellStyle name="Normal 16 2 2 5 3" xfId="4075" xr:uid="{2FC93DBD-9EFE-4BE0-81AD-1395C019E8C9}"/>
    <cellStyle name="Normal 16 2 2 5 3 2" xfId="8524" xr:uid="{CC04219B-AD02-4D4C-A4C4-A88FED5A317E}"/>
    <cellStyle name="Normal 16 2 2 5 4" xfId="4792" xr:uid="{B0BFC3E9-8A7D-4F03-B165-A903C05246A6}"/>
    <cellStyle name="Normal 16 2 2 5 4 2" xfId="9038" xr:uid="{5078010C-CE11-4885-BFD1-D049D454EF4E}"/>
    <cellStyle name="Normal 16 2 2 5 5" xfId="3254" xr:uid="{22BA2A7D-8A6D-470D-85CA-2A44E63B8E79}"/>
    <cellStyle name="Normal 16 2 2 5 5 2" xfId="7748" xr:uid="{FF570FF9-B864-4CE0-81AF-B5B5A5F86C41}"/>
    <cellStyle name="Normal 16 2 2 5 6" xfId="5789" xr:uid="{5F508629-84F7-425E-A1BE-AD51DA0D7377}"/>
    <cellStyle name="Normal 16 2 2 6" xfId="1457" xr:uid="{C7B98AB3-85A8-421F-8AEA-4580E3C96BBD}"/>
    <cellStyle name="Normal 16 2 2 6 2" xfId="2437" xr:uid="{0DB9F56B-0683-4B5B-911B-E2A1C0897A1D}"/>
    <cellStyle name="Normal 16 2 2 6 2 2" xfId="4915" xr:uid="{CB57B2FF-FAC7-44D0-9AA0-A09B596BCEBF}"/>
    <cellStyle name="Normal 16 2 2 6 2 2 2" xfId="9145" xr:uid="{246D9A99-B7A9-4761-987C-778C5A9AC4FE}"/>
    <cellStyle name="Normal 16 2 2 6 2 3" xfId="3458" xr:uid="{FA8CF90A-FD16-4F2B-8A38-B6975A118BD3}"/>
    <cellStyle name="Normal 16 2 2 6 2 3 2" xfId="7926" xr:uid="{3118FA02-A243-454A-979A-8D3928EE0D75}"/>
    <cellStyle name="Normal 16 2 2 6 2 4" xfId="7002" xr:uid="{72779B6A-0704-4923-AC32-3DE75AF70CAE}"/>
    <cellStyle name="Normal 16 2 2 6 3" xfId="3865" xr:uid="{4E26A98B-8DF2-483B-88D7-25CBB7BB56CC}"/>
    <cellStyle name="Normal 16 2 2 6 3 2" xfId="8314" xr:uid="{B07B8939-4334-4D06-9A10-84F28086E8F7}"/>
    <cellStyle name="Normal 16 2 2 6 4" xfId="4551" xr:uid="{45AB0479-FB1A-4FD2-946C-04D6562A427D}"/>
    <cellStyle name="Normal 16 2 2 6 4 2" xfId="8808" xr:uid="{4573F633-A31D-4191-B14A-EFB271135269}"/>
    <cellStyle name="Normal 16 2 2 6 5" xfId="3014" xr:uid="{FF970F5E-171C-43AE-AAA1-7441B118C4F9}"/>
    <cellStyle name="Normal 16 2 2 6 5 2" xfId="7538" xr:uid="{7AD673A5-7BCE-4F8A-84F2-81345C3CCC8A}"/>
    <cellStyle name="Normal 16 2 2 6 6" xfId="6023" xr:uid="{2865153D-F4E2-47BE-8D5B-FEB5FA0CB109}"/>
    <cellStyle name="Normal 16 2 2 7" xfId="1706" xr:uid="{863BC01B-5F5E-4D72-B9E7-52B89C2C81D9}"/>
    <cellStyle name="Normal 16 2 2 7 2" xfId="2686" xr:uid="{E9DEE9E5-94D1-4EB9-913E-378A4BFCF577}"/>
    <cellStyle name="Normal 16 2 2 7 2 2" xfId="4944" xr:uid="{3A9BA833-8E93-4C08-BB1F-BBB0EBF41574}"/>
    <cellStyle name="Normal 16 2 2 7 2 2 2" xfId="9174" xr:uid="{3635492B-90CF-4A59-A782-498448B5A276}"/>
    <cellStyle name="Normal 16 2 2 7 2 3" xfId="7251" xr:uid="{EBD0272E-5BBD-432F-AE3C-7FCEC33C4E14}"/>
    <cellStyle name="Normal 16 2 2 7 3" xfId="3366" xr:uid="{71BA3E2E-2FA9-48B6-B24B-8010FF0C5BD5}"/>
    <cellStyle name="Normal 16 2 2 7 3 2" xfId="7853" xr:uid="{4B35CCA3-2743-4FAC-9694-0DC118B04AC7}"/>
    <cellStyle name="Normal 16 2 2 7 4" xfId="6272" xr:uid="{C584913A-2F12-46B9-AFEC-0A8F49509318}"/>
    <cellStyle name="Normal 16 2 2 8" xfId="1928" xr:uid="{5BD4FCEB-2603-4B77-BA66-DF82793F4E11}"/>
    <cellStyle name="Normal 16 2 2 8 2" xfId="3791" xr:uid="{05A53F31-FA5A-4140-88A5-166C07A68DB2}"/>
    <cellStyle name="Normal 16 2 2 8 2 2" xfId="8241" xr:uid="{EB1AD708-F094-4D72-BBBC-CCEC683D0138}"/>
    <cellStyle name="Normal 16 2 2 8 3" xfId="6493" xr:uid="{716F6B9F-D55C-4B9B-9187-C3A871F46362}"/>
    <cellStyle name="Normal 16 2 2 9" xfId="4297" xr:uid="{96CFB718-9F00-4889-9966-C630D5ACFAF5}"/>
    <cellStyle name="Normal 16 2 2 9 2" xfId="8650" xr:uid="{34C64F9F-B313-418C-BC61-5B38D766612E}"/>
    <cellStyle name="Normal 16 2 3" xfId="648" xr:uid="{1697A4F7-3E65-44B6-A2BB-DA3A38FE13FC}"/>
    <cellStyle name="Normal 16 2 4" xfId="853" xr:uid="{FC2BA34E-B641-4E8D-8965-A0B10B093DFB}"/>
    <cellStyle name="Normal 16 2 4 2" xfId="959" xr:uid="{1438BA29-9E15-415F-87BC-73C8EE82D971}"/>
    <cellStyle name="Normal 16 2 4 2 2" xfId="1332" xr:uid="{02D2BC8F-076A-4C08-99C5-348A25817812}"/>
    <cellStyle name="Normal 16 2 4 2 2 2" xfId="2312" xr:uid="{797CE8A8-C092-4E9E-94E4-5202297167FD}"/>
    <cellStyle name="Normal 16 2 4 2 2 2 2" xfId="6877" xr:uid="{E6B611EC-C18F-49E4-B6A5-3CDA8CCCDC4B}"/>
    <cellStyle name="Normal 16 2 4 2 2 3" xfId="5355" xr:uid="{CA34CBA4-DDE3-4BE0-985C-9E4AE1619DCA}"/>
    <cellStyle name="Normal 16 2 4 2 2 3 2" xfId="9533" xr:uid="{346A3848-6A7F-48B0-897F-C197C5800E30}"/>
    <cellStyle name="Normal 16 2 4 2 2 4" xfId="5898" xr:uid="{5E41CA07-D3C3-4709-93F5-59629571F76D}"/>
    <cellStyle name="Normal 16 2 4 2 3" xfId="1566" xr:uid="{B4D82B54-B117-4A7F-9856-3DB36953853B}"/>
    <cellStyle name="Normal 16 2 4 2 3 2" xfId="2546" xr:uid="{1C902C5D-81CD-463B-BF4C-BF632E6A79CB}"/>
    <cellStyle name="Normal 16 2 4 2 3 2 2" xfId="7111" xr:uid="{A217476B-09DE-4004-870E-35B884DCB861}"/>
    <cellStyle name="Normal 16 2 4 2 3 3" xfId="5394" xr:uid="{E3388F44-60B2-4763-8849-582F8C23A71E}"/>
    <cellStyle name="Normal 16 2 4 2 3 3 2" xfId="9571" xr:uid="{329ECCC9-3567-4E23-86D4-D471440CC5A5}"/>
    <cellStyle name="Normal 16 2 4 2 3 4" xfId="6132" xr:uid="{3D1DCF8B-E7C5-494E-8BD8-8F4EE384BEB5}"/>
    <cellStyle name="Normal 16 2 4 2 4" xfId="1800" xr:uid="{C07A346B-1683-4BF3-A19D-D95450E60D2E}"/>
    <cellStyle name="Normal 16 2 4 2 4 2" xfId="2779" xr:uid="{668B966A-B60C-4959-BC76-EE4651BB91B5}"/>
    <cellStyle name="Normal 16 2 4 2 4 2 2" xfId="7344" xr:uid="{5521E577-EAE2-4BE7-8790-7D3B24671D5B}"/>
    <cellStyle name="Normal 16 2 4 2 4 3" xfId="5444" xr:uid="{F068287E-D5C4-4C7A-A6BE-968F4E01F211}"/>
    <cellStyle name="Normal 16 2 4 2 4 3 2" xfId="9620" xr:uid="{55A3479D-DD86-4C43-AC8D-15D9E0FE105D}"/>
    <cellStyle name="Normal 16 2 4 2 4 4" xfId="6365" xr:uid="{31312B00-3265-46B2-9231-20E7926FFC8C}"/>
    <cellStyle name="Normal 16 2 4 2 5" xfId="2037" xr:uid="{6D7E2B13-29AB-4843-8A2B-587FF8B3FC85}"/>
    <cellStyle name="Normal 16 2 4 2 5 2" xfId="6602" xr:uid="{4B245474-44EF-484F-B252-06D5748E35E0}"/>
    <cellStyle name="Normal 16 2 4 2 6" xfId="5267" xr:uid="{52C00635-3552-4F87-A3C7-47A0BE56FA95}"/>
    <cellStyle name="Normal 16 2 4 2 6 2" xfId="9489" xr:uid="{477C58FE-1E52-4D80-9D10-EC060E3EB4D1}"/>
    <cellStyle name="Normal 16 2 4 2 7" xfId="5623" xr:uid="{D826574E-9770-45B9-B548-CBE4A2BBE42A}"/>
    <cellStyle name="Normal 16 2 4 3" xfId="1041" xr:uid="{69AAF43E-7807-4689-8B52-038C7E02A9D7}"/>
    <cellStyle name="Normal 16 2 4 3 2" xfId="1409" xr:uid="{915C85AD-F3B2-4784-9CB3-7F70D1C10CDE}"/>
    <cellStyle name="Normal 16 2 4 3 2 2" xfId="2389" xr:uid="{788B1CB0-92DA-43F1-9BF5-37D09E9CC2DA}"/>
    <cellStyle name="Normal 16 2 4 3 2 2 2" xfId="6954" xr:uid="{0F6B02CA-674F-4F1C-9BEA-2DF9814EDE3C}"/>
    <cellStyle name="Normal 16 2 4 3 2 3" xfId="5369" xr:uid="{0C802B90-4E7C-45FA-BEBE-C40B56EFEE19}"/>
    <cellStyle name="Normal 16 2 4 3 2 3 2" xfId="9547" xr:uid="{096B1621-79CE-44A3-8BDB-DC8A54AB50B5}"/>
    <cellStyle name="Normal 16 2 4 3 2 4" xfId="5975" xr:uid="{544FF9C2-4DB0-480D-BEC3-D2A11E44FC74}"/>
    <cellStyle name="Normal 16 2 4 3 3" xfId="1643" xr:uid="{2385B584-54EC-415F-A515-53F436E157EF}"/>
    <cellStyle name="Normal 16 2 4 3 3 2" xfId="2623" xr:uid="{2CA3E004-E4DD-4705-B2AF-3F88538F2326}"/>
    <cellStyle name="Normal 16 2 4 3 3 2 2" xfId="7188" xr:uid="{90FFEF69-3C29-45B3-92B5-366BB07F5B0F}"/>
    <cellStyle name="Normal 16 2 4 3 3 3" xfId="5409" xr:uid="{C02DA457-67B6-4B5F-AF12-AC9752E67007}"/>
    <cellStyle name="Normal 16 2 4 3 3 3 2" xfId="9586" xr:uid="{18DD5EA7-F45C-4CC1-A471-7534D29C6EEA}"/>
    <cellStyle name="Normal 16 2 4 3 3 4" xfId="6209" xr:uid="{1C31483E-F1A6-4B6E-AF14-C733D1AE02D9}"/>
    <cellStyle name="Normal 16 2 4 3 4" xfId="1877" xr:uid="{A11C6839-7A4E-43CD-85F3-4BC0BF8CA31F}"/>
    <cellStyle name="Normal 16 2 4 3 4 2" xfId="2856" xr:uid="{6A39ED47-B5D5-468E-BCD0-D135E1092861}"/>
    <cellStyle name="Normal 16 2 4 3 4 2 2" xfId="7421" xr:uid="{6C69D219-8794-43BA-986F-777B399CAC17}"/>
    <cellStyle name="Normal 16 2 4 3 4 3" xfId="5465" xr:uid="{91ACF7BE-D060-4C8D-BE07-E53B72B371D7}"/>
    <cellStyle name="Normal 16 2 4 3 4 3 2" xfId="9641" xr:uid="{238E90A8-5925-4EC1-8BCD-7505D74115EA}"/>
    <cellStyle name="Normal 16 2 4 3 4 4" xfId="6442" xr:uid="{2B068507-E643-465F-9DB9-69134BA42B02}"/>
    <cellStyle name="Normal 16 2 4 3 5" xfId="2114" xr:uid="{D1A6DF7A-574B-42C3-8BC6-6EFB320361A9}"/>
    <cellStyle name="Normal 16 2 4 3 5 2" xfId="6679" xr:uid="{6A0CC92C-386D-4A98-8DB1-5E87BFDEA9FB}"/>
    <cellStyle name="Normal 16 2 4 3 6" xfId="5279" xr:uid="{BDE5C44F-902C-4D23-9DE8-FB17F37047C9}"/>
    <cellStyle name="Normal 16 2 4 3 6 2" xfId="9501" xr:uid="{20C0D7D4-5959-49D5-BF62-B014881926CF}"/>
    <cellStyle name="Normal 16 2 4 3 7" xfId="5700" xr:uid="{39137706-586A-46BC-B21D-071ED68E85B4}"/>
    <cellStyle name="Normal 16 2 4 4" xfId="1253" xr:uid="{EFF260AA-F603-4B99-B724-8C6E91A76A4C}"/>
    <cellStyle name="Normal 16 2 4 4 2" xfId="2235" xr:uid="{B5D89E9B-233C-49CD-B117-5A363D49A7B3}"/>
    <cellStyle name="Normal 16 2 4 4 2 2" xfId="6800" xr:uid="{652A989F-0F4E-4D76-93A5-D35997348A21}"/>
    <cellStyle name="Normal 16 2 4 4 3" xfId="5340" xr:uid="{B5435CFD-6443-4E47-BB74-2F323D8F466E}"/>
    <cellStyle name="Normal 16 2 4 4 3 2" xfId="9521" xr:uid="{85AAD439-58B8-46F6-8C55-04732DC96292}"/>
    <cellStyle name="Normal 16 2 4 4 4" xfId="5821" xr:uid="{206E2A2B-9B0F-4D50-AF92-F83C35D7EB59}"/>
    <cellStyle name="Normal 16 2 4 5" xfId="1489" xr:uid="{B4D54364-6E4B-475D-87FF-0B38073B3B29}"/>
    <cellStyle name="Normal 16 2 4 5 2" xfId="2469" xr:uid="{021F4A88-3593-4A66-A1ED-B8DBEA62AA3C}"/>
    <cellStyle name="Normal 16 2 4 5 2 2" xfId="7034" xr:uid="{80233DEF-1129-48AE-A888-51B91FB92C75}"/>
    <cellStyle name="Normal 16 2 4 5 3" xfId="5382" xr:uid="{F5F21E99-290A-4FE0-8223-81E35A248692}"/>
    <cellStyle name="Normal 16 2 4 5 3 2" xfId="9560" xr:uid="{EE3218C5-C8CF-4E61-B3A4-5C0DEE41BF40}"/>
    <cellStyle name="Normal 16 2 4 5 4" xfId="6055" xr:uid="{5AF20767-ADC4-4E50-B5B5-FDC63D866188}"/>
    <cellStyle name="Normal 16 2 4 6" xfId="1723" xr:uid="{0B0EA329-B3AC-417B-800F-5F72547248CB}"/>
    <cellStyle name="Normal 16 2 4 6 2" xfId="2702" xr:uid="{D28D48D0-C083-4CF7-888A-169580753DC6}"/>
    <cellStyle name="Normal 16 2 4 6 2 2" xfId="7267" xr:uid="{50B7127D-2F73-44BD-A0DD-905916FAA38B}"/>
    <cellStyle name="Normal 16 2 4 6 3" xfId="5429" xr:uid="{A596F1EE-C694-4492-9D32-3D45555CD9FD}"/>
    <cellStyle name="Normal 16 2 4 6 3 2" xfId="9605" xr:uid="{4ED0E7F8-AE96-403B-B725-9149968938BE}"/>
    <cellStyle name="Normal 16 2 4 6 4" xfId="6288" xr:uid="{81AA6421-62C7-4FCF-9185-61023B2B4ABA}"/>
    <cellStyle name="Normal 16 2 4 7" xfId="1960" xr:uid="{4E77A4E3-53B6-447B-85FE-4F20EDBCD209}"/>
    <cellStyle name="Normal 16 2 4 7 2" xfId="6525" xr:uid="{6D1ACFB9-9BAD-4753-8F4C-42F59342EE02}"/>
    <cellStyle name="Normal 16 2 4 8" xfId="4417" xr:uid="{BCD47D2B-0CB5-4C41-A4FD-AEBE9C67A334}"/>
    <cellStyle name="Normal 16 2 4 8 2" xfId="8694" xr:uid="{9FFA553C-6547-4783-9346-DEDB0814BF2A}"/>
    <cellStyle name="Normal 16 2 4 9" xfId="5546" xr:uid="{B31777DB-686F-4C12-B65E-691C6B06B249}"/>
    <cellStyle name="Normal 16 2 5" xfId="897" xr:uid="{17655183-03B3-49CF-950A-4294A6FE864E}"/>
    <cellStyle name="Normal 16 2 5 2" xfId="1288" xr:uid="{D4DE9BF5-0AFF-4693-B336-F1DDE4F78A01}"/>
    <cellStyle name="Normal 16 2 5 2 2" xfId="2270" xr:uid="{E9A57CC3-2C48-480B-BC16-578E83F8EE37}"/>
    <cellStyle name="Normal 16 2 5 2 2 2" xfId="6835" xr:uid="{251CA44B-72DF-4DF6-B6F7-0EA5FE0E9AB9}"/>
    <cellStyle name="Normal 16 2 5 2 3" xfId="5348" xr:uid="{FFC7A5A9-B6B2-488B-BAFB-1C0F67C05845}"/>
    <cellStyle name="Normal 16 2 5 2 3 2" xfId="9528" xr:uid="{A59AEAD5-C4DB-45E4-8366-A5730C1A8D7C}"/>
    <cellStyle name="Normal 16 2 5 2 4" xfId="5856" xr:uid="{B50E7D84-04EF-4D7B-993C-4232A7BB2292}"/>
    <cellStyle name="Normal 16 2 5 3" xfId="1524" xr:uid="{289C97F3-D8DF-404C-812A-D00A98E7D38C}"/>
    <cellStyle name="Normal 16 2 5 3 2" xfId="2504" xr:uid="{821CAA13-737D-413D-878F-2F8EF53E620B}"/>
    <cellStyle name="Normal 16 2 5 3 2 2" xfId="7069" xr:uid="{E75C5F69-6F0C-4B09-98C0-F9C3FE6D4795}"/>
    <cellStyle name="Normal 16 2 5 3 3" xfId="5389" xr:uid="{B7E7F37E-4350-4404-948E-763579383CC3}"/>
    <cellStyle name="Normal 16 2 5 3 3 2" xfId="9566" xr:uid="{432436B8-495A-470D-B8FA-AB2DEE040531}"/>
    <cellStyle name="Normal 16 2 5 3 4" xfId="6090" xr:uid="{09FABBE7-C89F-45E0-9A23-7FE93BC0648C}"/>
    <cellStyle name="Normal 16 2 5 4" xfId="1758" xr:uid="{A0911E9F-8A60-43BA-A98F-116B0F118C72}"/>
    <cellStyle name="Normal 16 2 5 4 2" xfId="2737" xr:uid="{8386E9CC-E33B-4F58-AAA2-B150F08E5E7E}"/>
    <cellStyle name="Normal 16 2 5 4 2 2" xfId="7302" xr:uid="{73DBB427-5EFF-4F8E-AC12-ED476A5C0F76}"/>
    <cellStyle name="Normal 16 2 5 4 3" xfId="5436" xr:uid="{C8F07004-4E57-45BF-B8A9-3B775F967E7B}"/>
    <cellStyle name="Normal 16 2 5 4 3 2" xfId="9612" xr:uid="{84F85C41-8FD4-44ED-85F0-DFA4F82FE336}"/>
    <cellStyle name="Normal 16 2 5 4 4" xfId="6323" xr:uid="{1112B534-7BB6-4570-96CB-AF26FE87563B}"/>
    <cellStyle name="Normal 16 2 5 5" xfId="1995" xr:uid="{7FE03C97-0A53-4F42-9FC8-82965DBEA1C2}"/>
    <cellStyle name="Normal 16 2 5 5 2" xfId="6560" xr:uid="{C9986633-6A95-4554-B87E-3F9892CF4951}"/>
    <cellStyle name="Normal 16 2 5 6" xfId="4521" xr:uid="{FDE26FF2-71F0-42CE-A02A-FCB38C55C446}"/>
    <cellStyle name="Normal 16 2 5 6 2" xfId="8788" xr:uid="{C7A5E970-84A1-4D55-893F-50C6607DA8FB}"/>
    <cellStyle name="Normal 16 2 5 7" xfId="5581" xr:uid="{5E57B6B3-D750-49E8-AED1-C2051259759B}"/>
    <cellStyle name="Normal 16 2 6" xfId="999" xr:uid="{57B0A039-5E5C-4A1E-8098-727274FACD14}"/>
    <cellStyle name="Normal 16 2 6 2" xfId="1367" xr:uid="{0C3B47DD-FDD4-4687-B9B0-923FE3C0E481}"/>
    <cellStyle name="Normal 16 2 6 2 2" xfId="2347" xr:uid="{464FB964-2FF7-4CEC-BB8A-F9773919B81F}"/>
    <cellStyle name="Normal 16 2 6 2 2 2" xfId="6912" xr:uid="{57A84F67-8E6C-4819-8CDC-EBAD987AEF9C}"/>
    <cellStyle name="Normal 16 2 6 2 3" xfId="5362" xr:uid="{0EB64DA3-A105-4B5B-B9F4-A41BE9E75554}"/>
    <cellStyle name="Normal 16 2 6 2 3 2" xfId="9540" xr:uid="{07EB5E65-79C6-46E2-8F1B-8BACA53BD9AA}"/>
    <cellStyle name="Normal 16 2 6 2 4" xfId="5933" xr:uid="{A4839C09-1CB2-4215-8397-29A3AC4E896A}"/>
    <cellStyle name="Normal 16 2 6 3" xfId="1601" xr:uid="{B82BFE15-FA62-484E-A698-051E1CF765AD}"/>
    <cellStyle name="Normal 16 2 6 3 2" xfId="2581" xr:uid="{C1DA6A53-97C8-42C3-8F42-25B131D6C7AE}"/>
    <cellStyle name="Normal 16 2 6 3 2 2" xfId="7146" xr:uid="{A7027304-250F-4C30-8621-8154216AA9A3}"/>
    <cellStyle name="Normal 16 2 6 3 3" xfId="5402" xr:uid="{923F987D-1006-4421-9AFB-5B17CFE744BB}"/>
    <cellStyle name="Normal 16 2 6 3 3 2" xfId="9579" xr:uid="{0C859ACC-A9A3-4D6A-97E0-E9727990AADA}"/>
    <cellStyle name="Normal 16 2 6 3 4" xfId="6167" xr:uid="{51DD3618-52BE-403F-BE88-E64146F20992}"/>
    <cellStyle name="Normal 16 2 6 4" xfId="1835" xr:uid="{B1D597B3-912A-48ED-A7B3-B6F0FC1DC3E3}"/>
    <cellStyle name="Normal 16 2 6 4 2" xfId="2814" xr:uid="{DF1E6E15-1255-4C66-A839-ED37AE59EE0D}"/>
    <cellStyle name="Normal 16 2 6 4 2 2" xfId="7379" xr:uid="{F318C724-562B-4B38-83ED-B55612DDC311}"/>
    <cellStyle name="Normal 16 2 6 4 3" xfId="5455" xr:uid="{A7AF749F-E999-48C8-80A7-84EDF76DC8E4}"/>
    <cellStyle name="Normal 16 2 6 4 3 2" xfId="9631" xr:uid="{1AB59B55-13A5-4A9D-A1E8-EC59C1C0A29D}"/>
    <cellStyle name="Normal 16 2 6 4 4" xfId="6400" xr:uid="{668BCB1E-0732-45E8-A946-FB06A8D3B67D}"/>
    <cellStyle name="Normal 16 2 6 5" xfId="2072" xr:uid="{435E3314-0030-4AF9-8838-0DE73C6947CE}"/>
    <cellStyle name="Normal 16 2 6 5 2" xfId="6637" xr:uid="{E1D56257-0BA8-4765-B400-AC15D8328124}"/>
    <cellStyle name="Normal 16 2 6 6" xfId="4899" xr:uid="{677A9954-2BA9-4171-8494-8C8BDF928610}"/>
    <cellStyle name="Normal 16 2 6 6 2" xfId="9130" xr:uid="{40640B41-DF56-4F3C-9EC4-4698DC688825}"/>
    <cellStyle name="Normal 16 2 6 7" xfId="5658" xr:uid="{15ADF908-4566-4926-B948-6C1CE1808022}"/>
    <cellStyle name="Normal 16 2 7" xfId="1138" xr:uid="{F7885B41-9D26-4FA9-95F1-A8B8AC9E4269}"/>
    <cellStyle name="Normal 16 2 7 2" xfId="2155" xr:uid="{F18634D3-2194-4285-852C-1F3612663727}"/>
    <cellStyle name="Normal 16 2 7 2 2" xfId="6720" xr:uid="{5473C860-8E70-4016-A1A4-56143071CA4A}"/>
    <cellStyle name="Normal 16 2 7 3" xfId="4245" xr:uid="{5A305CFD-EE1F-43EA-940A-6A7EB2558FC9}"/>
    <cellStyle name="Normal 16 2 7 3 2" xfId="8622" xr:uid="{49BAF21B-1052-417C-8890-0F147E5670B6}"/>
    <cellStyle name="Normal 16 2 7 4" xfId="5741" xr:uid="{07583444-3E04-4804-8AE7-50F467FE592F}"/>
    <cellStyle name="Normal 16 2 8" xfId="1207" xr:uid="{C21F7C98-8804-4C67-9B93-D60CB9C765EC}"/>
    <cellStyle name="Normal 16 2 8 2" xfId="2193" xr:uid="{415BEDD5-5990-450C-AFFE-0199B95FE31E}"/>
    <cellStyle name="Normal 16 2 8 2 2" xfId="6758" xr:uid="{79344904-B7FB-4653-B960-D3925D8187C7}"/>
    <cellStyle name="Normal 16 2 8 3" xfId="5330" xr:uid="{E7B08526-69CB-4457-AB25-0AC908E22DA4}"/>
    <cellStyle name="Normal 16 2 8 3 2" xfId="9516" xr:uid="{F1CE1A4C-F9AF-4C81-BA09-D58A6EB5A48F}"/>
    <cellStyle name="Normal 16 2 8 4" xfId="5779" xr:uid="{0ABEFDE6-6F9A-4C50-8BA3-7EF34571816E}"/>
    <cellStyle name="Normal 16 2 9" xfId="1447" xr:uid="{852D07FD-C8CF-46EC-BC37-5876595A304F}"/>
    <cellStyle name="Normal 16 2 9 2" xfId="2427" xr:uid="{34926FD3-DA98-4681-8DD3-9E7CBABDFAAA}"/>
    <cellStyle name="Normal 16 2 9 2 2" xfId="6992" xr:uid="{29B46230-140D-4B82-AA2E-5DDB07431EE4}"/>
    <cellStyle name="Normal 16 2 9 3" xfId="5377" xr:uid="{41F0CD39-F715-40EE-AC72-8DBFC6641987}"/>
    <cellStyle name="Normal 16 2 9 3 2" xfId="9555" xr:uid="{07C1AE84-27F4-4499-AE7F-E15CFECBF23A}"/>
    <cellStyle name="Normal 16 2 9 4" xfId="6013" xr:uid="{F1C4BED1-CE5E-4432-91F4-55927710FFBE}"/>
    <cellStyle name="Normal 16 3" xfId="349" xr:uid="{67C54C81-E7EA-43F4-86E0-572BFAC308A7}"/>
    <cellStyle name="Normal 16 4" xfId="350" xr:uid="{39FB8695-499D-4DDD-9A11-8EA5B86915B0}"/>
    <cellStyle name="Normal 16 4 10" xfId="2903" xr:uid="{A3FE92C6-3528-4863-86A1-1FECDB337063}"/>
    <cellStyle name="Normal 16 4 10 2" xfId="7466" xr:uid="{E38D5554-973D-42AF-BF06-28DEA2263A37}"/>
    <cellStyle name="Normal 16 4 11" xfId="5505" xr:uid="{7A0F9BD6-506D-4F2D-AA88-4458F589562F}"/>
    <cellStyle name="Normal 16 4 2" xfId="854" xr:uid="{61FBF7A5-49D8-485E-AE5A-36311B3081AC}"/>
    <cellStyle name="Normal 16 4 2 2" xfId="960" xr:uid="{1FB5B800-C5FB-4142-A564-A5DCFC0AF1F2}"/>
    <cellStyle name="Normal 16 4 2 2 2" xfId="1333" xr:uid="{26D856F3-F053-4A4C-AE9B-40E67F458119}"/>
    <cellStyle name="Normal 16 4 2 2 2 2" xfId="2313" xr:uid="{8FDFDFF9-D5EF-4F20-A429-7C3604BE1C9F}"/>
    <cellStyle name="Normal 16 4 2 2 2 2 2" xfId="4723" xr:uid="{5221A0F3-E7A0-4142-8847-C8FD2004CEFF}"/>
    <cellStyle name="Normal 16 4 2 2 2 2 2 2" xfId="8969" xr:uid="{222A7CFF-31C4-426C-9E9F-F94990E82243}"/>
    <cellStyle name="Normal 16 4 2 2 2 2 3" xfId="6878" xr:uid="{521FC221-EB2B-4ECB-AAF3-4974FFC4ADCB}"/>
    <cellStyle name="Normal 16 4 2 2 2 3" xfId="3599" xr:uid="{245280F2-A980-4B78-9037-C9496A72D962}"/>
    <cellStyle name="Normal 16 4 2 2 2 3 2" xfId="8066" xr:uid="{108D2D5D-C447-4D4A-B8E2-ABA502D2FF10}"/>
    <cellStyle name="Normal 16 4 2 2 2 4" xfId="5899" xr:uid="{85AA4ED0-CE29-427B-90D0-F81FBE5A15EF}"/>
    <cellStyle name="Normal 16 4 2 2 3" xfId="1567" xr:uid="{8A57539E-E0B3-418D-9DCE-B06B18E8620A}"/>
    <cellStyle name="Normal 16 4 2 2 3 2" xfId="2547" xr:uid="{34D8F6AB-115C-4430-9BFC-25F4DF9DA5FD}"/>
    <cellStyle name="Normal 16 4 2 2 3 2 2" xfId="5107" xr:uid="{4259B508-4A4B-45B6-8117-3C6B2D33215E}"/>
    <cellStyle name="Normal 16 4 2 2 3 2 2 2" xfId="9332" xr:uid="{4E91C8BD-40CB-43AD-AEFC-F71A224AAC11}"/>
    <cellStyle name="Normal 16 4 2 2 3 2 3" xfId="7112" xr:uid="{D8CC8E83-1792-4C32-A02C-0BD28CEF54C8}"/>
    <cellStyle name="Normal 16 4 2 2 3 3" xfId="4005" xr:uid="{BFB11142-3110-46D5-91AA-2C4C23D4FB72}"/>
    <cellStyle name="Normal 16 4 2 2 3 3 2" xfId="8454" xr:uid="{17EEC1F3-A3BF-4F02-AC63-280B21F39470}"/>
    <cellStyle name="Normal 16 4 2 2 3 4" xfId="6133" xr:uid="{5E2C127B-C41F-4E09-89B9-03009F8E7C27}"/>
    <cellStyle name="Normal 16 4 2 2 4" xfId="1801" xr:uid="{FF90C452-B068-4B52-99A9-B31167C30C70}"/>
    <cellStyle name="Normal 16 4 2 2 4 2" xfId="2780" xr:uid="{847A3D0F-FB5C-4264-9E6D-150D2CCE089C}"/>
    <cellStyle name="Normal 16 4 2 2 4 2 2" xfId="7345" xr:uid="{BBA321AB-981F-4702-B398-9D2038EA5330}"/>
    <cellStyle name="Normal 16 4 2 2 4 3" xfId="4446" xr:uid="{17FBC50A-C39F-43BC-8690-EBA4B981AA11}"/>
    <cellStyle name="Normal 16 4 2 2 4 3 2" xfId="8723" xr:uid="{8ABE74F1-88A8-4782-899D-C79D53ADA552}"/>
    <cellStyle name="Normal 16 4 2 2 4 4" xfId="6366" xr:uid="{1667A365-940D-4DEA-AFFD-6B9A5FD8FEC7}"/>
    <cellStyle name="Normal 16 4 2 2 5" xfId="2038" xr:uid="{53022CE5-44D1-4A6D-9F12-BFDD1AF9CEF9}"/>
    <cellStyle name="Normal 16 4 2 2 5 2" xfId="6603" xr:uid="{D365B713-E1C8-4DF1-80AE-6247922C30FD}"/>
    <cellStyle name="Normal 16 4 2 2 6" xfId="3183" xr:uid="{53B6FB0C-B633-4B7E-A28C-BB41FC63CF74}"/>
    <cellStyle name="Normal 16 4 2 2 6 2" xfId="7678" xr:uid="{9531120D-8372-4369-84E5-CDBA7721B2C4}"/>
    <cellStyle name="Normal 16 4 2 2 7" xfId="5624" xr:uid="{770CFDE6-04CC-4885-8D75-C2E8DF0317CF}"/>
    <cellStyle name="Normal 16 4 2 3" xfId="1042" xr:uid="{8D85DECC-C015-40F8-8437-6D100807286E}"/>
    <cellStyle name="Normal 16 4 2 3 2" xfId="1410" xr:uid="{0D4A0558-693D-4345-AE2B-4F16DE01DC04}"/>
    <cellStyle name="Normal 16 4 2 3 2 2" xfId="2390" xr:uid="{5CBB9689-01F5-499E-BAF3-77A467BE7AA6}"/>
    <cellStyle name="Normal 16 4 2 3 2 2 2" xfId="5212" xr:uid="{25BBF2C3-09DF-480F-8131-D9C8B5963B5E}"/>
    <cellStyle name="Normal 16 4 2 3 2 2 2 2" xfId="9437" xr:uid="{EDEF863D-F687-4BE2-B409-BBE62BCA09D2}"/>
    <cellStyle name="Normal 16 4 2 3 2 2 3" xfId="6955" xr:uid="{E3F345D6-69A4-4211-9ACB-FFCEAE840D69}"/>
    <cellStyle name="Normal 16 4 2 3 2 3" xfId="3704" xr:uid="{A421BD65-23C1-4639-8EC5-3F606BAD0550}"/>
    <cellStyle name="Normal 16 4 2 3 2 3 2" xfId="8171" xr:uid="{B2513776-82E7-44A2-AE98-80E288312CE7}"/>
    <cellStyle name="Normal 16 4 2 3 2 4" xfId="5976" xr:uid="{195EB042-A811-4540-83DA-A704CDCF109B}"/>
    <cellStyle name="Normal 16 4 2 3 3" xfId="1644" xr:uid="{917DB561-1FC0-461C-908E-5F0467327624}"/>
    <cellStyle name="Normal 16 4 2 3 3 2" xfId="2624" xr:uid="{562F772B-3C0F-4F9E-A402-B215246AC625}"/>
    <cellStyle name="Normal 16 4 2 3 3 2 2" xfId="7189" xr:uid="{7418F6C0-D6C4-4EAC-B1F8-91F4A149163B}"/>
    <cellStyle name="Normal 16 4 2 3 3 3" xfId="4110" xr:uid="{4EC861B8-3729-48FC-A77D-2057AECE0C52}"/>
    <cellStyle name="Normal 16 4 2 3 3 3 2" xfId="8559" xr:uid="{A0E6F534-1978-45BC-AD50-B14950B2E0C9}"/>
    <cellStyle name="Normal 16 4 2 3 3 4" xfId="6210" xr:uid="{99BE51D1-4F14-4CCC-B681-839B11C4A49E}"/>
    <cellStyle name="Normal 16 4 2 3 4" xfId="1878" xr:uid="{239A4818-FCB3-40D6-8918-9BCD1193158A}"/>
    <cellStyle name="Normal 16 4 2 3 4 2" xfId="2857" xr:uid="{EE8AE62A-A2AF-437F-A58C-FD2535C5A695}"/>
    <cellStyle name="Normal 16 4 2 3 4 2 2" xfId="7422" xr:uid="{D72FD50F-5CF1-4207-850F-19ACA10C6F61}"/>
    <cellStyle name="Normal 16 4 2 3 4 3" xfId="4580" xr:uid="{41A1542F-FED8-404C-8B6E-043D9504482D}"/>
    <cellStyle name="Normal 16 4 2 3 4 3 2" xfId="8835" xr:uid="{09899045-94AC-42E1-8EDB-73AEF19655D4}"/>
    <cellStyle name="Normal 16 4 2 3 4 4" xfId="6443" xr:uid="{6DF6B45C-F58B-4D2E-8019-78E66FDD272C}"/>
    <cellStyle name="Normal 16 4 2 3 5" xfId="2115" xr:uid="{5F7C2644-090C-4AB7-AB33-EA4325D2C2E5}"/>
    <cellStyle name="Normal 16 4 2 3 5 2" xfId="6680" xr:uid="{DE77695A-AA70-4285-B0BE-D4F42014A37D}"/>
    <cellStyle name="Normal 16 4 2 3 6" xfId="3290" xr:uid="{D33D5CA2-CB26-4897-8A7A-E0A9D2396F1B}"/>
    <cellStyle name="Normal 16 4 2 3 6 2" xfId="7783" xr:uid="{FD114178-152F-4146-987E-D39C0972CD08}"/>
    <cellStyle name="Normal 16 4 2 3 7" xfId="5701" xr:uid="{8FA1706B-85B5-4650-BE09-11CE05E7B8C4}"/>
    <cellStyle name="Normal 16 4 2 4" xfId="1254" xr:uid="{B4D10474-43A8-453A-984B-9B6FBA21AD93}"/>
    <cellStyle name="Normal 16 4 2 4 2" xfId="2236" xr:uid="{F5B37C71-913E-4009-BE94-9B7FAAA3AC2D}"/>
    <cellStyle name="Normal 16 4 2 4 2 2" xfId="5006" xr:uid="{A7BC209A-1EA9-41B8-BA71-CCD104102E4D}"/>
    <cellStyle name="Normal 16 4 2 4 2 2 2" xfId="9232" xr:uid="{A760C285-D233-4B46-B860-C7791A9D33A9}"/>
    <cellStyle name="Normal 16 4 2 4 2 3" xfId="3494" xr:uid="{C3C0AE63-95F9-40EB-B835-5F6E0402E320}"/>
    <cellStyle name="Normal 16 4 2 4 2 3 2" xfId="7961" xr:uid="{EFFB39C2-C5E9-4821-9D1D-6B0EA2D4B273}"/>
    <cellStyle name="Normal 16 4 2 4 2 4" xfId="6801" xr:uid="{2497F7A8-8B5B-4EB0-9241-494ABDA0FAD2}"/>
    <cellStyle name="Normal 16 4 2 4 3" xfId="3900" xr:uid="{B81AEA5C-46E9-4E30-A950-4DBC3E555C40}"/>
    <cellStyle name="Normal 16 4 2 4 3 2" xfId="8349" xr:uid="{5DA1199D-F9A7-49B2-A7F7-1122550B4E43}"/>
    <cellStyle name="Normal 16 4 2 4 4" xfId="4646" xr:uid="{4648BCCE-CBD2-4877-9C82-F8353955347D}"/>
    <cellStyle name="Normal 16 4 2 4 4 2" xfId="8892" xr:uid="{88A891A5-6260-4243-9239-B1F50EAF5BE0}"/>
    <cellStyle name="Normal 16 4 2 4 5" xfId="3063" xr:uid="{1B7DE4AE-EE09-4916-903A-28C45C473644}"/>
    <cellStyle name="Normal 16 4 2 4 5 2" xfId="7573" xr:uid="{D4022E2D-9C15-4EE7-82BB-E1D160AB35C6}"/>
    <cellStyle name="Normal 16 4 2 4 6" xfId="5822" xr:uid="{FC69B01C-3082-4915-ABF7-68F123EB237B}"/>
    <cellStyle name="Normal 16 4 2 5" xfId="1490" xr:uid="{8B4D4771-B017-4EBC-8915-155426BB6CFC}"/>
    <cellStyle name="Normal 16 4 2 5 2" xfId="2470" xr:uid="{875E8D60-1D74-47CD-915B-133D79F99CAF}"/>
    <cellStyle name="Normal 16 4 2 5 2 2" xfId="4945" xr:uid="{0DBD4CB6-6D74-428D-A344-58748AF7F335}"/>
    <cellStyle name="Normal 16 4 2 5 2 2 2" xfId="9175" xr:uid="{C80709E8-1F8E-4124-BFBA-59CD30A056CD}"/>
    <cellStyle name="Normal 16 4 2 5 2 3" xfId="7035" xr:uid="{79794FBB-46D8-4185-B1FC-08B1CD78AB66}"/>
    <cellStyle name="Normal 16 4 2 5 3" xfId="3420" xr:uid="{B5D08E0D-9CFB-4B0C-88A1-7F90345E5450}"/>
    <cellStyle name="Normal 16 4 2 5 3 2" xfId="7888" xr:uid="{B92885CE-1ADE-4511-A1FB-EB91C5F7FF0C}"/>
    <cellStyle name="Normal 16 4 2 5 4" xfId="6056" xr:uid="{2BFCA42D-489C-4C69-8E6A-7089E1DC3068}"/>
    <cellStyle name="Normal 16 4 2 6" xfId="1724" xr:uid="{CFE146C8-7E1B-4E54-88B5-B564DF6DF577}"/>
    <cellStyle name="Normal 16 4 2 6 2" xfId="2703" xr:uid="{41AE263F-979D-4948-AA4C-B5BD9E468B37}"/>
    <cellStyle name="Normal 16 4 2 6 2 2" xfId="7268" xr:uid="{E7160DA4-9E6F-45E3-A9AE-5E376F5655C8}"/>
    <cellStyle name="Normal 16 4 2 6 3" xfId="3827" xr:uid="{86998A2E-2777-466C-A3C7-5F741CCADBAD}"/>
    <cellStyle name="Normal 16 4 2 6 3 2" xfId="8276" xr:uid="{31354239-8890-4715-B919-F33B79DDBC82}"/>
    <cellStyle name="Normal 16 4 2 6 4" xfId="6289" xr:uid="{E55D0A5F-0940-4E1D-92B9-BBF71BD338E4}"/>
    <cellStyle name="Normal 16 4 2 7" xfId="1961" xr:uid="{D897DE0A-2342-4435-B226-B98C4A6E2AB2}"/>
    <cellStyle name="Normal 16 4 2 7 2" xfId="4298" xr:uid="{D17A920A-3003-4BF1-B5DD-86113933CB53}"/>
    <cellStyle name="Normal 16 4 2 7 2 2" xfId="8651" xr:uid="{BA023763-AA2B-4B05-B8FE-8C69D628A653}"/>
    <cellStyle name="Normal 16 4 2 7 3" xfId="6526" xr:uid="{926DFC28-604B-45B7-8BA6-AC66AEB1201B}"/>
    <cellStyle name="Normal 16 4 2 8" xfId="2938" xr:uid="{59DA0261-DB06-4017-A2D7-8DABEA1C85BB}"/>
    <cellStyle name="Normal 16 4 2 8 2" xfId="7500" xr:uid="{50C1AEDF-E9B6-4E07-B533-7E309D8E0532}"/>
    <cellStyle name="Normal 16 4 2 9" xfId="5547" xr:uid="{553AA0B5-C1C0-49EE-BB9F-375A737A0F4B}"/>
    <cellStyle name="Normal 16 4 3" xfId="898" xr:uid="{E23211A9-8A86-4DF2-A445-191C1F5726BF}"/>
    <cellStyle name="Normal 16 4 3 2" xfId="1289" xr:uid="{147B481E-7275-4D61-971F-C683EDB02F7A}"/>
    <cellStyle name="Normal 16 4 3 2 2" xfId="2271" xr:uid="{EACDFE5E-9290-4705-92AA-6B8D4E750177}"/>
    <cellStyle name="Normal 16 4 3 2 2 2" xfId="5141" xr:uid="{0E2D76FD-376D-4858-9953-E297E412A750}"/>
    <cellStyle name="Normal 16 4 3 2 2 2 2" xfId="9366" xr:uid="{95EE3903-A802-4453-B181-20A1DFE4C82D}"/>
    <cellStyle name="Normal 16 4 3 2 2 3" xfId="3633" xr:uid="{759D0A49-4A67-407F-8E95-BC9728F2DA34}"/>
    <cellStyle name="Normal 16 4 3 2 2 3 2" xfId="8100" xr:uid="{C6CB4E12-3718-4193-9293-E837EB6C9F80}"/>
    <cellStyle name="Normal 16 4 3 2 2 4" xfId="6836" xr:uid="{21F7E393-3EA5-4291-B49F-6CC720D56673}"/>
    <cellStyle name="Normal 16 4 3 2 3" xfId="4039" xr:uid="{B37391AC-9472-45BC-B9AE-858010985D8A}"/>
    <cellStyle name="Normal 16 4 3 2 3 2" xfId="8488" xr:uid="{576BC5A8-8FB8-4CA8-BEA2-246EBEEB3103}"/>
    <cellStyle name="Normal 16 4 3 2 4" xfId="4757" xr:uid="{67F60E4B-3881-43F8-B59D-7478E211DBB4}"/>
    <cellStyle name="Normal 16 4 3 2 4 2" xfId="9003" xr:uid="{531190A8-3D2D-47DF-801A-101C5A9106C5}"/>
    <cellStyle name="Normal 16 4 3 2 5" xfId="3217" xr:uid="{487B945D-6B8E-400F-A1B0-B077F1FE225C}"/>
    <cellStyle name="Normal 16 4 3 2 5 2" xfId="7712" xr:uid="{74F77709-ED5E-4F8B-99F0-B3B9B4FDAB41}"/>
    <cellStyle name="Normal 16 4 3 2 6" xfId="5857" xr:uid="{2580B921-7747-41C6-96A8-0EDD024CF251}"/>
    <cellStyle name="Normal 16 4 3 3" xfId="1525" xr:uid="{D13D2A92-1863-42A0-863C-70D15865A9E3}"/>
    <cellStyle name="Normal 16 4 3 3 2" xfId="2505" xr:uid="{3B976214-E627-4713-9CC7-CA139641D821}"/>
    <cellStyle name="Normal 16 4 3 3 2 2" xfId="5246" xr:uid="{9AC74E85-BB2D-4A0B-B18A-70A51BDF1F28}"/>
    <cellStyle name="Normal 16 4 3 3 2 2 2" xfId="9471" xr:uid="{42414ADA-BE92-4D89-A844-39DD2B109855}"/>
    <cellStyle name="Normal 16 4 3 3 2 3" xfId="3738" xr:uid="{4F45FC8B-E8DE-4CF5-B7E3-077D9A1DF155}"/>
    <cellStyle name="Normal 16 4 3 3 2 3 2" xfId="8205" xr:uid="{6F623264-D3DC-4586-AAAD-6622391E0506}"/>
    <cellStyle name="Normal 16 4 3 3 2 4" xfId="7070" xr:uid="{3A3DFB5A-19AC-4544-A407-1C1B4B2DF217}"/>
    <cellStyle name="Normal 16 4 3 3 3" xfId="4144" xr:uid="{ABDE114E-DB81-46C3-A96E-6D715D4234AB}"/>
    <cellStyle name="Normal 16 4 3 3 3 2" xfId="8593" xr:uid="{2276DD9E-CBD7-43A9-9182-0F1405F5BB74}"/>
    <cellStyle name="Normal 16 4 3 3 4" xfId="4833" xr:uid="{80A20F62-532B-40D1-8489-DFDA23314B11}"/>
    <cellStyle name="Normal 16 4 3 3 4 2" xfId="9079" xr:uid="{6AD4A3EC-C2F9-4689-B21C-1525785068EA}"/>
    <cellStyle name="Normal 16 4 3 3 5" xfId="3328" xr:uid="{06DC8A00-57C4-4784-8621-31E7B81776A3}"/>
    <cellStyle name="Normal 16 4 3 3 5 2" xfId="7817" xr:uid="{3E4C9284-2ADF-4589-BDD0-67F162F931CD}"/>
    <cellStyle name="Normal 16 4 3 3 6" xfId="6091" xr:uid="{C916C6B4-FB9D-4675-BEC4-F930CE4D0779}"/>
    <cellStyle name="Normal 16 4 3 4" xfId="1759" xr:uid="{B3A7324E-0B16-4CF2-873D-CF8C4FFC5F22}"/>
    <cellStyle name="Normal 16 4 3 4 2" xfId="2738" xr:uid="{DFFBC968-2229-4105-BCE2-EC47C9651911}"/>
    <cellStyle name="Normal 16 4 3 4 2 2" xfId="4674" xr:uid="{3343FC29-B00D-4399-9435-158FF88D6BAB}"/>
    <cellStyle name="Normal 16 4 3 4 2 2 2" xfId="8920" xr:uid="{F37F0D30-1556-4240-A10A-CA2DECB8CFB3}"/>
    <cellStyle name="Normal 16 4 3 4 2 3" xfId="7303" xr:uid="{313BCBA7-07C2-4B7F-8198-248EFA8ACEA2}"/>
    <cellStyle name="Normal 16 4 3 4 3" xfId="3528" xr:uid="{01E187A8-DEC4-4CF1-A579-4F8617E4E65C}"/>
    <cellStyle name="Normal 16 4 3 4 3 2" xfId="7995" xr:uid="{FD76967A-1B20-405B-BB2B-76C89DC2DDA7}"/>
    <cellStyle name="Normal 16 4 3 4 4" xfId="6324" xr:uid="{38F26F12-F14D-4B63-98F0-9D1700E4D4F5}"/>
    <cellStyle name="Normal 16 4 3 5" xfId="1996" xr:uid="{65110774-6CF3-45AA-B2D6-76F01BAE8BBB}"/>
    <cellStyle name="Normal 16 4 3 5 2" xfId="5037" xr:uid="{C3B6CF26-2D90-4FC5-8760-B6A4E57E5150}"/>
    <cellStyle name="Normal 16 4 3 5 2 2" xfId="9263" xr:uid="{6DAE0C85-FC2A-488A-B0EB-4AD15A02307F}"/>
    <cellStyle name="Normal 16 4 3 5 3" xfId="3934" xr:uid="{E9887752-F80A-4E18-9C62-E5FC6EAB8610}"/>
    <cellStyle name="Normal 16 4 3 5 3 2" xfId="8383" xr:uid="{7232D3E0-CAAF-4CC1-A060-446ED8921F21}"/>
    <cellStyle name="Normal 16 4 3 5 4" xfId="6561" xr:uid="{EFD7AEF9-E0CC-4270-8BA2-AD37F75CDD78}"/>
    <cellStyle name="Normal 16 4 3 6" xfId="4418" xr:uid="{35BD0EC0-2B76-44DA-A572-76EA2252579D}"/>
    <cellStyle name="Normal 16 4 3 6 2" xfId="8695" xr:uid="{70AAC744-3309-459A-A852-7A18EF010B9A}"/>
    <cellStyle name="Normal 16 4 3 7" xfId="3101" xr:uid="{D4EE991A-BE07-4EBF-867E-79C7B1A446FF}"/>
    <cellStyle name="Normal 16 4 3 7 2" xfId="7607" xr:uid="{4C2C53B7-CA4C-437F-B9DC-6AC49F8DE5E6}"/>
    <cellStyle name="Normal 16 4 3 8" xfId="5582" xr:uid="{D5CDDAC1-9DD4-4F63-90D3-FAC039F39320}"/>
    <cellStyle name="Normal 16 4 4" xfId="1000" xr:uid="{B5D5FD5D-2A14-4142-8254-1C094B540852}"/>
    <cellStyle name="Normal 16 4 4 2" xfId="1368" xr:uid="{3D6565B7-AB4C-4C49-8FDC-F79E740A30D2}"/>
    <cellStyle name="Normal 16 4 4 2 2" xfId="2348" xr:uid="{9C6E71D9-4620-4BC9-8365-DFBBDFDF343F}"/>
    <cellStyle name="Normal 16 4 4 2 2 2" xfId="5073" xr:uid="{022E0A95-089D-47B5-8FFD-EE3EE2B1BD12}"/>
    <cellStyle name="Normal 16 4 4 2 2 2 2" xfId="9299" xr:uid="{F8530A37-EB77-433A-A70A-2D03033CEA0F}"/>
    <cellStyle name="Normal 16 4 4 2 2 3" xfId="6913" xr:uid="{39DBFDFB-2A14-424E-B270-3CE39B66CDD5}"/>
    <cellStyle name="Normal 16 4 4 2 3" xfId="3565" xr:uid="{C8285558-22B6-4B0F-996E-A87B68D56D4A}"/>
    <cellStyle name="Normal 16 4 4 2 3 2" xfId="8032" xr:uid="{A57F41F1-D328-4CBF-A72B-FD6E31FC4415}"/>
    <cellStyle name="Normal 16 4 4 2 4" xfId="5934" xr:uid="{4F55AAB9-5E87-4DF3-8E78-BD0A294A4152}"/>
    <cellStyle name="Normal 16 4 4 3" xfId="1602" xr:uid="{DCCD24D5-B075-4E0E-AC85-28DB95EE49B0}"/>
    <cellStyle name="Normal 16 4 4 3 2" xfId="2582" xr:uid="{52076B5A-5C8D-47B1-98C3-E0C5194D7886}"/>
    <cellStyle name="Normal 16 4 4 3 2 2" xfId="7147" xr:uid="{0B75A346-3B5C-452E-B86C-1D073F8F6B4C}"/>
    <cellStyle name="Normal 16 4 4 3 3" xfId="3971" xr:uid="{722D1077-7CD2-4AFE-A896-FE7EFF397E41}"/>
    <cellStyle name="Normal 16 4 4 3 3 2" xfId="8420" xr:uid="{27DD166C-825B-4C87-BCED-9255D5A4F6C4}"/>
    <cellStyle name="Normal 16 4 4 3 4" xfId="6168" xr:uid="{2B3D00E7-5873-484C-9A33-BEA9348AD557}"/>
    <cellStyle name="Normal 16 4 4 4" xfId="1836" xr:uid="{66989D89-A613-4E14-B1B9-887B00F3C6DD}"/>
    <cellStyle name="Normal 16 4 4 4 2" xfId="2815" xr:uid="{B3108AF6-D569-4985-A295-CD72A9CEE270}"/>
    <cellStyle name="Normal 16 4 4 4 2 2" xfId="7380" xr:uid="{C4149F4A-8C1E-4B03-944D-CF93E9F678CC}"/>
    <cellStyle name="Normal 16 4 4 4 3" xfId="4522" xr:uid="{BED05F51-47B3-4ED8-BC07-153D11D71CA5}"/>
    <cellStyle name="Normal 16 4 4 4 3 2" xfId="8789" xr:uid="{4BF2D504-7812-41A8-A210-F2EABACD02C9}"/>
    <cellStyle name="Normal 16 4 4 4 4" xfId="6401" xr:uid="{B4A54228-FBC5-470D-8758-CAD140AA63CE}"/>
    <cellStyle name="Normal 16 4 4 5" xfId="2073" xr:uid="{831C6577-2744-48AB-981D-4E788C6E83E6}"/>
    <cellStyle name="Normal 16 4 4 5 2" xfId="6638" xr:uid="{37F64FDA-DFC7-4CB9-91CA-9691CC871D75}"/>
    <cellStyle name="Normal 16 4 4 6" xfId="3149" xr:uid="{9D42233B-024C-4955-8AF6-D67F4E5ADC9F}"/>
    <cellStyle name="Normal 16 4 4 6 2" xfId="7644" xr:uid="{7574BDD3-0AD0-4F0E-B847-D21236B7223F}"/>
    <cellStyle name="Normal 16 4 4 7" xfId="5659" xr:uid="{15D0C78B-A5A8-457E-AB65-67D00C6AFBE0}"/>
    <cellStyle name="Normal 16 4 5" xfId="1140" xr:uid="{EFEA8A39-5381-4B5F-B41A-28EDB4425D10}"/>
    <cellStyle name="Normal 16 4 5 2" xfId="2157" xr:uid="{A15BB0C0-BBF3-4611-8988-007A4CC04EE7}"/>
    <cellStyle name="Normal 16 4 5 2 2" xfId="5178" xr:uid="{FEC9D890-EE42-4EB6-ABEB-118FAA887343}"/>
    <cellStyle name="Normal 16 4 5 2 2 2" xfId="9403" xr:uid="{C8E9353E-FC0C-4059-AB54-46994A30064D}"/>
    <cellStyle name="Normal 16 4 5 2 3" xfId="3670" xr:uid="{52299E83-A021-4DE9-BD29-BB7736AA0137}"/>
    <cellStyle name="Normal 16 4 5 2 3 2" xfId="8137" xr:uid="{133BDD8B-726B-454A-9760-3F6980B34561}"/>
    <cellStyle name="Normal 16 4 5 2 4" xfId="6722" xr:uid="{5C645367-7C1B-4AA8-B4BC-729E9728A5E4}"/>
    <cellStyle name="Normal 16 4 5 3" xfId="4076" xr:uid="{062C4596-6EE0-4AF3-8579-7116AC7BBEBA}"/>
    <cellStyle name="Normal 16 4 5 3 2" xfId="8525" xr:uid="{1DEB8FD3-E4D9-4705-82E5-899DEEA980DD}"/>
    <cellStyle name="Normal 16 4 5 4" xfId="4793" xr:uid="{0F97B796-45E9-4FBD-B8A7-D5144972F80F}"/>
    <cellStyle name="Normal 16 4 5 4 2" xfId="9039" xr:uid="{3846A87D-268A-4307-926A-3313B3CF86F6}"/>
    <cellStyle name="Normal 16 4 5 5" xfId="3255" xr:uid="{A4885160-B400-456C-BB44-24758BE601EA}"/>
    <cellStyle name="Normal 16 4 5 5 2" xfId="7749" xr:uid="{6175AAFF-B4E9-4BCB-BF52-8D3E1CD14D22}"/>
    <cellStyle name="Normal 16 4 5 6" xfId="5743" xr:uid="{31C00BF2-121E-4574-8767-8F9B894FF834}"/>
    <cellStyle name="Normal 16 4 6" xfId="1208" xr:uid="{F262E020-3057-4CE5-9900-CFA932062822}"/>
    <cellStyle name="Normal 16 4 6 2" xfId="2194" xr:uid="{6B191780-9A70-4662-8F34-CD19AEEC8FDF}"/>
    <cellStyle name="Normal 16 4 6 2 2" xfId="4997" xr:uid="{A9CAC2CD-2F5A-4483-94C3-ABAF08979118}"/>
    <cellStyle name="Normal 16 4 6 2 2 2" xfId="9224" xr:uid="{6D3D1536-3B9E-4592-9FA6-E05A27FDF922}"/>
    <cellStyle name="Normal 16 4 6 2 3" xfId="3459" xr:uid="{DF905ED6-66AE-446A-88F1-F194A98F5A41}"/>
    <cellStyle name="Normal 16 4 6 2 3 2" xfId="7927" xr:uid="{D3C62E2B-4243-4281-8A57-AC0C9F0ECF74}"/>
    <cellStyle name="Normal 16 4 6 2 4" xfId="6759" xr:uid="{80ADABF2-52EF-4992-AD88-36B94DE9629C}"/>
    <cellStyle name="Normal 16 4 6 3" xfId="3866" xr:uid="{3E3C4938-0581-4665-914F-BFA190C687D4}"/>
    <cellStyle name="Normal 16 4 6 3 2" xfId="8315" xr:uid="{692E453D-6C07-42CC-BEEC-2860444D1C00}"/>
    <cellStyle name="Normal 16 4 6 4" xfId="4552" xr:uid="{09136FD2-E0A2-439A-A02F-6B41A563E381}"/>
    <cellStyle name="Normal 16 4 6 4 2" xfId="8809" xr:uid="{41DE2949-EE8C-4B41-BD4A-6761106BCD0C}"/>
    <cellStyle name="Normal 16 4 6 5" xfId="3015" xr:uid="{8C22A514-A61E-4EB7-8A2F-7BB68A07F420}"/>
    <cellStyle name="Normal 16 4 6 5 2" xfId="7539" xr:uid="{DF3FF304-89BD-4262-8642-37C794EF2517}"/>
    <cellStyle name="Normal 16 4 6 6" xfId="5780" xr:uid="{0346DD40-3784-45B2-8126-5420D41C206B}"/>
    <cellStyle name="Normal 16 4 7" xfId="1448" xr:uid="{90EFE99E-C077-471B-9876-6CD763392AA0}"/>
    <cellStyle name="Normal 16 4 7 2" xfId="2428" xr:uid="{B2CD706C-EB0D-4E22-AF00-F49183C8DE4E}"/>
    <cellStyle name="Normal 16 4 7 2 2" xfId="4900" xr:uid="{B46D6FCB-114C-492E-AB5E-DE1C0B30A0B0}"/>
    <cellStyle name="Normal 16 4 7 2 2 2" xfId="9131" xr:uid="{002A62E4-8493-4C3C-B891-1D1FFD1F09AE}"/>
    <cellStyle name="Normal 16 4 7 2 3" xfId="6993" xr:uid="{066EA51A-45AF-4AB0-89A3-D9032F5180C7}"/>
    <cellStyle name="Normal 16 4 7 3" xfId="3367" xr:uid="{B5979193-062D-4251-8A40-75FAC3120C27}"/>
    <cellStyle name="Normal 16 4 7 3 2" xfId="7854" xr:uid="{1239C24B-9C29-46AD-B585-C17941AFCCCB}"/>
    <cellStyle name="Normal 16 4 7 4" xfId="6014" xr:uid="{AF241FED-98B0-42DA-9933-E62B8182451E}"/>
    <cellStyle name="Normal 16 4 8" xfId="1707" xr:uid="{3DB6E057-A9C2-414F-A4AF-8A62E94E0397}"/>
    <cellStyle name="Normal 16 4 8 2" xfId="2687" xr:uid="{5C831FB4-16C4-4897-BA01-DFDE64E9FD96}"/>
    <cellStyle name="Normal 16 4 8 2 2" xfId="7252" xr:uid="{4148C3F2-EBA8-46CD-BC03-4130439C03D5}"/>
    <cellStyle name="Normal 16 4 8 3" xfId="3792" xr:uid="{9B1ED0CD-44BB-4222-9B29-A06AC81AF1E1}"/>
    <cellStyle name="Normal 16 4 8 3 2" xfId="8242" xr:uid="{3C8031E0-DA87-4B01-8FE5-097AB2B5E532}"/>
    <cellStyle name="Normal 16 4 8 4" xfId="6273" xr:uid="{F6147CCB-4C5E-4BFE-9D3E-6C84F2669654}"/>
    <cellStyle name="Normal 16 4 9" xfId="1919" xr:uid="{75401754-6856-41F7-A2E7-3F2E060A6805}"/>
    <cellStyle name="Normal 16 4 9 2" xfId="4246" xr:uid="{5FAC301E-4307-4080-A7FB-FB6F379985FC}"/>
    <cellStyle name="Normal 16 4 9 2 2" xfId="8623" xr:uid="{4708C374-B1A6-48C2-B2F0-AA1A841E9A39}"/>
    <cellStyle name="Normal 16 4 9 3" xfId="6484" xr:uid="{AC2D2F8A-949E-4E4D-BF89-302D19AFC1FC}"/>
    <cellStyle name="Normal 17" xfId="351" xr:uid="{40CB0013-3998-4069-B144-894879F5A7B8}"/>
    <cellStyle name="Normal 17 2" xfId="352" xr:uid="{AA73268D-1757-444E-92A0-C5476777175C}"/>
    <cellStyle name="Normal 17 3" xfId="353" xr:uid="{751ACA96-F40B-441F-8EA2-26BDE615E5F0}"/>
    <cellStyle name="Normal 18" xfId="354" xr:uid="{57C7B9D3-401C-4DFA-92B7-A99C81DAA31A}"/>
    <cellStyle name="Normal 18 2" xfId="647" xr:uid="{40D463A7-AD9C-4521-8E3A-FFB185B11E82}"/>
    <cellStyle name="Normal 19" xfId="355" xr:uid="{A5B918BA-1F6A-4FD1-8B01-C337BF451865}"/>
    <cellStyle name="Normal 19 2" xfId="646" xr:uid="{AF05A2AC-F88F-45A1-808C-283DD3F40D16}"/>
    <cellStyle name="Normal 2" xfId="3" xr:uid="{00000000-0005-0000-0000-000004000000}"/>
    <cellStyle name="Normal 2 10" xfId="357" xr:uid="{9B54450E-EAD0-4782-A27E-0C089248CECA}"/>
    <cellStyle name="Normal 2 10 2" xfId="970" xr:uid="{DCBF7238-3B77-410B-A866-162A6F94B013}"/>
    <cellStyle name="Normal 2 10 2 2" xfId="4158" xr:uid="{F6F5AAF8-CCFC-4148-B965-54A9E10F6B90}"/>
    <cellStyle name="Normal 2 10 3" xfId="928" xr:uid="{A6ADEE78-5A6D-408C-9614-17090A96CF02}"/>
    <cellStyle name="Normal 2 10 3 2" xfId="1305" xr:uid="{ABD08661-60BB-4F80-9A0A-C4B1D8D8C4BD}"/>
    <cellStyle name="Normal 2 10 3 2 2" xfId="5350" xr:uid="{02CBE939-32E6-4CB8-B2F6-C2C132F80773}"/>
    <cellStyle name="Normal 2 10 4" xfId="1142" xr:uid="{8EFFF34A-C944-43DD-B861-AF0EC2393E0C}"/>
    <cellStyle name="Normal 2 10 4 2" xfId="5304" xr:uid="{11515383-CA20-4F24-914F-96FFA386AA2D}"/>
    <cellStyle name="Normal 2 11" xfId="645" xr:uid="{0AA3B23F-FC87-4879-BFCD-2A6C663CAC60}"/>
    <cellStyle name="Normal 2 11 2" xfId="915" xr:uid="{16748AEB-4AE5-4637-B4E4-214508422F6E}"/>
    <cellStyle name="Normal 2 11 3" xfId="1217" xr:uid="{0CEFB51C-4D5B-41EF-800A-AAE218B9C9D6}"/>
    <cellStyle name="Normal 2 11 3 2" xfId="5332" xr:uid="{DDD0E0C1-E836-4580-8CFB-04C05BBFD991}"/>
    <cellStyle name="Normal 2 12" xfId="1141" xr:uid="{51E43E93-AF30-4687-AB45-AE88E1191D06}"/>
    <cellStyle name="Normal 2 12 2" xfId="3387" xr:uid="{9E996AC2-2715-496E-B14D-D076DD2ECBE8}"/>
    <cellStyle name="Normal 2 12 3" xfId="5303" xr:uid="{485FC0DF-67EF-41A8-B7FE-A87148F0A3EC}"/>
    <cellStyle name="Normal 2 2" xfId="358" xr:uid="{B0B4573F-C97B-4689-A789-96D38373E7B7}"/>
    <cellStyle name="Normal 2 2 2" xfId="359" xr:uid="{FBFC8478-DA84-4F6A-AC24-D1F62256C2BA}"/>
    <cellStyle name="Normal 2 2 2 2" xfId="360" xr:uid="{97A4F7D9-53E8-4712-81A4-10363558CF7B}"/>
    <cellStyle name="Normal 2 2 2 2 2" xfId="361" xr:uid="{4A23EB15-7D97-441C-A654-18AC682F34AC}"/>
    <cellStyle name="Normal 2 2 2 2 2 2" xfId="644" xr:uid="{28B10531-0E6C-4963-A96C-1404985BE95C}"/>
    <cellStyle name="Normal 2 2 2 2 3" xfId="362" xr:uid="{F8B37238-E88E-4686-B6A8-F915FD1A0E77}"/>
    <cellStyle name="Normal 2 2 2 2 3 2" xfId="363" xr:uid="{299F1895-D514-404B-989A-11B33A8183D7}"/>
    <cellStyle name="Normal 2 2 2 2 3 2 2" xfId="643" xr:uid="{66306A84-699B-4F4E-A5FA-E0EF686CCDCC}"/>
    <cellStyle name="Normal 2 2 2 2 3 3" xfId="642" xr:uid="{CECE6DBB-D6F8-416A-8C85-007FE691B81A}"/>
    <cellStyle name="Normal 2 2 2 2 4" xfId="364" xr:uid="{54616474-475C-4CE0-BCCA-DD61BD5CD951}"/>
    <cellStyle name="Normal 2 2 2 2 4 2" xfId="641" xr:uid="{F4CF3D29-5495-453C-AFD4-552D1B5BE809}"/>
    <cellStyle name="Normal 2 2 2 2 5" xfId="365" xr:uid="{9DD07F6B-0522-45C3-8274-F0A727711AB2}"/>
    <cellStyle name="Normal 2 2 2 2 5 2" xfId="366" xr:uid="{DCCA6021-C319-49DD-9587-5045F62F4BF2}"/>
    <cellStyle name="Normal 2 2 2 2 5 2 2" xfId="639" xr:uid="{16C00058-69D6-4996-8127-50334EC93198}"/>
    <cellStyle name="Normal 2 2 2 2 5 3" xfId="640" xr:uid="{BA6ACCC7-05A9-494C-8DF7-378861108290}"/>
    <cellStyle name="Normal 2 2 2 2 5 3 2" xfId="900" xr:uid="{FBC3B577-3E88-4883-83DD-5D040DA4A92E}"/>
    <cellStyle name="Normal 2 2 2 2 5 3 2 2" xfId="4159" xr:uid="{200B569E-6EA2-4F2E-9018-42575A69A38B}"/>
    <cellStyle name="Normal 2 2 2 2 5 3 3" xfId="1144" xr:uid="{647D2447-105E-4300-B708-ADD85A989B0E}"/>
    <cellStyle name="Normal 2 2 2 2 5 3 3 2" xfId="5306" xr:uid="{E60BA738-192A-4598-A52B-E3959C0A2978}"/>
    <cellStyle name="Normal 2 2 2 2 5 4" xfId="1143" xr:uid="{2E9E6B75-59E6-49F0-B358-E7A03CB4F49C}"/>
    <cellStyle name="Normal 2 2 2 2 5 4 2" xfId="5305" xr:uid="{0982F1C7-DD28-4EE4-932C-8AEB4C39D7A6}"/>
    <cellStyle name="Normal 2 2 2 2 6" xfId="638" xr:uid="{C8B8EAF3-94DA-4354-AAFC-558009340349}"/>
    <cellStyle name="Normal 2 2 2 3" xfId="367" xr:uid="{CB093421-D6AC-48C3-8813-536D97AEB527}"/>
    <cellStyle name="Normal 2 2 2 3 2" xfId="637" xr:uid="{8A16E32E-77D0-4C6D-A797-678F36AF7F0D}"/>
    <cellStyle name="Normal 2 2 2 4" xfId="368" xr:uid="{CDE90ADD-1F1A-4A39-987A-81CD83A9B37B}"/>
    <cellStyle name="Normal 2 2 2 4 2" xfId="636" xr:uid="{45149D6D-E53D-4BA1-9C80-C45BE1C103D1}"/>
    <cellStyle name="Normal 2 2 2 5" xfId="369" xr:uid="{9429200E-1992-4B3A-AAA9-AD7ECC0DAD4A}"/>
    <cellStyle name="Normal 2 2 2 5 2" xfId="370" xr:uid="{35101BE9-E506-4E59-B9AB-E9BEEABE785F}"/>
    <cellStyle name="Normal 2 2 2 5 2 2" xfId="634" xr:uid="{5AE987FC-E4C8-4D5D-89AA-29A4208ECD3B}"/>
    <cellStyle name="Normal 2 2 2 5 3" xfId="371" xr:uid="{6C6DA889-D8DF-4F09-9599-E9C5B97790BE}"/>
    <cellStyle name="Normal 2 2 2 5 4" xfId="372" xr:uid="{97C3575B-5A6B-4E45-AAF6-ECF166B84737}"/>
    <cellStyle name="Normal 2 2 2 5 5" xfId="635" xr:uid="{155198DB-8A72-4559-9392-6342FFC620EB}"/>
    <cellStyle name="Normal 2 2 2 5 5 2" xfId="899" xr:uid="{9FADD680-9319-4D0D-9142-F971EEAF3E4A}"/>
    <cellStyle name="Normal 2 2 2 5 5 2 2" xfId="4160" xr:uid="{751CD927-96C2-4882-9914-C162ACA60853}"/>
    <cellStyle name="Normal 2 2 2 5 5 3" xfId="1146" xr:uid="{49DC0D08-23DB-475C-8123-ABB87BA14287}"/>
    <cellStyle name="Normal 2 2 2 5 5 3 2" xfId="5308" xr:uid="{227E8B27-F162-41C3-947D-4713120CBC93}"/>
    <cellStyle name="Normal 2 2 2 5 6" xfId="1145" xr:uid="{1F7131DD-E30C-4E1E-A96D-46DE6D99CD25}"/>
    <cellStyle name="Normal 2 2 2 5 6 2" xfId="5307" xr:uid="{CFF9DB96-2CC1-4D5E-8C23-25CB51373008}"/>
    <cellStyle name="Normal 2 2 2 6" xfId="373" xr:uid="{0BBABD16-B23E-423C-8635-8305FE0A0ADB}"/>
    <cellStyle name="Normal 2 2 2 6 2" xfId="633" xr:uid="{EB4C1F07-F265-4B0C-83DB-98900183AAD3}"/>
    <cellStyle name="Normal 2 2 2 7" xfId="2977" xr:uid="{3DA95A19-6A66-4F18-A98D-019C6C23EDF0}"/>
    <cellStyle name="Normal 2 2 3" xfId="374" xr:uid="{0ED133D8-C669-480E-8F58-309DA59E053D}"/>
    <cellStyle name="Normal 2 2 3 2" xfId="375" xr:uid="{638719D2-534C-4B71-9DC8-8F8BACE52186}"/>
    <cellStyle name="Normal 2 2 3 2 2" xfId="632" xr:uid="{AF72A790-6FCD-4CA4-B45D-D7A02F13735B}"/>
    <cellStyle name="Normal 2 2 3 3" xfId="376" xr:uid="{BD17BBA0-DB8C-4013-9E3A-D5B68BA26875}"/>
    <cellStyle name="Normal 2 2 3 3 2" xfId="631" xr:uid="{77BD4BBE-6F59-40CC-B9AA-2C4F6A662518}"/>
    <cellStyle name="Normal 2 2 3 4" xfId="377" xr:uid="{A5284814-85AC-4BD1-AF30-A49DE050867D}"/>
    <cellStyle name="Normal 2 2 3 5" xfId="630" xr:uid="{58E43AC0-686C-4922-8688-5DF16F96A771}"/>
    <cellStyle name="Normal 2 2 3 5 2" xfId="629" xr:uid="{3E9BB4BE-95DA-4B78-B6EA-947371981098}"/>
    <cellStyle name="Normal 2 2 3 5 3" xfId="3016" xr:uid="{7549BC09-1830-4B40-B2A0-F7B2D0D8ECA1}"/>
    <cellStyle name="Normal 2 2 3 5 4" xfId="2978" xr:uid="{57204CDE-BA69-4CBC-9644-42B6EEF9C2DD}"/>
    <cellStyle name="Normal 2 2 3 6" xfId="628" xr:uid="{DC74E2D0-B819-4CFC-9949-6F3FE44A588A}"/>
    <cellStyle name="Normal 2 2 3 7" xfId="627" xr:uid="{F95E6D44-659C-4D7A-9007-35BA300A317B}"/>
    <cellStyle name="Normal 2 2 4" xfId="378" xr:uid="{3C2CEFFA-3878-49DD-8320-B5BE3DF289CB}"/>
    <cellStyle name="Normal 2 2 4 2" xfId="626" xr:uid="{40A9567B-29C3-43D1-91FA-8FE45C44AAAC}"/>
    <cellStyle name="Normal 2 2 5" xfId="379" xr:uid="{2DB8F5F2-2742-4900-A144-B5C504F9F1BC}"/>
    <cellStyle name="Normal 2 2 5 2" xfId="625" xr:uid="{337246CD-1176-4BF2-BF97-A71F36CA5588}"/>
    <cellStyle name="Normal 2 2 6" xfId="380" xr:uid="{E2E3C155-AB50-4F65-94C6-9FE2A25BA5EA}"/>
    <cellStyle name="Normal 2 2 7" xfId="381" xr:uid="{30372EE6-CE16-462D-AEBA-08BC25C7600B}"/>
    <cellStyle name="Normal 2 3" xfId="382" xr:uid="{E18FEC63-1DCA-47A2-B679-3A5FB55771B1}"/>
    <cellStyle name="Normal 2 3 2" xfId="383" xr:uid="{4E7E9CA2-FD52-4D90-9DB6-E6EFF9A8D691}"/>
    <cellStyle name="Normal 2 3 2 2" xfId="384" xr:uid="{90821A5A-F5F8-4667-8796-F5D8D1739348}"/>
    <cellStyle name="Normal 2 3 2 3" xfId="385" xr:uid="{E37D2979-1207-4F45-A73A-EB6B498E24A0}"/>
    <cellStyle name="Normal 2 3 2 4" xfId="2979" xr:uid="{D9E46D3F-E873-47D0-820F-A0B07ABE7872}"/>
    <cellStyle name="Normal 2 3 3" xfId="386" xr:uid="{37796DC9-F038-46FD-BB3E-6A69126B8272}"/>
    <cellStyle name="Normal 2 3 3 2" xfId="387" xr:uid="{919FF958-6394-4443-B742-1345B8759F5C}"/>
    <cellStyle name="Normal 2 3 3 3" xfId="388" xr:uid="{0B6F267C-7C28-43E2-99A0-399DA3A820E7}"/>
    <cellStyle name="Normal 2 3 4" xfId="389" xr:uid="{099E7E29-80FE-470A-A4E4-EB8879E78C66}"/>
    <cellStyle name="Normal 2 3 4 2" xfId="390" xr:uid="{3FDBA23B-34B6-4D19-99C2-C69E454F33EB}"/>
    <cellStyle name="Normal 2 3 4 3" xfId="391" xr:uid="{49F1EED9-7220-49F6-902C-96B08F409DA2}"/>
    <cellStyle name="Normal 2 3 5" xfId="392" xr:uid="{6D5FE03F-E568-452C-8CB2-7A64DB474039}"/>
    <cellStyle name="Normal 2 3 5 2" xfId="393" xr:uid="{F4624AE5-A0C4-4816-862C-44D3B1C5B664}"/>
    <cellStyle name="Normal 2 3 5 3" xfId="394" xr:uid="{BA7D8649-AA42-4E44-A463-8F57A4BF65F4}"/>
    <cellStyle name="Normal 2 3 6" xfId="395" xr:uid="{1639A402-DEE4-4B89-B68A-2051BF759D25}"/>
    <cellStyle name="Normal 2 4" xfId="396" xr:uid="{282DEF21-28BF-4EA1-8025-827608C91E1E}"/>
    <cellStyle name="Normal 2 4 2" xfId="397" xr:uid="{7972F9FC-AB3D-4E55-9112-D39598421993}"/>
    <cellStyle name="Normal 2 4 2 2" xfId="398" xr:uid="{AB03296B-1BF3-40ED-BE7A-88CA985B101C}"/>
    <cellStyle name="Normal 2 4 2 3" xfId="399" xr:uid="{9AFE7E71-62CF-467D-86BE-923628E1AD61}"/>
    <cellStyle name="Normal 2 4 3" xfId="400" xr:uid="{80E09F6C-A45D-4C41-80EF-6CA5B2165B45}"/>
    <cellStyle name="Normal 2 4 3 2" xfId="401" xr:uid="{014CD8A2-7D00-4161-91E2-9A987F7B43EB}"/>
    <cellStyle name="Normal 2 4 4" xfId="402" xr:uid="{F9156EAB-61F1-47F1-88E4-6DD0D1AF8BF5}"/>
    <cellStyle name="Normal 2 4 4 2" xfId="624" xr:uid="{6FE3CB17-8336-4D7B-9692-446D2DFAA578}"/>
    <cellStyle name="Normal 2 4 4 2 2" xfId="4382" xr:uid="{9CE40737-91EB-4D55-9919-03AA1E96325A}"/>
    <cellStyle name="Normal 2 4 4 2 3" xfId="4247" xr:uid="{9FED6589-4A0A-4263-B315-4E8AE5C68A65}"/>
    <cellStyle name="Normal 2 4 4 3" xfId="623" xr:uid="{C53BBF75-067C-4D60-8FAD-C38B0042EE81}"/>
    <cellStyle name="Normal 2 4 4 3 2" xfId="4248" xr:uid="{905D712B-09FC-471F-AF61-334B74181E08}"/>
    <cellStyle name="Normal 2 4 4 4" xfId="4884" xr:uid="{2F880264-63F1-4697-B5FA-561AF2F54544}"/>
    <cellStyle name="Normal 2 4 5" xfId="403" xr:uid="{16A922CD-16A7-468F-8A1C-E460DB0ACEA5}"/>
    <cellStyle name="Normal 2 4 5 2" xfId="3017" xr:uid="{0EFBF367-696A-4F21-AB19-E0AAC47A858C}"/>
    <cellStyle name="Normal 2 4 5 3" xfId="2980" xr:uid="{9B5AF2EF-2A6E-4BA8-971E-F03AA3DA6BBF}"/>
    <cellStyle name="Normal 2 5" xfId="404" xr:uid="{EC449E6C-37A4-4414-8A2A-4C26B826948D}"/>
    <cellStyle name="Normal 2 5 2" xfId="405" xr:uid="{321C0908-7185-4D8C-B92C-1741F5C8B6C5}"/>
    <cellStyle name="Normal 2 5 2 2" xfId="621" xr:uid="{61198FA8-4471-49D6-9078-2209221E1924}"/>
    <cellStyle name="Normal 2 5 3" xfId="406" xr:uid="{BDB1906D-1924-46BF-B853-0E8B9A546ECF}"/>
    <cellStyle name="Normal 2 5 4" xfId="407" xr:uid="{BBD30C83-8821-427B-9521-98ECBE30ED7A}"/>
    <cellStyle name="Normal 2 5 5" xfId="408" xr:uid="{9D72E516-DB20-4C41-B0C8-CBBD44B013EB}"/>
    <cellStyle name="Normal 2 5 6" xfId="622" xr:uid="{9C22217D-EBDE-4993-A591-91F09F8BF184}"/>
    <cellStyle name="Normal 2 5 6 2" xfId="934" xr:uid="{B3A8BD8F-B1F4-4731-B6DB-A96A66DB2A92}"/>
    <cellStyle name="Normal 2 5 6 2 2" xfId="4161" xr:uid="{E44DD393-7C86-4912-9E9A-B6683D9B1B49}"/>
    <cellStyle name="Normal 2 5 6 3" xfId="1148" xr:uid="{6288BABF-7811-43D0-86DE-4EE7912CB41A}"/>
    <cellStyle name="Normal 2 5 6 3 2" xfId="5310" xr:uid="{EB4D1A1A-B419-4123-BC53-47C5B9F7FBBF}"/>
    <cellStyle name="Normal 2 5 7" xfId="1147" xr:uid="{D69A3EA3-9C00-4BA4-A3A1-BA802594DED9}"/>
    <cellStyle name="Normal 2 5 7 2" xfId="5309" xr:uid="{6D07C095-1813-4455-B4CE-6FD1817BA19E}"/>
    <cellStyle name="Normal 2 6" xfId="409" xr:uid="{A1BC2B6B-AFED-44AC-AA11-E995224E6F55}"/>
    <cellStyle name="Normal 2 6 10" xfId="1209" xr:uid="{5EEAC636-6CD6-458D-A751-8FE4D18CFBCA}"/>
    <cellStyle name="Normal 2 6 10 2" xfId="2195" xr:uid="{3E4B00CC-FD6C-4585-BD94-CF4843A61FB9}"/>
    <cellStyle name="Normal 2 6 10 2 2" xfId="4967" xr:uid="{AB2A4591-7082-49E6-9692-9D2ED3AE492C}"/>
    <cellStyle name="Normal 2 6 10 2 2 2" xfId="9197" xr:uid="{FB06811D-7534-4843-A4A9-95585289C224}"/>
    <cellStyle name="Normal 2 6 10 2 3" xfId="3437" xr:uid="{6F8440AA-55A4-4178-BD7E-989815A3B869}"/>
    <cellStyle name="Normal 2 6 10 2 3 2" xfId="7905" xr:uid="{EE619026-D82D-47FB-9E7E-2DB188C9119D}"/>
    <cellStyle name="Normal 2 6 10 2 4" xfId="6760" xr:uid="{709D5123-2822-49E0-9F5D-49B6765BFAD2}"/>
    <cellStyle name="Normal 2 6 10 3" xfId="3844" xr:uid="{F87A758F-A4EF-4892-992B-F1C8CBEE9976}"/>
    <cellStyle name="Normal 2 6 10 3 2" xfId="8293" xr:uid="{17ADDE3C-3255-42E7-B38F-8B65FD0CA938}"/>
    <cellStyle name="Normal 2 6 10 4" xfId="4508" xr:uid="{73DBD62D-9EA7-4EAF-BCB6-B68458691A0E}"/>
    <cellStyle name="Normal 2 6 10 4 2" xfId="8778" xr:uid="{86CB8B80-A75C-4A13-9031-66604DD5AB76}"/>
    <cellStyle name="Normal 2 6 10 5" xfId="2981" xr:uid="{2103111D-D98B-491A-A77C-272B71D0DF4B}"/>
    <cellStyle name="Normal 2 6 10 5 2" xfId="7517" xr:uid="{E559BDC1-8F05-4BBF-B243-1A336D38CB84}"/>
    <cellStyle name="Normal 2 6 10 6" xfId="5781" xr:uid="{05EF0807-F7DF-4639-9371-98294D6E371B}"/>
    <cellStyle name="Normal 2 6 11" xfId="1449" xr:uid="{D1D8678B-E17D-4F69-8956-F25FE80D7177}"/>
    <cellStyle name="Normal 2 6 11 2" xfId="2429" xr:uid="{E99BF8B1-DA7A-44A9-992D-AFB2395EC957}"/>
    <cellStyle name="Normal 2 6 11 2 2" xfId="4905" xr:uid="{CCADF7F6-BB87-4441-A0A3-20EBAA848828}"/>
    <cellStyle name="Normal 2 6 11 2 2 2" xfId="9135" xr:uid="{4D3BD24C-42CF-432C-A2F4-64FC26FE3AF7}"/>
    <cellStyle name="Normal 2 6 11 2 3" xfId="6994" xr:uid="{FF0741F8-1B03-4E88-B654-CE5B7BEA7321}"/>
    <cellStyle name="Normal 2 6 11 3" xfId="3368" xr:uid="{133D3957-45A8-49AC-A8E9-C66D1C63EEBE}"/>
    <cellStyle name="Normal 2 6 11 3 2" xfId="7855" xr:uid="{F59E6302-DFFE-4FDC-8EAB-6464CDF545FC}"/>
    <cellStyle name="Normal 2 6 11 4" xfId="6015" xr:uid="{AE412C8A-24E2-4C3E-AAC2-E74EFE3506F7}"/>
    <cellStyle name="Normal 2 6 12" xfId="1708" xr:uid="{07220040-27DC-4E33-A2FF-544C83DFD02A}"/>
    <cellStyle name="Normal 2 6 12 2" xfId="2688" xr:uid="{2E36E386-4FC8-4359-B378-87C184B2CAE5}"/>
    <cellStyle name="Normal 2 6 12 2 2" xfId="7253" xr:uid="{B0DBF1BA-58FB-4C17-B8FF-DE505EA5A31B}"/>
    <cellStyle name="Normal 2 6 12 3" xfId="3793" xr:uid="{51E597F5-178A-43B7-8903-B8F27007DA8E}"/>
    <cellStyle name="Normal 2 6 12 3 2" xfId="8243" xr:uid="{84446BFE-450F-4FB7-A462-95BE1423A8B5}"/>
    <cellStyle name="Normal 2 6 12 4" xfId="6274" xr:uid="{49940112-40CB-487B-9DD1-36A5FEFD0619}"/>
    <cellStyle name="Normal 2 6 13" xfId="1920" xr:uid="{81F2D650-275C-41EE-AAF9-BEA3F7BC7FF7}"/>
    <cellStyle name="Normal 2 6 13 2" xfId="4249" xr:uid="{437C880D-4BC7-47D3-B12A-24DBCC05E857}"/>
    <cellStyle name="Normal 2 6 13 2 2" xfId="8624" xr:uid="{2C08E56F-37AF-4280-859F-E619B21D5EA8}"/>
    <cellStyle name="Normal 2 6 13 3" xfId="6485" xr:uid="{B8E08FCF-6AC6-4F6D-9EC5-D19F12A0D827}"/>
    <cellStyle name="Normal 2 6 14" xfId="2904" xr:uid="{35124B84-590A-4C0D-8673-57E5EDDFDFCF}"/>
    <cellStyle name="Normal 2 6 14 2" xfId="7467" xr:uid="{F5EEF46C-7494-49E9-BE92-2DE49CF47D8E}"/>
    <cellStyle name="Normal 2 6 15" xfId="5506" xr:uid="{C602EB51-5823-410B-8098-EDE0D3BE9D0D}"/>
    <cellStyle name="Normal 2 6 2" xfId="410" xr:uid="{0D975217-607C-4C43-AAB0-A9D7C9429509}"/>
    <cellStyle name="Normal 2 6 2 10" xfId="2905" xr:uid="{00F489CD-571B-4054-B407-33D6A67C3CCB}"/>
    <cellStyle name="Normal 2 6 2 10 2" xfId="7468" xr:uid="{1401134E-4CEF-4BB0-88F6-084C46BBC599}"/>
    <cellStyle name="Normal 2 6 2 11" xfId="5507" xr:uid="{4837860B-AC94-474E-B3F5-82E35E91AD39}"/>
    <cellStyle name="Normal 2 6 2 2" xfId="856" xr:uid="{782C9A41-E3D8-44C9-9CD1-7D5FCDEB25B7}"/>
    <cellStyle name="Normal 2 6 2 2 2" xfId="962" xr:uid="{7B351289-E39E-4FC5-9701-5000AC0533CA}"/>
    <cellStyle name="Normal 2 6 2 2 2 2" xfId="1335" xr:uid="{B6FB9FD3-7B01-4C69-8E3B-CF714C623052}"/>
    <cellStyle name="Normal 2 6 2 2 2 2 2" xfId="2315" xr:uid="{5A059611-CAA8-42D6-86C4-44BC7E126695}"/>
    <cellStyle name="Normal 2 6 2 2 2 2 2 2" xfId="4725" xr:uid="{90C544F9-86D0-4389-AB82-7D8FE45F12CC}"/>
    <cellStyle name="Normal 2 6 2 2 2 2 2 2 2" xfId="8971" xr:uid="{2402DEB0-2730-49CA-8BB3-40AF7BDACE8F}"/>
    <cellStyle name="Normal 2 6 2 2 2 2 2 3" xfId="6880" xr:uid="{969F5150-2912-4B1B-B3B0-485D5ECD2EE8}"/>
    <cellStyle name="Normal 2 6 2 2 2 2 3" xfId="3601" xr:uid="{086533EA-028E-4643-AE90-24F1DC5C4B15}"/>
    <cellStyle name="Normal 2 6 2 2 2 2 3 2" xfId="8068" xr:uid="{1F5B63CC-3A4A-4A1C-AB2A-D6AC11DC063B}"/>
    <cellStyle name="Normal 2 6 2 2 2 2 4" xfId="5901" xr:uid="{FE282BEF-3BEB-46E6-9B62-A1DD724B3B5D}"/>
    <cellStyle name="Normal 2 6 2 2 2 3" xfId="1569" xr:uid="{32B2B462-A858-4DE1-AC68-53E2D406F71C}"/>
    <cellStyle name="Normal 2 6 2 2 2 3 2" xfId="2549" xr:uid="{09A76871-4408-443E-92B7-9FD3FA485D48}"/>
    <cellStyle name="Normal 2 6 2 2 2 3 2 2" xfId="5109" xr:uid="{612D0DE9-324F-460E-B914-5A6A43E1BBB4}"/>
    <cellStyle name="Normal 2 6 2 2 2 3 2 2 2" xfId="9334" xr:uid="{D57C7C2C-2CC4-4C45-B700-96C20767484F}"/>
    <cellStyle name="Normal 2 6 2 2 2 3 2 3" xfId="7114" xr:uid="{65402E69-B78F-46CA-992C-C4392EB68F20}"/>
    <cellStyle name="Normal 2 6 2 2 2 3 3" xfId="4007" xr:uid="{89E447D9-EE88-4734-9EEB-9E87A1578093}"/>
    <cellStyle name="Normal 2 6 2 2 2 3 3 2" xfId="8456" xr:uid="{85F2CF71-8250-43B7-97FA-9FF6F20B918F}"/>
    <cellStyle name="Normal 2 6 2 2 2 3 4" xfId="6135" xr:uid="{85BE1817-19DC-4B94-BCD1-75F554C7ADD4}"/>
    <cellStyle name="Normal 2 6 2 2 2 4" xfId="1803" xr:uid="{F9533589-5E44-40C6-9856-290A4F007C0F}"/>
    <cellStyle name="Normal 2 6 2 2 2 4 2" xfId="2782" xr:uid="{7912BC20-66B1-4B0C-ABB2-AA9DBD511F06}"/>
    <cellStyle name="Normal 2 6 2 2 2 4 2 2" xfId="7347" xr:uid="{70E5A32D-E1A6-4B94-8035-989E71C0D923}"/>
    <cellStyle name="Normal 2 6 2 2 2 4 3" xfId="4448" xr:uid="{182DBA88-8CB5-4800-A40E-2AC9C8C1704F}"/>
    <cellStyle name="Normal 2 6 2 2 2 4 3 2" xfId="8725" xr:uid="{89B31AA1-E1D2-4A77-8BF2-9D4D6B8E0424}"/>
    <cellStyle name="Normal 2 6 2 2 2 4 4" xfId="6368" xr:uid="{3349E3A1-9276-4352-847F-9E3674D50CC9}"/>
    <cellStyle name="Normal 2 6 2 2 2 5" xfId="2040" xr:uid="{1F022AFE-CF6F-4B41-9337-A607029BA331}"/>
    <cellStyle name="Normal 2 6 2 2 2 5 2" xfId="6605" xr:uid="{065CDA06-8437-4CBD-82A0-279D2E372BBE}"/>
    <cellStyle name="Normal 2 6 2 2 2 6" xfId="3185" xr:uid="{70DF32E5-489C-4D20-BCF0-B7AE9E846B58}"/>
    <cellStyle name="Normal 2 6 2 2 2 6 2" xfId="7680" xr:uid="{154A65F3-8E63-4486-8018-59F949C7ACEE}"/>
    <cellStyle name="Normal 2 6 2 2 2 7" xfId="5626" xr:uid="{EAD5034C-B22D-4018-9EFF-538DED47433F}"/>
    <cellStyle name="Normal 2 6 2 2 3" xfId="1044" xr:uid="{3CB998FA-AE07-4EA2-A444-EF724D14353C}"/>
    <cellStyle name="Normal 2 6 2 2 3 2" xfId="1412" xr:uid="{849810BD-D46A-49F2-A8D1-EA626115C981}"/>
    <cellStyle name="Normal 2 6 2 2 3 2 2" xfId="2392" xr:uid="{4E0F4ACF-E92B-46C0-9F1B-A86771818C72}"/>
    <cellStyle name="Normal 2 6 2 2 3 2 2 2" xfId="5214" xr:uid="{F0141D5E-438F-474D-9B22-812AAF17C73E}"/>
    <cellStyle name="Normal 2 6 2 2 3 2 2 2 2" xfId="9439" xr:uid="{22649210-DDBB-4BC7-8DD5-5168355ACDA2}"/>
    <cellStyle name="Normal 2 6 2 2 3 2 2 3" xfId="6957" xr:uid="{86D37A82-5C21-40B3-B9A6-409C253A01C5}"/>
    <cellStyle name="Normal 2 6 2 2 3 2 3" xfId="3706" xr:uid="{2FAB7B4A-E1A2-4559-AB5C-E5AB76AAF2FA}"/>
    <cellStyle name="Normal 2 6 2 2 3 2 3 2" xfId="8173" xr:uid="{F955932A-3C93-4750-BB63-F1B8B180243E}"/>
    <cellStyle name="Normal 2 6 2 2 3 2 4" xfId="5978" xr:uid="{A6DA66AC-D8C4-47CE-AC64-3916911BB6EA}"/>
    <cellStyle name="Normal 2 6 2 2 3 3" xfId="1646" xr:uid="{8551F461-0323-4C5E-A7B0-A41F5C7653BC}"/>
    <cellStyle name="Normal 2 6 2 2 3 3 2" xfId="2626" xr:uid="{7BFA6DCF-2304-4C23-8275-0FA5FB45A24A}"/>
    <cellStyle name="Normal 2 6 2 2 3 3 2 2" xfId="7191" xr:uid="{DCC9687C-AC7F-4B41-BCF7-32757EA17FE1}"/>
    <cellStyle name="Normal 2 6 2 2 3 3 3" xfId="4112" xr:uid="{44BECE86-2686-4225-B399-5ED4C3F49C09}"/>
    <cellStyle name="Normal 2 6 2 2 3 3 3 2" xfId="8561" xr:uid="{51BF31BA-1988-4F60-A51C-28D8274E6639}"/>
    <cellStyle name="Normal 2 6 2 2 3 3 4" xfId="6212" xr:uid="{9909C59D-4A09-4D0B-8B8D-393AD48188AB}"/>
    <cellStyle name="Normal 2 6 2 2 3 4" xfId="1880" xr:uid="{42CC34EF-5C28-4369-BA9B-1AE74DA333CF}"/>
    <cellStyle name="Normal 2 6 2 2 3 4 2" xfId="2859" xr:uid="{5C84014A-3E7C-46D2-AEC6-4657A5F3F126}"/>
    <cellStyle name="Normal 2 6 2 2 3 4 2 2" xfId="7424" xr:uid="{04C6C81F-19CB-4D63-8AA7-60658B3E68B1}"/>
    <cellStyle name="Normal 2 6 2 2 3 4 3" xfId="4582" xr:uid="{6C64928F-76DD-48E5-A6A9-F59503DFDA6B}"/>
    <cellStyle name="Normal 2 6 2 2 3 4 3 2" xfId="8837" xr:uid="{6D4DB226-5411-49FF-819F-D3A5AB72FF87}"/>
    <cellStyle name="Normal 2 6 2 2 3 4 4" xfId="6445" xr:uid="{836A6F02-DE65-457B-A83A-3A01E0953F14}"/>
    <cellStyle name="Normal 2 6 2 2 3 5" xfId="2117" xr:uid="{0C772E00-383E-4972-815E-B8F9E121D9CC}"/>
    <cellStyle name="Normal 2 6 2 2 3 5 2" xfId="6682" xr:uid="{6B36091E-6779-4E5D-994F-5A1BBCF737FD}"/>
    <cellStyle name="Normal 2 6 2 2 3 6" xfId="3292" xr:uid="{4CE84862-46A2-40EA-85F1-1CEAD3DABE6A}"/>
    <cellStyle name="Normal 2 6 2 2 3 6 2" xfId="7785" xr:uid="{FA53B9E8-E9D7-4E68-97C8-3DB5157B0638}"/>
    <cellStyle name="Normal 2 6 2 2 3 7" xfId="5703" xr:uid="{A8BE5240-178C-483E-AAA3-EE11F177216D}"/>
    <cellStyle name="Normal 2 6 2 2 4" xfId="1256" xr:uid="{5D261F89-7DFA-4A1E-B522-61AD4C724EFC}"/>
    <cellStyle name="Normal 2 6 2 2 4 2" xfId="2238" xr:uid="{9366144F-862A-4444-B5C5-27E7818B6BEF}"/>
    <cellStyle name="Normal 2 6 2 2 4 2 2" xfId="5008" xr:uid="{8A5E45B3-F5A0-457F-83B4-FEA14450258A}"/>
    <cellStyle name="Normal 2 6 2 2 4 2 2 2" xfId="9234" xr:uid="{4328D8B2-EE72-4622-A6C3-B5018420A6AE}"/>
    <cellStyle name="Normal 2 6 2 2 4 2 3" xfId="3496" xr:uid="{7B25ED32-0957-48C7-BB82-0B37BAA1187A}"/>
    <cellStyle name="Normal 2 6 2 2 4 2 3 2" xfId="7963" xr:uid="{599B7773-CEED-4940-924E-66715A891994}"/>
    <cellStyle name="Normal 2 6 2 2 4 2 4" xfId="6803" xr:uid="{8DC1FAC6-B950-478E-9EF4-706FA4FF46BF}"/>
    <cellStyle name="Normal 2 6 2 2 4 3" xfId="3902" xr:uid="{87899AE8-C106-4930-ADCF-2312ABA822DE}"/>
    <cellStyle name="Normal 2 6 2 2 4 3 2" xfId="8351" xr:uid="{7305245C-4322-4C9C-86FD-EBB92BDB6939}"/>
    <cellStyle name="Normal 2 6 2 2 4 4" xfId="4648" xr:uid="{ED9D7702-6C10-4E37-91B1-6E21AA2F47B4}"/>
    <cellStyle name="Normal 2 6 2 2 4 4 2" xfId="8894" xr:uid="{F7E2FA84-D77F-4040-AF2F-4BCFCF35A686}"/>
    <cellStyle name="Normal 2 6 2 2 4 5" xfId="3065" xr:uid="{57F6F047-E929-4C6F-999E-AE6956586D40}"/>
    <cellStyle name="Normal 2 6 2 2 4 5 2" xfId="7575" xr:uid="{95343B95-BD27-4977-BE46-F605FE8AF67B}"/>
    <cellStyle name="Normal 2 6 2 2 4 6" xfId="5824" xr:uid="{2A6BA89A-BE77-4B36-8256-4BE14AE4337D}"/>
    <cellStyle name="Normal 2 6 2 2 5" xfId="1492" xr:uid="{92E2C4A1-881A-44CE-87B9-4786ABCB9523}"/>
    <cellStyle name="Normal 2 6 2 2 5 2" xfId="2472" xr:uid="{657608E0-94F4-471D-BC8A-C6B402B327E3}"/>
    <cellStyle name="Normal 2 6 2 2 5 2 2" xfId="4947" xr:uid="{9FE6B4D9-0870-4132-AAC3-B2ECBD025D05}"/>
    <cellStyle name="Normal 2 6 2 2 5 2 2 2" xfId="9177" xr:uid="{F5D9A426-4D03-4B5C-BEBE-F41DB7831CA7}"/>
    <cellStyle name="Normal 2 6 2 2 5 2 3" xfId="7037" xr:uid="{DA3A3438-E564-468F-9695-E017DD99136A}"/>
    <cellStyle name="Normal 2 6 2 2 5 3" xfId="3422" xr:uid="{6F1097DC-CB37-44E3-BE01-D6EE247D6A53}"/>
    <cellStyle name="Normal 2 6 2 2 5 3 2" xfId="7890" xr:uid="{927C5413-5860-4C4E-939B-FF1F79E4E45F}"/>
    <cellStyle name="Normal 2 6 2 2 5 4" xfId="6058" xr:uid="{9BB55254-03CB-42B4-BE53-1C7DED361287}"/>
    <cellStyle name="Normal 2 6 2 2 6" xfId="1726" xr:uid="{18EA1DBB-3F8E-4285-9E7D-4AA1DD62B4A0}"/>
    <cellStyle name="Normal 2 6 2 2 6 2" xfId="2705" xr:uid="{C5EDA8E4-BE9D-434C-9D1C-7A6F12AA8EFE}"/>
    <cellStyle name="Normal 2 6 2 2 6 2 2" xfId="7270" xr:uid="{AA114278-FF0F-4237-A112-CDCBD86A3383}"/>
    <cellStyle name="Normal 2 6 2 2 6 3" xfId="3829" xr:uid="{E8E074C9-7395-4F56-97A4-D91C3E1E3349}"/>
    <cellStyle name="Normal 2 6 2 2 6 3 2" xfId="8278" xr:uid="{200F2FB5-5A09-4A92-8EE9-72F67B493DC1}"/>
    <cellStyle name="Normal 2 6 2 2 6 4" xfId="6291" xr:uid="{59C27A8C-6421-4434-82D2-EAC379D98804}"/>
    <cellStyle name="Normal 2 6 2 2 7" xfId="1963" xr:uid="{9AD793A9-627A-443D-941E-BCF53F66683D}"/>
    <cellStyle name="Normal 2 6 2 2 7 2" xfId="4300" xr:uid="{AB3D2F10-98FA-46E7-96E4-7E7E73E4EF78}"/>
    <cellStyle name="Normal 2 6 2 2 7 2 2" xfId="8653" xr:uid="{74D6D10A-7D59-4A95-A5EA-5D0DBCA941A4}"/>
    <cellStyle name="Normal 2 6 2 2 7 3" xfId="6528" xr:uid="{88DA2DE7-96A5-443D-A175-054128FFF3B8}"/>
    <cellStyle name="Normal 2 6 2 2 8" xfId="2940" xr:uid="{123E53AA-A4C2-4CF6-B9C1-F1D6C359EACC}"/>
    <cellStyle name="Normal 2 6 2 2 8 2" xfId="7502" xr:uid="{7FED77B7-7137-467C-8FC3-CB89EE9F98FD}"/>
    <cellStyle name="Normal 2 6 2 2 9" xfId="5549" xr:uid="{A4957C70-8CAE-4B46-B113-5874BFA3520B}"/>
    <cellStyle name="Normal 2 6 2 3" xfId="903" xr:uid="{4F70E414-76A7-456C-BAD9-75869CD6E51A}"/>
    <cellStyle name="Normal 2 6 2 3 2" xfId="1291" xr:uid="{DCD428ED-5FE3-4CE3-865E-ED5BB67C4D7F}"/>
    <cellStyle name="Normal 2 6 2 3 2 2" xfId="2273" xr:uid="{AE575B02-8CCF-4944-85D5-01331DCF4285}"/>
    <cellStyle name="Normal 2 6 2 3 2 2 2" xfId="5143" xr:uid="{288EAAAD-FF2E-4268-AB74-2A81EBC4C1F1}"/>
    <cellStyle name="Normal 2 6 2 3 2 2 2 2" xfId="9368" xr:uid="{A86C5CC3-CFFF-479D-A445-7D3C446D122F}"/>
    <cellStyle name="Normal 2 6 2 3 2 2 3" xfId="3635" xr:uid="{FBC27DA3-326F-4A49-9BDA-3D89EDF634B8}"/>
    <cellStyle name="Normal 2 6 2 3 2 2 3 2" xfId="8102" xr:uid="{D1FD171C-EDB7-4AB0-9337-D499E92A369A}"/>
    <cellStyle name="Normal 2 6 2 3 2 2 4" xfId="6838" xr:uid="{8E92FF5C-9929-446F-9F71-3CC4355ECAE0}"/>
    <cellStyle name="Normal 2 6 2 3 2 3" xfId="4041" xr:uid="{42216972-90C2-43DA-95D8-E3866582579B}"/>
    <cellStyle name="Normal 2 6 2 3 2 3 2" xfId="8490" xr:uid="{CEE1C314-693E-4A23-850A-581AC3C64B4A}"/>
    <cellStyle name="Normal 2 6 2 3 2 4" xfId="4759" xr:uid="{248C472F-41B2-4FCD-A65B-682ED3381534}"/>
    <cellStyle name="Normal 2 6 2 3 2 4 2" xfId="9005" xr:uid="{1434C899-669E-4C14-B54E-79136890DC71}"/>
    <cellStyle name="Normal 2 6 2 3 2 5" xfId="3219" xr:uid="{71D19BA1-8FB7-4EA2-A738-48AEEDFBE1DB}"/>
    <cellStyle name="Normal 2 6 2 3 2 5 2" xfId="7714" xr:uid="{AD5D4045-DF21-4AF3-B94C-2AE7640FFAF6}"/>
    <cellStyle name="Normal 2 6 2 3 2 6" xfId="5859" xr:uid="{56819ADD-C370-43EA-B6AD-73DCE4564AD5}"/>
    <cellStyle name="Normal 2 6 2 3 3" xfId="1527" xr:uid="{1C099820-5A2F-418B-908F-87E505248FAB}"/>
    <cellStyle name="Normal 2 6 2 3 3 2" xfId="2507" xr:uid="{0C5EA4C6-44D8-4FC6-AF12-94EFE7617633}"/>
    <cellStyle name="Normal 2 6 2 3 3 2 2" xfId="5248" xr:uid="{61D7C4D7-BB64-4B1F-92D9-7ECF0EBE3BE8}"/>
    <cellStyle name="Normal 2 6 2 3 3 2 2 2" xfId="9473" xr:uid="{2252A3ED-201D-4EF9-B97C-964F13FE2F10}"/>
    <cellStyle name="Normal 2 6 2 3 3 2 3" xfId="3740" xr:uid="{E7A79B8D-154C-4488-8A79-ABECDA595D3E}"/>
    <cellStyle name="Normal 2 6 2 3 3 2 3 2" xfId="8207" xr:uid="{3E3DC010-459B-419E-96F2-B505D8417E3F}"/>
    <cellStyle name="Normal 2 6 2 3 3 2 4" xfId="7072" xr:uid="{5014EF90-4764-49A8-B888-D18508342AAF}"/>
    <cellStyle name="Normal 2 6 2 3 3 3" xfId="4146" xr:uid="{C07D065F-C52E-40D6-8A78-BC76CCACE50B}"/>
    <cellStyle name="Normal 2 6 2 3 3 3 2" xfId="8595" xr:uid="{F06EBB21-D201-4514-B24A-CE5FC6BD7F94}"/>
    <cellStyle name="Normal 2 6 2 3 3 4" xfId="4835" xr:uid="{E96FFB69-C839-4BC6-B69D-B7635ECB9726}"/>
    <cellStyle name="Normal 2 6 2 3 3 4 2" xfId="9081" xr:uid="{33AE55B7-CE5A-436F-B9D6-12EDA561A8EB}"/>
    <cellStyle name="Normal 2 6 2 3 3 5" xfId="3330" xr:uid="{16A6BD8F-3FE7-4CCB-8CEB-0C71FDEA19DF}"/>
    <cellStyle name="Normal 2 6 2 3 3 5 2" xfId="7819" xr:uid="{6ACA1175-401D-425F-A003-55CE59A65630}"/>
    <cellStyle name="Normal 2 6 2 3 3 6" xfId="6093" xr:uid="{64046F21-AD87-4EA3-9D19-FFFFCC9B97DB}"/>
    <cellStyle name="Normal 2 6 2 3 4" xfId="1761" xr:uid="{7BA6AEE8-145B-40F5-A2C4-C32E1DE21E90}"/>
    <cellStyle name="Normal 2 6 2 3 4 2" xfId="2740" xr:uid="{84599EF0-7DB9-4320-9AA0-CD55D0171066}"/>
    <cellStyle name="Normal 2 6 2 3 4 2 2" xfId="4676" xr:uid="{881A5CEF-DC26-437B-A0B6-FBDC570C676F}"/>
    <cellStyle name="Normal 2 6 2 3 4 2 2 2" xfId="8922" xr:uid="{04B7555E-7FEE-4DAC-A99B-CFB6B203741B}"/>
    <cellStyle name="Normal 2 6 2 3 4 2 3" xfId="7305" xr:uid="{B7F8362F-BCF5-4327-ABB2-9F54B16BEEC9}"/>
    <cellStyle name="Normal 2 6 2 3 4 3" xfId="3530" xr:uid="{D8C3C0EC-7315-4D1A-A60E-1F1D979FA883}"/>
    <cellStyle name="Normal 2 6 2 3 4 3 2" xfId="7997" xr:uid="{A93317A3-12BD-4B0A-AEC4-59577124DA0D}"/>
    <cellStyle name="Normal 2 6 2 3 4 4" xfId="6326" xr:uid="{D6150407-E937-461B-B2B7-CF947A6D96FD}"/>
    <cellStyle name="Normal 2 6 2 3 5" xfId="1998" xr:uid="{915AD527-B9D6-4AD5-BD68-BD2DF8F83CD1}"/>
    <cellStyle name="Normal 2 6 2 3 5 2" xfId="5039" xr:uid="{5B164226-3EC6-43D2-8D55-BA7D21BFB495}"/>
    <cellStyle name="Normal 2 6 2 3 5 2 2" xfId="9265" xr:uid="{17B9A518-D911-472A-B9D4-04D275B58FC7}"/>
    <cellStyle name="Normal 2 6 2 3 5 3" xfId="3936" xr:uid="{65A7BC30-B3EA-493C-B5A9-1D641B8DA35A}"/>
    <cellStyle name="Normal 2 6 2 3 5 3 2" xfId="8385" xr:uid="{670E6A13-0F44-4329-B79B-9BBAA2B7984D}"/>
    <cellStyle name="Normal 2 6 2 3 5 4" xfId="6563" xr:uid="{91A5C450-717E-4F0E-B5BC-9786EAA96FB6}"/>
    <cellStyle name="Normal 2 6 2 3 6" xfId="4420" xr:uid="{22200130-5917-40B6-98CD-ABACC22A66E2}"/>
    <cellStyle name="Normal 2 6 2 3 6 2" xfId="8697" xr:uid="{80CFC8A6-EFB7-4E94-9C06-7A6B95CF1D47}"/>
    <cellStyle name="Normal 2 6 2 3 7" xfId="3103" xr:uid="{BB6BA8A0-85AF-4569-9016-797BECF15116}"/>
    <cellStyle name="Normal 2 6 2 3 7 2" xfId="7609" xr:uid="{9CF90C37-E6DC-4B72-A5F1-655607757416}"/>
    <cellStyle name="Normal 2 6 2 3 8" xfId="5584" xr:uid="{9861BEE6-243D-4DA7-A61D-800AC6AE6BF0}"/>
    <cellStyle name="Normal 2 6 2 4" xfId="1002" xr:uid="{DDB7EE83-7670-4E13-98D9-66260A1DB896}"/>
    <cellStyle name="Normal 2 6 2 4 2" xfId="1370" xr:uid="{D6381ACC-5C98-4529-B358-2AFD9BB8A3AA}"/>
    <cellStyle name="Normal 2 6 2 4 2 2" xfId="2350" xr:uid="{A88EA02F-A891-4E65-A0EB-BEC30B61E6A2}"/>
    <cellStyle name="Normal 2 6 2 4 2 2 2" xfId="5074" xr:uid="{38761925-966C-4056-809A-52A79797F639}"/>
    <cellStyle name="Normal 2 6 2 4 2 2 2 2" xfId="9300" xr:uid="{5C41F4F2-CF9E-4889-B457-C3A1CC9A8611}"/>
    <cellStyle name="Normal 2 6 2 4 2 2 3" xfId="6915" xr:uid="{25D9056D-C0EE-4A5E-975B-FD640A514A22}"/>
    <cellStyle name="Normal 2 6 2 4 2 3" xfId="3566" xr:uid="{B0EE918C-47A4-4A5C-BBC0-B97EED7ED4B0}"/>
    <cellStyle name="Normal 2 6 2 4 2 3 2" xfId="8033" xr:uid="{EB2803F4-0875-46F3-B249-C11178510602}"/>
    <cellStyle name="Normal 2 6 2 4 2 4" xfId="5936" xr:uid="{271721B8-E839-46D7-8067-A7DE8C81775B}"/>
    <cellStyle name="Normal 2 6 2 4 3" xfId="1604" xr:uid="{29EDA2D9-FAB9-4A26-96AC-B7242369F09C}"/>
    <cellStyle name="Normal 2 6 2 4 3 2" xfId="2584" xr:uid="{3A9A1D14-6CD5-449F-B07D-6D0375B2AD95}"/>
    <cellStyle name="Normal 2 6 2 4 3 2 2" xfId="7149" xr:uid="{12DF8D43-3558-4C77-8945-614FA5870EBD}"/>
    <cellStyle name="Normal 2 6 2 4 3 3" xfId="3972" xr:uid="{B8291661-7B00-4A71-88CA-792F04F63234}"/>
    <cellStyle name="Normal 2 6 2 4 3 3 2" xfId="8421" xr:uid="{D19934D9-9FA4-4EDD-AC9B-825B093CEC2F}"/>
    <cellStyle name="Normal 2 6 2 4 3 4" xfId="6170" xr:uid="{2D08F7F1-CC9C-46BC-8017-EDD5C3EADE81}"/>
    <cellStyle name="Normal 2 6 2 4 4" xfId="1838" xr:uid="{E9794E4F-1B7F-41B2-987C-822FC6132BBC}"/>
    <cellStyle name="Normal 2 6 2 4 4 2" xfId="2817" xr:uid="{221C2123-1DFA-4E2D-B845-24209DC2D4AA}"/>
    <cellStyle name="Normal 2 6 2 4 4 2 2" xfId="7382" xr:uid="{121C0264-850D-462C-A131-4C046549ED3B}"/>
    <cellStyle name="Normal 2 6 2 4 4 3" xfId="4525" xr:uid="{D41EA54A-86EC-4D2A-8CE0-6BD91421C1D7}"/>
    <cellStyle name="Normal 2 6 2 4 4 3 2" xfId="8791" xr:uid="{76B55DFA-1A93-466B-8C4D-92A2D236A128}"/>
    <cellStyle name="Normal 2 6 2 4 4 4" xfId="6403" xr:uid="{5FCE4140-DC86-4D94-A981-D71557B4A6B7}"/>
    <cellStyle name="Normal 2 6 2 4 5" xfId="2075" xr:uid="{E4277000-2774-4900-85E1-817A1CB124D9}"/>
    <cellStyle name="Normal 2 6 2 4 5 2" xfId="6640" xr:uid="{A06741BD-6E4E-4E24-9A84-B010FDDCDBBF}"/>
    <cellStyle name="Normal 2 6 2 4 6" xfId="3150" xr:uid="{B3F5A837-284B-42D0-ACA4-DA397D6F01D6}"/>
    <cellStyle name="Normal 2 6 2 4 6 2" xfId="7645" xr:uid="{F15C0C55-0980-4665-9FCE-C837E5BE7924}"/>
    <cellStyle name="Normal 2 6 2 4 7" xfId="5661" xr:uid="{8491FCE4-F768-4FB2-9FD7-37BCF764633D}"/>
    <cellStyle name="Normal 2 6 2 5" xfId="1150" xr:uid="{D8B9387B-E9C5-4393-8FB9-2E4FA0DBEFC1}"/>
    <cellStyle name="Normal 2 6 2 5 2" xfId="2159" xr:uid="{52920A27-EC68-454A-8FF7-918B620DC63A}"/>
    <cellStyle name="Normal 2 6 2 5 2 2" xfId="5179" xr:uid="{13A28F3E-C9EC-45FF-8114-C4A299738505}"/>
    <cellStyle name="Normal 2 6 2 5 2 2 2" xfId="9404" xr:uid="{F4F841C4-65C1-443C-BFAF-4E52EC8522CD}"/>
    <cellStyle name="Normal 2 6 2 5 2 3" xfId="3671" xr:uid="{F33EA4C6-46E9-4AF4-8D33-0E29E80033C4}"/>
    <cellStyle name="Normal 2 6 2 5 2 3 2" xfId="8138" xr:uid="{0EAA85EA-DDED-4ED7-8E3A-0874C935CB13}"/>
    <cellStyle name="Normal 2 6 2 5 2 4" xfId="6724" xr:uid="{4FE3B869-194F-455E-B575-3F594454E612}"/>
    <cellStyle name="Normal 2 6 2 5 3" xfId="4077" xr:uid="{C94F57CE-E671-4E0D-8F43-C17E0300A5D3}"/>
    <cellStyle name="Normal 2 6 2 5 3 2" xfId="8526" xr:uid="{3D4A57AD-D94D-404A-AB1F-E62EB9E9ADC1}"/>
    <cellStyle name="Normal 2 6 2 5 4" xfId="4794" xr:uid="{5984E705-0C59-49ED-8D4E-C54F637148B7}"/>
    <cellStyle name="Normal 2 6 2 5 4 2" xfId="9040" xr:uid="{98BA9769-0325-4D02-8E43-44D602C9FA35}"/>
    <cellStyle name="Normal 2 6 2 5 5" xfId="3256" xr:uid="{5DB3E48E-CA3A-4AAE-BDCD-11333B9D9701}"/>
    <cellStyle name="Normal 2 6 2 5 5 2" xfId="7750" xr:uid="{18BC5F2A-CBCD-47E7-ABC0-CA5F19AF7C66}"/>
    <cellStyle name="Normal 2 6 2 5 6" xfId="5745" xr:uid="{0D8463AB-6C40-4BA3-A9D9-EFF6A0F3A19C}"/>
    <cellStyle name="Normal 2 6 2 6" xfId="1210" xr:uid="{B5F7616F-C7F8-4C32-BA62-1139510839C8}"/>
    <cellStyle name="Normal 2 6 2 6 2" xfId="2196" xr:uid="{B3CF40FA-3BAE-49E1-9ADC-BFD14EB2F02F}"/>
    <cellStyle name="Normal 2 6 2 6 2 2" xfId="4993" xr:uid="{C8283E70-7A3C-4AA0-A4B7-5A02EA66AE5E}"/>
    <cellStyle name="Normal 2 6 2 6 2 2 2" xfId="9220" xr:uid="{9E3CDE7B-78AB-464F-B49C-4287556006D5}"/>
    <cellStyle name="Normal 2 6 2 6 2 3" xfId="3460" xr:uid="{BC1864DB-1D1E-4539-8301-37FB3281E9C7}"/>
    <cellStyle name="Normal 2 6 2 6 2 3 2" xfId="7928" xr:uid="{EB1836AB-BE4B-41FB-833B-D3E710CB8DA1}"/>
    <cellStyle name="Normal 2 6 2 6 2 4" xfId="6761" xr:uid="{3E0BAEBF-18DB-4F7F-AA99-69B26D31352E}"/>
    <cellStyle name="Normal 2 6 2 6 3" xfId="3867" xr:uid="{DDD7F291-F18E-4DA6-95A0-909B6976C9B2}"/>
    <cellStyle name="Normal 2 6 2 6 3 2" xfId="8316" xr:uid="{EC3C3FA3-CB94-4FBA-AEAD-BF825FC35BB2}"/>
    <cellStyle name="Normal 2 6 2 6 4" xfId="4503" xr:uid="{2D4EEF54-D5AA-46D9-8C2A-57E68C59AF63}"/>
    <cellStyle name="Normal 2 6 2 6 4 2" xfId="8773" xr:uid="{720055B2-0810-42AD-B054-F5EEA247AF06}"/>
    <cellStyle name="Normal 2 6 2 6 5" xfId="3018" xr:uid="{9A378034-B192-4106-9E96-5C5A8BD67CB5}"/>
    <cellStyle name="Normal 2 6 2 6 5 2" xfId="7540" xr:uid="{F311E0B2-F3F8-482C-970E-5039DBCB75E9}"/>
    <cellStyle name="Normal 2 6 2 6 6" xfId="5782" xr:uid="{5073C3E3-4715-4E53-8AB5-E3F04E72096C}"/>
    <cellStyle name="Normal 2 6 2 7" xfId="1450" xr:uid="{C879CCEB-9D00-43B6-9B43-7A70EA2B0B88}"/>
    <cellStyle name="Normal 2 6 2 7 2" xfId="2430" xr:uid="{CC3D6B98-3597-4699-AA2D-37EE31D4BF54}"/>
    <cellStyle name="Normal 2 6 2 7 2 2" xfId="4906" xr:uid="{6236C05C-271D-46FA-8B0C-C46E763ABCD0}"/>
    <cellStyle name="Normal 2 6 2 7 2 2 2" xfId="9136" xr:uid="{4617ABBE-2FE0-45D1-B2FA-ECF46DFA6B81}"/>
    <cellStyle name="Normal 2 6 2 7 2 3" xfId="6995" xr:uid="{1F8ADF70-7068-4F54-BEDC-734D40B2996D}"/>
    <cellStyle name="Normal 2 6 2 7 3" xfId="3369" xr:uid="{13FF073F-9564-4903-9F21-D45971EE528D}"/>
    <cellStyle name="Normal 2 6 2 7 3 2" xfId="7856" xr:uid="{A9273DE2-FA40-4F05-A4C7-7199D1069019}"/>
    <cellStyle name="Normal 2 6 2 7 4" xfId="6016" xr:uid="{76FB2D3E-5463-4965-88EB-855B83E77871}"/>
    <cellStyle name="Normal 2 6 2 8" xfId="1709" xr:uid="{4A300644-5110-41A3-BF8E-1AA7E7EB8414}"/>
    <cellStyle name="Normal 2 6 2 8 2" xfId="2689" xr:uid="{34D09B63-1EC9-4762-B555-8DB7F1D9ED79}"/>
    <cellStyle name="Normal 2 6 2 8 2 2" xfId="7254" xr:uid="{66B6540B-4B98-49F1-BA62-5246EF42BA3B}"/>
    <cellStyle name="Normal 2 6 2 8 3" xfId="3794" xr:uid="{EE0BE8B1-2CD5-42CB-A255-32ECBD36416B}"/>
    <cellStyle name="Normal 2 6 2 8 3 2" xfId="8244" xr:uid="{5A2E0E81-3548-4288-8D32-E3D0C1FB0930}"/>
    <cellStyle name="Normal 2 6 2 8 4" xfId="6275" xr:uid="{B083BB5C-656B-430A-AD46-F0CFDCABC6D4}"/>
    <cellStyle name="Normal 2 6 2 9" xfId="1921" xr:uid="{208C6B3A-C78D-4AB8-B655-6C90CADCBC81}"/>
    <cellStyle name="Normal 2 6 2 9 2" xfId="4250" xr:uid="{5F7FEC0D-6296-4F60-8921-4B174C53951C}"/>
    <cellStyle name="Normal 2 6 2 9 2 2" xfId="8625" xr:uid="{9F3B099E-9364-4BC0-8963-9DD317E06231}"/>
    <cellStyle name="Normal 2 6 2 9 3" xfId="6486" xr:uid="{B804065D-6719-459A-93C6-5C1E2CB9A3BD}"/>
    <cellStyle name="Normal 2 6 3" xfId="411" xr:uid="{9136A741-60F2-4DF4-A84E-59B7033F2FC4}"/>
    <cellStyle name="Normal 2 6 3 2" xfId="412" xr:uid="{DA7CBC67-A474-4BEA-8C17-E379BE980390}"/>
    <cellStyle name="Normal 2 6 3 2 2" xfId="413" xr:uid="{4E7EF669-C653-447B-9C50-7C92776450F6}"/>
    <cellStyle name="Normal 2 6 4" xfId="414" xr:uid="{3BAED89E-48EE-4F2C-AB76-6246C981010A}"/>
    <cellStyle name="Normal 2 6 4 2" xfId="415" xr:uid="{AE84A399-AD15-45DD-86AC-D2BBFE55ECF2}"/>
    <cellStyle name="Normal 2 6 4 3" xfId="416" xr:uid="{6859E72D-15DF-41CC-8F2B-152240668C50}"/>
    <cellStyle name="Normal 2 6 5" xfId="417" xr:uid="{5F7F36CF-36FE-452D-876A-CA8053473B9F}"/>
    <cellStyle name="Normal 2 6 6" xfId="855" xr:uid="{A0015A7B-072B-448F-A7A8-86906202608E}"/>
    <cellStyle name="Normal 2 6 6 2" xfId="961" xr:uid="{0D8CA1DA-DE7A-4146-AAF4-C179ADDC5711}"/>
    <cellStyle name="Normal 2 6 6 2 2" xfId="1334" xr:uid="{73C4AD95-F121-42B4-B4F4-F213A9FBE3E9}"/>
    <cellStyle name="Normal 2 6 6 2 2 2" xfId="2314" xr:uid="{EF718C9E-17A2-4B14-9568-3A8DE1027F09}"/>
    <cellStyle name="Normal 2 6 6 2 2 2 2" xfId="4724" xr:uid="{45F75792-251A-44AF-BA7E-44B9390DE74A}"/>
    <cellStyle name="Normal 2 6 6 2 2 2 2 2" xfId="8970" xr:uid="{7A2296ED-7D18-4D69-91E4-14A8F1EB3382}"/>
    <cellStyle name="Normal 2 6 6 2 2 2 3" xfId="6879" xr:uid="{B7BE8586-ABFD-4018-9372-07787A152EC9}"/>
    <cellStyle name="Normal 2 6 6 2 2 3" xfId="3600" xr:uid="{3727C12D-7E0B-4E03-9086-C559511A0DDB}"/>
    <cellStyle name="Normal 2 6 6 2 2 3 2" xfId="8067" xr:uid="{8888A677-0C86-4818-B8DE-EAD538D1CD85}"/>
    <cellStyle name="Normal 2 6 6 2 2 4" xfId="5900" xr:uid="{71D6A37C-D5E2-4DB5-887E-FB610C23AE1A}"/>
    <cellStyle name="Normal 2 6 6 2 3" xfId="1568" xr:uid="{67F1560A-368F-4767-899A-2921B9CD9528}"/>
    <cellStyle name="Normal 2 6 6 2 3 2" xfId="2548" xr:uid="{72CECF0A-AE16-4BC6-A1DF-4FE6F4541B8E}"/>
    <cellStyle name="Normal 2 6 6 2 3 2 2" xfId="5108" xr:uid="{AD7032B0-97C0-49A9-AEAD-DD21F8B1B0D0}"/>
    <cellStyle name="Normal 2 6 6 2 3 2 2 2" xfId="9333" xr:uid="{C0BFC9A2-E822-4FC1-B657-A43155F86ACD}"/>
    <cellStyle name="Normal 2 6 6 2 3 2 3" xfId="7113" xr:uid="{2D08113A-8AE0-480A-AC93-D4E92BDE2048}"/>
    <cellStyle name="Normal 2 6 6 2 3 3" xfId="4006" xr:uid="{C3DC6D2D-4FB5-4CEA-9642-44D460E1BAA0}"/>
    <cellStyle name="Normal 2 6 6 2 3 3 2" xfId="8455" xr:uid="{72CD16AE-AA4B-417B-BECE-A5F167B4122A}"/>
    <cellStyle name="Normal 2 6 6 2 3 4" xfId="6134" xr:uid="{A2DD0C53-FF10-4700-91F7-5C49DD77B298}"/>
    <cellStyle name="Normal 2 6 6 2 4" xfId="1802" xr:uid="{293A8289-BDB7-4F73-9C47-9D1629972C2E}"/>
    <cellStyle name="Normal 2 6 6 2 4 2" xfId="2781" xr:uid="{2627538D-7F2C-47AB-B826-DDA56237B016}"/>
    <cellStyle name="Normal 2 6 6 2 4 2 2" xfId="7346" xr:uid="{46A70C9A-ADE8-4725-B70C-D605ED2247F5}"/>
    <cellStyle name="Normal 2 6 6 2 4 3" xfId="4447" xr:uid="{EBD50D6C-1E59-4842-8692-3A333ED3A302}"/>
    <cellStyle name="Normal 2 6 6 2 4 3 2" xfId="8724" xr:uid="{02478DCC-821A-4289-AC18-A6C4D18872DA}"/>
    <cellStyle name="Normal 2 6 6 2 4 4" xfId="6367" xr:uid="{149528E4-5D1B-45F4-A734-B197A34783A9}"/>
    <cellStyle name="Normal 2 6 6 2 5" xfId="2039" xr:uid="{A044ED57-C4E5-4303-8EF8-295C161D6A70}"/>
    <cellStyle name="Normal 2 6 6 2 5 2" xfId="6604" xr:uid="{64FFCE9F-FD72-4402-BCBE-FFD41A3090B5}"/>
    <cellStyle name="Normal 2 6 6 2 6" xfId="3184" xr:uid="{13D9AC3C-473C-4A91-8685-0A31EB92E170}"/>
    <cellStyle name="Normal 2 6 6 2 6 2" xfId="7679" xr:uid="{62289070-CADF-448F-BB7B-B339E597E48A}"/>
    <cellStyle name="Normal 2 6 6 2 7" xfId="5625" xr:uid="{A7FD7198-3B5E-4F8C-BCB1-C1ED77EB4297}"/>
    <cellStyle name="Normal 2 6 6 3" xfId="1043" xr:uid="{53149570-1F1C-422A-A001-C0FE1E02EF4F}"/>
    <cellStyle name="Normal 2 6 6 3 2" xfId="1411" xr:uid="{664A3532-C8EF-42DD-AD66-D9F3B5A485FA}"/>
    <cellStyle name="Normal 2 6 6 3 2 2" xfId="2391" xr:uid="{5332A9F8-6C84-4339-96F5-41F674029CD4}"/>
    <cellStyle name="Normal 2 6 6 3 2 2 2" xfId="5213" xr:uid="{7F2511F0-46BE-44CB-AB81-94BE7118C3FA}"/>
    <cellStyle name="Normal 2 6 6 3 2 2 2 2" xfId="9438" xr:uid="{9B97810D-BC9E-4189-A1DC-7F2EEE3579D9}"/>
    <cellStyle name="Normal 2 6 6 3 2 2 3" xfId="6956" xr:uid="{E061D50F-DBC3-4071-AC09-8E7456FB860F}"/>
    <cellStyle name="Normal 2 6 6 3 2 3" xfId="3705" xr:uid="{17B26286-600C-4B7C-ABF1-46481AF4EE91}"/>
    <cellStyle name="Normal 2 6 6 3 2 3 2" xfId="8172" xr:uid="{67CE0B4D-2325-467F-99EE-44835B0210A8}"/>
    <cellStyle name="Normal 2 6 6 3 2 4" xfId="5977" xr:uid="{BA5FAF27-9C07-4207-8B6E-A40F59268C6D}"/>
    <cellStyle name="Normal 2 6 6 3 3" xfId="1645" xr:uid="{72ADDA1E-2453-40F6-A5C3-067F4B0ABF22}"/>
    <cellStyle name="Normal 2 6 6 3 3 2" xfId="2625" xr:uid="{7FD82924-880A-48E9-85A0-1E473EB44EFB}"/>
    <cellStyle name="Normal 2 6 6 3 3 2 2" xfId="7190" xr:uid="{0F7BDFB6-1E88-470D-9B3A-E2FC39A8A8E8}"/>
    <cellStyle name="Normal 2 6 6 3 3 3" xfId="4111" xr:uid="{CBE3ADE3-921C-4AF1-9FFA-4ABE5C0180DE}"/>
    <cellStyle name="Normal 2 6 6 3 3 3 2" xfId="8560" xr:uid="{BF3D6628-D425-46F3-A187-1B72343D95F5}"/>
    <cellStyle name="Normal 2 6 6 3 3 4" xfId="6211" xr:uid="{73DA449E-338D-40ED-B168-484F2537F1CC}"/>
    <cellStyle name="Normal 2 6 6 3 4" xfId="1879" xr:uid="{1A2C0F0B-3B4E-4C70-9E3E-78787D240726}"/>
    <cellStyle name="Normal 2 6 6 3 4 2" xfId="2858" xr:uid="{3F21E22F-3538-4569-9D14-EEF93F75E738}"/>
    <cellStyle name="Normal 2 6 6 3 4 2 2" xfId="7423" xr:uid="{E0848085-C469-4B36-9CC2-6B62B7B3EF05}"/>
    <cellStyle name="Normal 2 6 6 3 4 3" xfId="4581" xr:uid="{50C75E27-7B8B-4C24-9678-65589D6DC2E1}"/>
    <cellStyle name="Normal 2 6 6 3 4 3 2" xfId="8836" xr:uid="{FB7A85CF-4EA2-467C-A2DD-410619BDF62E}"/>
    <cellStyle name="Normal 2 6 6 3 4 4" xfId="6444" xr:uid="{D409BE54-31FC-4BD4-BABC-4F0AA65D7FF4}"/>
    <cellStyle name="Normal 2 6 6 3 5" xfId="2116" xr:uid="{5BEC048D-F8EF-4B09-8F40-70557B621DDE}"/>
    <cellStyle name="Normal 2 6 6 3 5 2" xfId="6681" xr:uid="{298987E8-F535-4C2D-AD64-C5B6518C91A3}"/>
    <cellStyle name="Normal 2 6 6 3 6" xfId="3291" xr:uid="{5E0357E9-B74E-40AA-B913-7FEAF1B53F1A}"/>
    <cellStyle name="Normal 2 6 6 3 6 2" xfId="7784" xr:uid="{6D9A9F64-B250-4700-AD79-BCA24644622D}"/>
    <cellStyle name="Normal 2 6 6 3 7" xfId="5702" xr:uid="{CAE4474F-E391-4B21-AB9D-837B59C45E6F}"/>
    <cellStyle name="Normal 2 6 6 4" xfId="1255" xr:uid="{AD4DF631-EC0F-4182-84BA-C35AAC2C8437}"/>
    <cellStyle name="Normal 2 6 6 4 2" xfId="2237" xr:uid="{E3039D15-40DA-4DA3-8378-F7D9F444816F}"/>
    <cellStyle name="Normal 2 6 6 4 2 2" xfId="5007" xr:uid="{A0D5154F-1632-4069-B70D-F7BF825C44E2}"/>
    <cellStyle name="Normal 2 6 6 4 2 2 2" xfId="9233" xr:uid="{D43A7B1B-429F-4F35-BAEA-E938217D93FB}"/>
    <cellStyle name="Normal 2 6 6 4 2 3" xfId="3495" xr:uid="{1D6B268B-309A-45A8-A2D8-D82CD0BEA208}"/>
    <cellStyle name="Normal 2 6 6 4 2 3 2" xfId="7962" xr:uid="{94B8EAB9-27BC-4EFB-8337-1CF2785D3DE1}"/>
    <cellStyle name="Normal 2 6 6 4 2 4" xfId="6802" xr:uid="{6006FFF9-EFE6-4DBF-BDD5-B3BCEFE28FA5}"/>
    <cellStyle name="Normal 2 6 6 4 3" xfId="3901" xr:uid="{6B0BC9B2-04F7-44BB-9056-26BFD7B59FE6}"/>
    <cellStyle name="Normal 2 6 6 4 3 2" xfId="8350" xr:uid="{49D66369-7D03-40FF-85A6-FB913081ABC6}"/>
    <cellStyle name="Normal 2 6 6 4 4" xfId="4647" xr:uid="{4CA8BF81-7DEF-438F-8127-705505E7FF8A}"/>
    <cellStyle name="Normal 2 6 6 4 4 2" xfId="8893" xr:uid="{22E9EC2C-9627-451A-B1AE-680473D4CD92}"/>
    <cellStyle name="Normal 2 6 6 4 5" xfId="3064" xr:uid="{C8B490D9-2526-46CD-B0A0-A9B1521DDBFE}"/>
    <cellStyle name="Normal 2 6 6 4 5 2" xfId="7574" xr:uid="{04426186-FCE8-4322-9F27-48C11E045BB4}"/>
    <cellStyle name="Normal 2 6 6 4 6" xfId="5823" xr:uid="{221E6ECA-CEA9-4755-B793-83C76B9743FE}"/>
    <cellStyle name="Normal 2 6 6 5" xfId="1491" xr:uid="{A48C3DA3-176B-482C-BAF2-9AED5D1D3599}"/>
    <cellStyle name="Normal 2 6 6 5 2" xfId="2471" xr:uid="{08503307-9A0D-4569-B1D5-5DE465F3DEE6}"/>
    <cellStyle name="Normal 2 6 6 5 2 2" xfId="4946" xr:uid="{6E5E6CEC-682C-4CFE-83A4-C6DCDED6F3E2}"/>
    <cellStyle name="Normal 2 6 6 5 2 2 2" xfId="9176" xr:uid="{664C3193-57DB-42B2-A2F0-5CE8243951FD}"/>
    <cellStyle name="Normal 2 6 6 5 2 3" xfId="7036" xr:uid="{7B888411-9DD9-4CF2-8F1A-DA762ACABD20}"/>
    <cellStyle name="Normal 2 6 6 5 3" xfId="3421" xr:uid="{B99568C0-F7E5-4B2C-9163-A716165240BE}"/>
    <cellStyle name="Normal 2 6 6 5 3 2" xfId="7889" xr:uid="{8803AAE2-0C30-43BC-BCA5-99563B3AC6F5}"/>
    <cellStyle name="Normal 2 6 6 5 4" xfId="6057" xr:uid="{0C64CEEB-9872-431C-8BD2-D096BAE3B20F}"/>
    <cellStyle name="Normal 2 6 6 6" xfId="1725" xr:uid="{82D214F8-6667-4D70-B2F1-F983A2D1EBEA}"/>
    <cellStyle name="Normal 2 6 6 6 2" xfId="2704" xr:uid="{BA349FBE-9B08-4E6D-A6EC-1D1E932558E3}"/>
    <cellStyle name="Normal 2 6 6 6 2 2" xfId="7269" xr:uid="{20D60E25-4054-4731-9958-AAEAE9B7CD8D}"/>
    <cellStyle name="Normal 2 6 6 6 3" xfId="3828" xr:uid="{0F6714E3-363E-475E-B146-E7614A8DEEA3}"/>
    <cellStyle name="Normal 2 6 6 6 3 2" xfId="8277" xr:uid="{2CBB4DC2-0237-4DE5-881B-7CCA4338691F}"/>
    <cellStyle name="Normal 2 6 6 6 4" xfId="6290" xr:uid="{94CB878E-2B3B-4122-9F00-AA9B85C4FE70}"/>
    <cellStyle name="Normal 2 6 6 7" xfId="1962" xr:uid="{194494AD-2644-4AC9-8B65-A594F88DD58D}"/>
    <cellStyle name="Normal 2 6 6 7 2" xfId="4299" xr:uid="{20AF920F-63A6-4338-AE94-92B6AD12B007}"/>
    <cellStyle name="Normal 2 6 6 7 2 2" xfId="8652" xr:uid="{141A8811-CECC-4310-847F-7731C9863122}"/>
    <cellStyle name="Normal 2 6 6 7 3" xfId="6527" xr:uid="{F1BA0647-888B-4891-99AD-5CF15E0EDF15}"/>
    <cellStyle name="Normal 2 6 6 8" xfId="2939" xr:uid="{99C2BF90-A66E-46FF-AB17-9D075287680C}"/>
    <cellStyle name="Normal 2 6 6 8 2" xfId="7501" xr:uid="{EE4FEC71-6810-4B91-B9D7-3ABBC87F00C0}"/>
    <cellStyle name="Normal 2 6 6 9" xfId="5548" xr:uid="{BE5CE66B-1BE4-440F-B53E-AB30BCACE666}"/>
    <cellStyle name="Normal 2 6 7" xfId="902" xr:uid="{5BFE4E56-9BE1-41A0-8B8F-B527DA9A61E9}"/>
    <cellStyle name="Normal 2 6 7 2" xfId="1290" xr:uid="{060145C1-66BF-49D6-9E12-DACE2B0A6E05}"/>
    <cellStyle name="Normal 2 6 7 2 2" xfId="2272" xr:uid="{57E1799D-175F-4E63-9796-B565DE577882}"/>
    <cellStyle name="Normal 2 6 7 2 2 2" xfId="5142" xr:uid="{B6722DAD-1EFA-465A-821A-A67C95031CE4}"/>
    <cellStyle name="Normal 2 6 7 2 2 2 2" xfId="9367" xr:uid="{4BD0A09C-C6D8-47DC-BECB-588C9C9074BE}"/>
    <cellStyle name="Normal 2 6 7 2 2 3" xfId="3634" xr:uid="{64896A3E-47A9-4CFC-8945-1B2B1AE05EBB}"/>
    <cellStyle name="Normal 2 6 7 2 2 3 2" xfId="8101" xr:uid="{877617B6-D508-4CEB-AB26-1D2164EE5E7E}"/>
    <cellStyle name="Normal 2 6 7 2 2 4" xfId="6837" xr:uid="{6B50AEDE-75A5-45CE-BA65-EB7010EA0A8A}"/>
    <cellStyle name="Normal 2 6 7 2 3" xfId="4040" xr:uid="{9DF07266-06A5-49C0-B765-238A515F10B3}"/>
    <cellStyle name="Normal 2 6 7 2 3 2" xfId="8489" xr:uid="{AD657C41-0431-42C2-B868-CFF51A45F6C2}"/>
    <cellStyle name="Normal 2 6 7 2 4" xfId="4758" xr:uid="{65A4E6E3-5D33-4AFE-BDE0-9E007FD0199C}"/>
    <cellStyle name="Normal 2 6 7 2 4 2" xfId="9004" xr:uid="{C2BC1772-1E6D-43B7-A9E7-D6BBC6B1A05F}"/>
    <cellStyle name="Normal 2 6 7 2 5" xfId="3218" xr:uid="{5E892C40-2DA0-4802-9674-218F33AF67D6}"/>
    <cellStyle name="Normal 2 6 7 2 5 2" xfId="7713" xr:uid="{362439CB-57EE-4C02-A825-8743D4EA924B}"/>
    <cellStyle name="Normal 2 6 7 2 6" xfId="5858" xr:uid="{3608B035-1693-44F9-8B81-52950613AA0A}"/>
    <cellStyle name="Normal 2 6 7 3" xfId="1526" xr:uid="{2B0EF7CA-C637-4246-91C9-BC47E07EF659}"/>
    <cellStyle name="Normal 2 6 7 3 2" xfId="2506" xr:uid="{1BE73904-0F96-44E9-B703-7A84F15B8249}"/>
    <cellStyle name="Normal 2 6 7 3 2 2" xfId="5247" xr:uid="{6951870E-9198-40C1-9EF3-4885311D75DB}"/>
    <cellStyle name="Normal 2 6 7 3 2 2 2" xfId="9472" xr:uid="{7C713506-5C6D-4A64-9560-09A3174E04B2}"/>
    <cellStyle name="Normal 2 6 7 3 2 3" xfId="3739" xr:uid="{114C6A9E-DE8E-4ABB-AAFD-6DAE2CCCAE25}"/>
    <cellStyle name="Normal 2 6 7 3 2 3 2" xfId="8206" xr:uid="{62E55C41-6226-4478-9100-13CB9E88DB51}"/>
    <cellStyle name="Normal 2 6 7 3 2 4" xfId="7071" xr:uid="{16C7F21E-3D7E-44D1-BA97-C95AE9055FFC}"/>
    <cellStyle name="Normal 2 6 7 3 3" xfId="4145" xr:uid="{315EF013-6367-49C5-B882-90A13FBEBA0D}"/>
    <cellStyle name="Normal 2 6 7 3 3 2" xfId="8594" xr:uid="{B261195E-062E-4FFA-8786-FBE691033DBA}"/>
    <cellStyle name="Normal 2 6 7 3 4" xfId="4834" xr:uid="{FD49950A-3CA6-45DD-AB45-7C0F0085104D}"/>
    <cellStyle name="Normal 2 6 7 3 4 2" xfId="9080" xr:uid="{0FD16B90-E405-4C5E-9BFD-BA7C03FCB4EF}"/>
    <cellStyle name="Normal 2 6 7 3 5" xfId="3329" xr:uid="{3959BF8E-69EC-45DE-9CA7-9B00E61CB568}"/>
    <cellStyle name="Normal 2 6 7 3 5 2" xfId="7818" xr:uid="{3AAA17E3-E6F7-43F6-8F6D-B1B085DB4D56}"/>
    <cellStyle name="Normal 2 6 7 3 6" xfId="6092" xr:uid="{316D5E8F-2975-4B24-90CF-8E297DA57F4F}"/>
    <cellStyle name="Normal 2 6 7 4" xfId="1760" xr:uid="{89E87AA8-00EE-4924-A77F-631B56C52B24}"/>
    <cellStyle name="Normal 2 6 7 4 2" xfId="2739" xr:uid="{98E44215-650D-4144-A647-3F4C95213680}"/>
    <cellStyle name="Normal 2 6 7 4 2 2" xfId="4675" xr:uid="{4B690DB8-EE90-4D1F-9029-C541B88FC306}"/>
    <cellStyle name="Normal 2 6 7 4 2 2 2" xfId="8921" xr:uid="{37391872-2502-4646-8400-7D54F3696AC6}"/>
    <cellStyle name="Normal 2 6 7 4 2 3" xfId="7304" xr:uid="{5B52617B-52ED-4A2B-B9CA-31794DE59463}"/>
    <cellStyle name="Normal 2 6 7 4 3" xfId="3529" xr:uid="{D5C22B3C-EB0E-4C43-8B56-DE982D8584B4}"/>
    <cellStyle name="Normal 2 6 7 4 3 2" xfId="7996" xr:uid="{CEDE16F8-1C0F-441B-8D3B-3A425AA6C407}"/>
    <cellStyle name="Normal 2 6 7 4 4" xfId="6325" xr:uid="{51980839-9077-47C0-A6D8-640586A91643}"/>
    <cellStyle name="Normal 2 6 7 5" xfId="1997" xr:uid="{91DF14E9-2E1F-455A-91E4-282F1CD5EACC}"/>
    <cellStyle name="Normal 2 6 7 5 2" xfId="5038" xr:uid="{0D530516-243B-47C7-A84F-314401E6A55E}"/>
    <cellStyle name="Normal 2 6 7 5 2 2" xfId="9264" xr:uid="{C52CCCDF-EB6B-4931-BD8A-AEC57840FC92}"/>
    <cellStyle name="Normal 2 6 7 5 3" xfId="3935" xr:uid="{761C1C5F-3E61-4D31-95B9-3A5CF229181F}"/>
    <cellStyle name="Normal 2 6 7 5 3 2" xfId="8384" xr:uid="{6F5DE6BC-DA3E-40AC-86D0-79716C901FCF}"/>
    <cellStyle name="Normal 2 6 7 5 4" xfId="6562" xr:uid="{E655CDB0-0AAB-4001-97C2-9AB83617F6A7}"/>
    <cellStyle name="Normal 2 6 7 6" xfId="4419" xr:uid="{F4D5A5E1-F254-4039-BDFB-C183402F65FB}"/>
    <cellStyle name="Normal 2 6 7 6 2" xfId="8696" xr:uid="{4E3AAEF9-2F31-47DA-B18E-A9FB54CB5874}"/>
    <cellStyle name="Normal 2 6 7 7" xfId="3102" xr:uid="{73D98081-4F8B-4A90-BFC7-13625D599E59}"/>
    <cellStyle name="Normal 2 6 7 7 2" xfId="7608" xr:uid="{281D3265-A806-4784-80D1-3211DE842A06}"/>
    <cellStyle name="Normal 2 6 7 8" xfId="5583" xr:uid="{9DB3FFAF-ECA5-4AA3-B28A-E76AEFFCBCC4}"/>
    <cellStyle name="Normal 2 6 8" xfId="1001" xr:uid="{229000EB-5FD6-4496-8AE5-D97AFE33AE1A}"/>
    <cellStyle name="Normal 2 6 8 2" xfId="1369" xr:uid="{F1298785-C848-4542-B66B-7D9B86F97BE9}"/>
    <cellStyle name="Normal 2 6 8 2 2" xfId="2349" xr:uid="{C5CE9C73-80CD-49D8-AEAD-CCF20728D961}"/>
    <cellStyle name="Normal 2 6 8 2 2 2" xfId="5051" xr:uid="{65AAE6B4-E4EB-415F-B563-7FD805888DDA}"/>
    <cellStyle name="Normal 2 6 8 2 2 2 2" xfId="9277" xr:uid="{58768E11-3EC7-488C-BB4F-60EF9ACFA725}"/>
    <cellStyle name="Normal 2 6 8 2 2 3" xfId="6914" xr:uid="{FE171D03-DCD4-43C1-A690-1D0BA9CDD0C9}"/>
    <cellStyle name="Normal 2 6 8 2 3" xfId="3543" xr:uid="{952803BC-0F62-4514-A40F-A3D025443A5F}"/>
    <cellStyle name="Normal 2 6 8 2 3 2" xfId="8010" xr:uid="{2D23C3A2-3CA5-4200-AC25-405E3E249029}"/>
    <cellStyle name="Normal 2 6 8 2 4" xfId="5935" xr:uid="{A53F12E4-568B-4ACF-B931-4BCA2604876E}"/>
    <cellStyle name="Normal 2 6 8 3" xfId="1603" xr:uid="{1B28D789-492C-4394-8043-FEE4CDCE9B6B}"/>
    <cellStyle name="Normal 2 6 8 3 2" xfId="2583" xr:uid="{5AA20C82-CD45-4BB2-A176-D7633DAF9B69}"/>
    <cellStyle name="Normal 2 6 8 3 2 2" xfId="7148" xr:uid="{42EC4947-8D71-4412-AF40-15826B5D035E}"/>
    <cellStyle name="Normal 2 6 8 3 3" xfId="3949" xr:uid="{06DE6FB2-F011-4225-AB2D-E77F3CC52AD5}"/>
    <cellStyle name="Normal 2 6 8 3 3 2" xfId="8398" xr:uid="{9D3C60B8-7730-42E0-97AC-6B5AE6DAA346}"/>
    <cellStyle name="Normal 2 6 8 3 4" xfId="6169" xr:uid="{20AB2473-42DA-4778-9B69-2F9C7B0892F6}"/>
    <cellStyle name="Normal 2 6 8 4" xfId="1837" xr:uid="{7249D45C-53D8-42C1-8860-DA33E6F417A5}"/>
    <cellStyle name="Normal 2 6 8 4 2" xfId="2816" xr:uid="{99B8DB6B-0FC2-415C-8913-BBC5FD0AAD59}"/>
    <cellStyle name="Normal 2 6 8 4 2 2" xfId="7381" xr:uid="{8FAF9DF0-FC95-4952-BB3C-EDC3E5BE0314}"/>
    <cellStyle name="Normal 2 6 8 4 3" xfId="4524" xr:uid="{A905C946-7573-411B-9B9E-48A1C8CC0EF3}"/>
    <cellStyle name="Normal 2 6 8 4 3 2" xfId="8790" xr:uid="{26F68E2E-4DD8-493C-BF71-C0FC1A07ED85}"/>
    <cellStyle name="Normal 2 6 8 4 4" xfId="6402" xr:uid="{C0792415-4E1F-457A-975A-A888E56F6F18}"/>
    <cellStyle name="Normal 2 6 8 5" xfId="2074" xr:uid="{FE6939F1-F873-484A-B8D6-F97644256410}"/>
    <cellStyle name="Normal 2 6 8 5 2" xfId="6639" xr:uid="{1EFB87CD-803C-4BF1-A318-BF39A35A7B9B}"/>
    <cellStyle name="Normal 2 6 8 6" xfId="3127" xr:uid="{5DE856BF-DF5A-4404-8CFE-9312CFD1EF07}"/>
    <cellStyle name="Normal 2 6 8 6 2" xfId="7622" xr:uid="{75B05779-57BD-4D97-92C5-242687262E82}"/>
    <cellStyle name="Normal 2 6 8 7" xfId="5660" xr:uid="{D4723A53-B709-469C-8E04-EAE8CDC1BC10}"/>
    <cellStyle name="Normal 2 6 9" xfId="1149" xr:uid="{A5E71120-E6B6-4E7E-A23F-C1650041DB23}"/>
    <cellStyle name="Normal 2 6 9 2" xfId="2158" xr:uid="{817FDF9C-878E-42D2-A7E4-109B3F73CA9A}"/>
    <cellStyle name="Normal 2 6 9 2 2" xfId="5156" xr:uid="{8D12BCD4-3BD0-4B3A-BD3C-DB026480C15E}"/>
    <cellStyle name="Normal 2 6 9 2 2 2" xfId="9381" xr:uid="{5040D865-C011-4861-B04C-6035FE963555}"/>
    <cellStyle name="Normal 2 6 9 2 3" xfId="3648" xr:uid="{F216D0DD-3512-464D-9635-CC757D1B5C84}"/>
    <cellStyle name="Normal 2 6 9 2 3 2" xfId="8115" xr:uid="{D2D34349-A886-4BC4-A6C9-6A4E5DF8D4CE}"/>
    <cellStyle name="Normal 2 6 9 2 4" xfId="6723" xr:uid="{C216FBDE-CEEF-4C72-9C47-C1ACEC8F2F49}"/>
    <cellStyle name="Normal 2 6 9 3" xfId="4054" xr:uid="{8FE7551C-DDF8-404F-BE1B-9361E4528511}"/>
    <cellStyle name="Normal 2 6 9 3 2" xfId="8503" xr:uid="{85BBE299-9649-43C3-A015-551ACF48A610}"/>
    <cellStyle name="Normal 2 6 9 4" xfId="4772" xr:uid="{835C6405-06E3-40F2-9988-7296434B01CE}"/>
    <cellStyle name="Normal 2 6 9 4 2" xfId="9018" xr:uid="{ACCADCCD-9278-4928-88BF-2654BD73E34C}"/>
    <cellStyle name="Normal 2 6 9 5" xfId="3232" xr:uid="{B13F5733-495E-48D0-AF25-4BC2A4B872BF}"/>
    <cellStyle name="Normal 2 6 9 5 2" xfId="7727" xr:uid="{02FFBE30-2AF2-4E8C-9C1E-E6C0F9272839}"/>
    <cellStyle name="Normal 2 6 9 6" xfId="5744" xr:uid="{08D6E228-AA7E-42E9-A16A-0606CB46CC27}"/>
    <cellStyle name="Normal 2 7" xfId="418" xr:uid="{8EF1B0A8-6162-4E45-9244-2282D1CEA302}"/>
    <cellStyle name="Normal 2 7 2" xfId="419" xr:uid="{63AB487C-A83A-4190-BABF-44BF41522903}"/>
    <cellStyle name="Normal 2 7 2 2" xfId="3020" xr:uid="{74BD8249-1723-4384-A99A-85E8703D497E}"/>
    <cellStyle name="Normal 2 7 2 3" xfId="2983" xr:uid="{7CB3D28F-B5DF-4EB7-ACE9-7037D910C358}"/>
    <cellStyle name="Normal 2 7 3" xfId="420" xr:uid="{B21A9846-05CD-437B-BC24-CCD72EEDF7F3}"/>
    <cellStyle name="Normal 2 7 4" xfId="3019" xr:uid="{F55F904E-A3D9-4EDE-B17D-DD1491B56834}"/>
    <cellStyle name="Normal 2 7 5" xfId="2982" xr:uid="{A541D92D-37C0-43EF-A298-2059FEBBC9A9}"/>
    <cellStyle name="Normal 2 7 6" xfId="5001" xr:uid="{4E47A0B3-07CA-4C70-BB92-E6B2C18EDFC7}"/>
    <cellStyle name="Normal 2 8" xfId="421" xr:uid="{6683CEF0-1DA4-463F-8F15-D81E94ADD47B}"/>
    <cellStyle name="Normal 2 8 2" xfId="422" xr:uid="{91B549AB-1E0A-434E-A315-4B4BD2C83368}"/>
    <cellStyle name="Normal 2 8 3" xfId="423" xr:uid="{D854C034-E0B7-4344-BD7B-75C4FD4C3FCE}"/>
    <cellStyle name="Normal 2 9" xfId="424" xr:uid="{6AC6ADF8-B6BA-4343-AC87-50F10929D2C6}"/>
    <cellStyle name="Normal 2 9 2" xfId="425" xr:uid="{891F9164-4196-4F56-B2AA-D717D8675B52}"/>
    <cellStyle name="Normal 2_Sheet2" xfId="2953" xr:uid="{D3B25949-C03F-4A73-81B4-AC69478F22C1}"/>
    <cellStyle name="Normal 20" xfId="426" xr:uid="{AAF34EEB-F210-4E1D-8CA8-0B471FC6FD63}"/>
    <cellStyle name="Normal 20 2" xfId="620" xr:uid="{9A9A11A7-9400-4BDF-95EF-967DE7CFEB58}"/>
    <cellStyle name="Normal 21" xfId="427" xr:uid="{EE9DEB5A-94BF-4574-AB26-B72AADFCFB49}"/>
    <cellStyle name="Normal 21 2" xfId="619" xr:uid="{0578C400-1BBF-430E-9DC1-DBAE95A43421}"/>
    <cellStyle name="Normal 22" xfId="428" xr:uid="{0A786A2A-66D8-4C00-BA9F-49F81D906EFC}"/>
    <cellStyle name="Normal 22 2" xfId="618" xr:uid="{A285E8A0-6057-42D4-91F7-E705F8E52A52}"/>
    <cellStyle name="Normal 23" xfId="429" xr:uid="{C4BE00F4-AD2E-4F9C-98CA-69FBBCCF7EDF}"/>
    <cellStyle name="Normal 23 2" xfId="617" xr:uid="{86D17EEB-1537-4B4D-BFA4-32994047F09D}"/>
    <cellStyle name="Normal 24" xfId="430" xr:uid="{72D25125-4D1B-43A3-AE3D-6EE3A6C33DAF}"/>
    <cellStyle name="Normal 24 2" xfId="616" xr:uid="{7C025496-4C59-4F37-B5A0-AB0CE87E2381}"/>
    <cellStyle name="Normal 25" xfId="431" xr:uid="{BEF7EBDE-796B-4764-8DD3-918D0B302CCA}"/>
    <cellStyle name="Normal 25 2" xfId="615" xr:uid="{B6541ECD-40D7-484A-8C30-0BBEF0848088}"/>
    <cellStyle name="Normal 26" xfId="432" xr:uid="{6B3D89EA-F75D-4DC1-9E85-F7C5AFCA6C53}"/>
    <cellStyle name="Normal 26 2" xfId="614" xr:uid="{5002B20D-58AC-4FA7-A9CE-6FA410AE948D}"/>
    <cellStyle name="Normal 27" xfId="433" xr:uid="{49D369B5-460A-4930-BCAD-B33EE10DA56D}"/>
    <cellStyle name="Normal 27 2" xfId="613" xr:uid="{A66FEE86-1D16-4C03-951C-71BE15C00DCC}"/>
    <cellStyle name="Normal 28" xfId="434" xr:uid="{E043ACFF-B5E2-4F3E-AFF2-852A88505651}"/>
    <cellStyle name="Normal 28 2" xfId="612" xr:uid="{6CC1E9A4-CFCE-4BDB-825F-668FB4038F95}"/>
    <cellStyle name="Normal 29" xfId="435" xr:uid="{9DAC5582-313D-4121-9B8E-B9D7B97481AA}"/>
    <cellStyle name="Normal 29 2" xfId="611" xr:uid="{F48BAA99-23EA-4F15-BCA0-54EFAD9764B3}"/>
    <cellStyle name="Normal 3" xfId="4" xr:uid="{00000000-0005-0000-0000-000005000000}"/>
    <cellStyle name="Normal 3 10" xfId="974" xr:uid="{A39C96B0-919E-483D-AEB9-6042271A399A}"/>
    <cellStyle name="Normal 3 10 2" xfId="1342" xr:uid="{CBC4CBDE-1696-4454-BA6D-1161587A62E7}"/>
    <cellStyle name="Normal 3 10 2 2" xfId="2322" xr:uid="{7F0DFCA3-19A9-4AB6-9E1A-22885D461295}"/>
    <cellStyle name="Normal 3 10 2 2 2" xfId="4539" xr:uid="{37ED5D68-E0BE-466B-B668-01629A25A194}"/>
    <cellStyle name="Normal 3 10 2 2 2 2" xfId="8800" xr:uid="{820F27AA-34AF-42D3-85B5-360F7826BB63}"/>
    <cellStyle name="Normal 3 10 2 2 3" xfId="6887" xr:uid="{874E2B0B-D0A6-47E8-B34B-9E235CB7F592}"/>
    <cellStyle name="Normal 3 10 2 3" xfId="3428" xr:uid="{EF128747-279F-44CC-8CDD-3CF591F6D405}"/>
    <cellStyle name="Normal 3 10 2 3 2" xfId="7896" xr:uid="{C3532D95-6C9B-40AF-A57C-D972CACAC935}"/>
    <cellStyle name="Normal 3 10 2 4" xfId="5908" xr:uid="{B7AFF174-9985-4C27-8C61-C199604DEB2A}"/>
    <cellStyle name="Normal 3 10 3" xfId="1576" xr:uid="{5A70E474-901A-451E-917B-919D9B43E943}"/>
    <cellStyle name="Normal 3 10 3 2" xfId="2556" xr:uid="{4719F540-3DEE-4996-A12F-EBD14CC49213}"/>
    <cellStyle name="Normal 3 10 3 2 2" xfId="4890" xr:uid="{5CEA3D2F-51D4-462D-A2F7-5F0C9441F828}"/>
    <cellStyle name="Normal 3 10 3 2 2 2" xfId="9122" xr:uid="{4D0D9515-55AF-4D7E-A6B0-69F42FA257FE}"/>
    <cellStyle name="Normal 3 10 3 2 3" xfId="7121" xr:uid="{18704DD4-F8FE-4CDE-BBF6-92B60B0A4D80}"/>
    <cellStyle name="Normal 3 10 3 3" xfId="3835" xr:uid="{39174F46-772B-4515-A403-776711A46C05}"/>
    <cellStyle name="Normal 3 10 3 3 2" xfId="8284" xr:uid="{D65200E3-BAF9-4193-8CC2-70BD63949ED0}"/>
    <cellStyle name="Normal 3 10 3 4" xfId="6142" xr:uid="{D7484317-E0C1-46C2-BEAB-E26F8FC9A175}"/>
    <cellStyle name="Normal 3 10 4" xfId="1810" xr:uid="{6A268ACD-DBC1-47A8-91DC-4B6435CD910A}"/>
    <cellStyle name="Normal 3 10 4 2" xfId="2789" xr:uid="{281B4C79-14AF-467E-B43E-1F4FC1AB8610}"/>
    <cellStyle name="Normal 3 10 4 2 2" xfId="7354" xr:uid="{B5C8467E-8312-4DFD-93A4-14DCEF6DE51D}"/>
    <cellStyle name="Normal 3 10 4 3" xfId="4399" xr:uid="{1628D1D9-98C5-4218-8AC7-032BA598FC04}"/>
    <cellStyle name="Normal 3 10 4 3 2" xfId="8676" xr:uid="{CECAA7FD-ACC7-4CB8-BFEB-508FD98057C9}"/>
    <cellStyle name="Normal 3 10 4 4" xfId="6375" xr:uid="{6EC6E05C-2818-48D8-9F0E-5D4071597411}"/>
    <cellStyle name="Normal 3 10 5" xfId="2047" xr:uid="{16E1DB1D-8B89-4AC6-86AB-0EAD9D223C4D}"/>
    <cellStyle name="Normal 3 10 5 2" xfId="6612" xr:uid="{6B1EFCB1-55B9-4EE8-8334-B5B49C78CCB3}"/>
    <cellStyle name="Normal 3 10 6" xfId="2946" xr:uid="{A3CF7A3D-4744-47C3-87BB-4D78A3BB9C50}"/>
    <cellStyle name="Normal 3 10 6 2" xfId="7508" xr:uid="{221ED73C-1201-4B5A-9CB7-5C71DC3104F7}"/>
    <cellStyle name="Normal 3 10 7" xfId="5633" xr:uid="{11AE02C6-B66F-4987-99D4-BC0287F65DBF}"/>
    <cellStyle name="Normal 3 11" xfId="27" xr:uid="{EE5FBE00-9656-49E1-A24D-617E2318F8AC}"/>
    <cellStyle name="Normal 3 11 2" xfId="1891" xr:uid="{578428E4-2831-4288-B582-6C84E2D60FC9}"/>
    <cellStyle name="Normal 3 11 2 2" xfId="4472" xr:uid="{6587CBCF-FB1D-4274-AF41-7511F75005D2}"/>
    <cellStyle name="Normal 3 11 2 2 2" xfId="8749" xr:uid="{B3B18C54-0961-48E1-99B3-2EA41A545A72}"/>
    <cellStyle name="Normal 3 11 2 3" xfId="6456" xr:uid="{CAFA84D5-6E72-4247-B13E-085FD775783F}"/>
    <cellStyle name="Normal 3 11 3" xfId="2872" xr:uid="{22AF791A-70D5-40FC-B38C-87D09C81372C}"/>
    <cellStyle name="Normal 3 11 3 2" xfId="7437" xr:uid="{8689B923-41DB-4778-8873-62A31328E2AB}"/>
    <cellStyle name="Normal 3 11 4" xfId="5477" xr:uid="{DC2D8D2B-A3F1-4B25-B407-B52EAC0629F7}"/>
    <cellStyle name="Normal 3 12" xfId="1180" xr:uid="{B5541A0B-8CCE-4346-ADE3-070FC93AAF4A}"/>
    <cellStyle name="Normal 3 12 2" xfId="2166" xr:uid="{9CDD2A7A-5029-43F1-9E0A-50FA46FA4440}"/>
    <cellStyle name="Normal 3 12 2 2" xfId="4852" xr:uid="{318A26FA-220E-41CE-A18B-0926F91DE002}"/>
    <cellStyle name="Normal 3 12 2 2 2" xfId="9087" xr:uid="{8C5F45EA-4C19-4025-B4B5-2F74CF702A9C}"/>
    <cellStyle name="Normal 3 12 2 3" xfId="6731" xr:uid="{98AC565E-B89C-4918-A3C8-D92ECB71841F}"/>
    <cellStyle name="Normal 3 12 3" xfId="3336" xr:uid="{83870C9E-FDEF-47D0-8EAF-7772AFC12358}"/>
    <cellStyle name="Normal 3 12 3 2" xfId="7825" xr:uid="{1B249A86-DFC6-4A7F-A922-FC5EA96BA751}"/>
    <cellStyle name="Normal 3 12 4" xfId="5752" xr:uid="{8FC4C02D-8F0F-4CB9-9A02-33C797853FE9}"/>
    <cellStyle name="Normal 3 13" xfId="1420" xr:uid="{8387C82E-A3B1-4081-A06A-9BA094EBC89E}"/>
    <cellStyle name="Normal 3 13 2" xfId="2400" xr:uid="{0DEA22A7-DFDD-4524-8E0E-E6A38281344C}"/>
    <cellStyle name="Normal 3 13 2 2" xfId="6965" xr:uid="{8BA288F1-BAE8-4EF1-827F-F119ADB648CC}"/>
    <cellStyle name="Normal 3 13 3" xfId="3760" xr:uid="{F2467B54-FDC4-43D1-BAA8-1052996C7CC9}"/>
    <cellStyle name="Normal 3 13 3 2" xfId="8213" xr:uid="{F4329B9F-1FCA-41D2-8098-A64102E4174B}"/>
    <cellStyle name="Normal 3 13 4" xfId="5986" xr:uid="{D6465D63-FFD2-4A48-878A-13B0B4172CBB}"/>
    <cellStyle name="Normal 3 14" xfId="24" xr:uid="{A48F659D-9B11-4E88-B347-C518005A6ED1}"/>
    <cellStyle name="Normal 3 14 2" xfId="4171" xr:uid="{B1AB8FEF-883C-4E4D-89DC-F78234114001}"/>
    <cellStyle name="Normal 3 14 2 2" xfId="8601" xr:uid="{CF05A2D2-6CDE-4F25-A07C-5D8E4D16C3A3}"/>
    <cellStyle name="Normal 3 14 3" xfId="5474" xr:uid="{8DC359AD-4ABF-49E9-B2C6-460933876D58}"/>
    <cellStyle name="Normal 3 15" xfId="1888" xr:uid="{82ECE1C1-355D-4130-889D-E94AD3D0A8FC}"/>
    <cellStyle name="Normal 3 15 2" xfId="6453" xr:uid="{BBF29395-1AC7-49D0-8B5C-E7DFBEAB3758}"/>
    <cellStyle name="Normal 3 16" xfId="2867" xr:uid="{509793BF-8E5C-4EED-AE07-D2D07714CFBA}"/>
    <cellStyle name="Normal 3 16 2" xfId="7432" xr:uid="{8AB06C72-C7C1-44C1-849B-264775D79D11}"/>
    <cellStyle name="Normal 3 17" xfId="19" xr:uid="{CBCAB783-CED3-4212-870B-771687AA1FC9}"/>
    <cellStyle name="Normal 3 18" xfId="5469" xr:uid="{D35B1177-99D7-4B40-A531-DBA2A40DFDAC}"/>
    <cellStyle name="Normal 3 2" xfId="14" xr:uid="{00000000-0005-0000-0000-000006000000}"/>
    <cellStyle name="Normal 3 2 10" xfId="1889" xr:uid="{829963A4-C8FE-46C8-8065-DED4FB237F63}"/>
    <cellStyle name="Normal 3 2 10 2" xfId="6454" xr:uid="{C70F95EC-4FE8-4EEB-BB32-B611A19AD2E7}"/>
    <cellStyle name="Normal 3 2 11" xfId="2868" xr:uid="{457CD623-83EB-4952-86FC-A036BC2914DB}"/>
    <cellStyle name="Normal 3 2 11 2" xfId="7433" xr:uid="{7BC57D7A-07E9-4A02-89A6-8537C853D7A4}"/>
    <cellStyle name="Normal 3 2 12" xfId="20" xr:uid="{36EC72AB-ECA9-4D2C-90A9-343AC2F80F46}"/>
    <cellStyle name="Normal 3 2 13" xfId="5470" xr:uid="{B58919CA-8ABB-493F-AC05-315E3E8204F5}"/>
    <cellStyle name="Normal 3 2 2" xfId="18" xr:uid="{00000000-0005-0000-0000-000007000000}"/>
    <cellStyle name="Normal 3 2 2 2" xfId="439" xr:uid="{9C333368-0BD6-4329-BD0C-EB41A07AEC75}"/>
    <cellStyle name="Normal 3 2 2 3" xfId="438" xr:uid="{3260669B-F2C2-48E0-8EE7-E16BA5582BFE}"/>
    <cellStyle name="Normal 3 2 2 4" xfId="2871" xr:uid="{D2EA0E2F-BE85-4380-AEA3-31FA1A53270D}"/>
    <cellStyle name="Normal 3 2 2 4 2" xfId="7436" xr:uid="{0C37A46D-ABA0-424E-A465-B81B2B0C4064}"/>
    <cellStyle name="Normal 3 2 2 5" xfId="23" xr:uid="{FE6788D2-4C01-4FE8-AA79-FCD9BE29A6FC}"/>
    <cellStyle name="Normal 3 2 2 6" xfId="5473" xr:uid="{2BD1AA9E-0139-4B44-B029-356A38460EDD}"/>
    <cellStyle name="Normal 3 2 3" xfId="610" xr:uid="{AC78476D-C80E-419B-ACDE-40445DAAD20F}"/>
    <cellStyle name="Normal 3 2 4" xfId="437" xr:uid="{56CE8A95-A18E-49A1-9A57-1ACFF077701C}"/>
    <cellStyle name="Normal 3 2 4 2" xfId="4594" xr:uid="{C43B5E20-F6EE-4315-BDF1-9987829B1AD0}"/>
    <cellStyle name="Normal 3 2 4 3" xfId="4175" xr:uid="{20D19246-0741-40D0-BDAD-B285D7090214}"/>
    <cellStyle name="Normal 3 2 4 3 2" xfId="8605" xr:uid="{7BE50A90-1B36-409A-9A26-58069C5F2FA4}"/>
    <cellStyle name="Normal 3 2 5" xfId="28" xr:uid="{6A022702-0032-4857-943A-725957B2DA09}"/>
    <cellStyle name="Normal 3 2 5 2" xfId="1892" xr:uid="{F79EE842-8987-4ECA-9794-93A1D5AD18DC}"/>
    <cellStyle name="Normal 3 2 5 2 2" xfId="4618" xr:uid="{3BC9568C-B855-496F-9C01-533B1D92CE4D}"/>
    <cellStyle name="Normal 3 2 5 2 2 2" xfId="8866" xr:uid="{6EBEAB84-1598-4020-93FD-EAD3B63CD41A}"/>
    <cellStyle name="Normal 3 2 5 2 3" xfId="3429" xr:uid="{061CDDCF-FAB4-457E-B26A-461B8DD76159}"/>
    <cellStyle name="Normal 3 2 5 2 3 2" xfId="7897" xr:uid="{3A0B10B9-9847-4B63-A37C-E94004CE04E9}"/>
    <cellStyle name="Normal 3 2 5 2 4" xfId="6457" xr:uid="{0F31B4BB-400C-4AD0-A84A-51FFB1B75AB9}"/>
    <cellStyle name="Normal 3 2 5 3" xfId="3836" xr:uid="{4E1F2B1B-4F6C-4ABC-AF44-CD892D035782}"/>
    <cellStyle name="Normal 3 2 5 3 2" xfId="4910" xr:uid="{9F2C1834-8967-47B2-B2E2-8379A3780A62}"/>
    <cellStyle name="Normal 3 2 5 3 2 2" xfId="9140" xr:uid="{CED90074-BA22-4F30-AF44-6286EA6BE70C}"/>
    <cellStyle name="Normal 3 2 5 3 3" xfId="8285" xr:uid="{125A109C-701E-440B-B157-FE7EEDF2B546}"/>
    <cellStyle name="Normal 3 2 5 4" xfId="4400" xr:uid="{E9ABBDF6-9547-4FA0-8D77-FA41EACD1437}"/>
    <cellStyle name="Normal 3 2 5 4 2" xfId="8677" xr:uid="{0797B80A-DE9B-4F52-AC88-05D592AB1841}"/>
    <cellStyle name="Normal 3 2 5 5" xfId="2947" xr:uid="{7767D08F-C286-4CD7-95B7-6B59B47F20F9}"/>
    <cellStyle name="Normal 3 2 5 5 2" xfId="7509" xr:uid="{69CAACB0-F2D2-462E-8F69-EEE463ED2C6E}"/>
    <cellStyle name="Normal 3 2 5 6" xfId="5478" xr:uid="{31BAD011-86E2-4B15-9146-A189C2FC69A4}"/>
    <cellStyle name="Normal 3 2 6" xfId="1181" xr:uid="{4096B6B8-5180-4CAC-A495-F886342AF90B}"/>
    <cellStyle name="Normal 3 2 6 2" xfId="2167" xr:uid="{B4D5A285-684F-4CAC-87AC-69AF9BB55330}"/>
    <cellStyle name="Normal 3 2 6 2 2" xfId="4474" xr:uid="{59866163-6C5E-4AB0-9C2F-42C0E8A75F3F}"/>
    <cellStyle name="Normal 3 2 6 2 2 2" xfId="8751" xr:uid="{ECAB9217-A564-464A-B5DB-3D957E08C41D}"/>
    <cellStyle name="Normal 3 2 6 2 3" xfId="6732" xr:uid="{516B9366-37BD-4078-BAC2-812F133C7EEF}"/>
    <cellStyle name="Normal 3 2 6 3" xfId="2873" xr:uid="{59ACA703-2BF4-4ACE-9103-BD58EEAA7BBC}"/>
    <cellStyle name="Normal 3 2 6 3 2" xfId="7438" xr:uid="{3E7E16F5-7FED-4F43-A591-4455BA968010}"/>
    <cellStyle name="Normal 3 2 6 4" xfId="5753" xr:uid="{69ED47DE-3F46-4AEB-ABB3-7D65FF6A5705}"/>
    <cellStyle name="Normal 3 2 7" xfId="1421" xr:uid="{94F21768-74EC-42C1-8A0A-61700E7D94C2}"/>
    <cellStyle name="Normal 3 2 7 2" xfId="2401" xr:uid="{61F85AB6-88C5-4A78-B093-A560B36CA252}"/>
    <cellStyle name="Normal 3 2 7 2 2" xfId="4853" xr:uid="{B8168D71-3059-433E-9219-5474333CA1C8}"/>
    <cellStyle name="Normal 3 2 7 2 2 2" xfId="9088" xr:uid="{C1BBA479-FCCF-4467-94D0-7A7B3A97DBBE}"/>
    <cellStyle name="Normal 3 2 7 2 3" xfId="6966" xr:uid="{8B6D9610-87E0-4CFC-B13D-98197D3C10F3}"/>
    <cellStyle name="Normal 3 2 7 3" xfId="3337" xr:uid="{BA623A9D-3031-4BA0-9D6B-50D061144FA3}"/>
    <cellStyle name="Normal 3 2 7 3 2" xfId="7826" xr:uid="{09BCBB03-B71D-4087-BF81-61D17D80FD96}"/>
    <cellStyle name="Normal 3 2 7 4" xfId="5987" xr:uid="{31B4B386-7AB8-45F1-800E-E91DA63C3C1A}"/>
    <cellStyle name="Normal 3 2 8" xfId="1718" xr:uid="{AD86C2DB-58AA-482F-B59B-97961A2F1567}"/>
    <cellStyle name="Normal 3 2 8 2" xfId="2697" xr:uid="{0A2847E5-7107-4B89-869A-B4BFE1AE772E}"/>
    <cellStyle name="Normal 3 2 8 2 2" xfId="7262" xr:uid="{35296EE5-7E64-4134-8537-BEE93D35DC15}"/>
    <cellStyle name="Normal 3 2 8 3" xfId="3761" xr:uid="{29772CB4-B05F-48FB-A3D2-C1114BD1B1CA}"/>
    <cellStyle name="Normal 3 2 8 3 2" xfId="8214" xr:uid="{8B182D2E-2130-41AB-AAA0-B489662F2E55}"/>
    <cellStyle name="Normal 3 2 8 4" xfId="6283" xr:uid="{A5D25ADB-F88D-472C-90D5-67FEEA5F6976}"/>
    <cellStyle name="Normal 3 2 9" xfId="25" xr:uid="{FF229638-2FA2-45F4-BD75-DAA800DB5CF8}"/>
    <cellStyle name="Normal 3 2 9 2" xfId="4172" xr:uid="{14D2807E-0677-454A-9C8D-E6CECC4E82BB}"/>
    <cellStyle name="Normal 3 2 9 2 2" xfId="8602" xr:uid="{5820F75C-EA11-49A1-BCF6-1045BF738EAF}"/>
    <cellStyle name="Normal 3 2 9 3" xfId="5475" xr:uid="{BC78C2AC-55D8-4C92-B7BE-05F445E1EA9A}"/>
    <cellStyle name="Normal 3 3" xfId="440" xr:uid="{7D0D357A-B655-4239-B46D-28954CA405DC}"/>
    <cellStyle name="Normal 3 3 2" xfId="609" xr:uid="{BD1E2ECC-C777-480D-9263-C447BB919CE3}"/>
    <cellStyle name="Normal 3 4" xfId="441" xr:uid="{E10E3649-47BB-40C3-8CE2-355D17938D11}"/>
    <cellStyle name="Normal 3 4 2" xfId="442" xr:uid="{6C8EAD98-94AB-4838-8DA3-7F08973CAA04}"/>
    <cellStyle name="Normal 3 4 3" xfId="443" xr:uid="{6DCF1F55-19B9-4F6A-B366-940D2782CD88}"/>
    <cellStyle name="Normal 3 4 3 10" xfId="2907" xr:uid="{3A7EB4F0-DFFE-4F20-A9FB-218137380C66}"/>
    <cellStyle name="Normal 3 4 3 10 2" xfId="7469" xr:uid="{065E4ADC-7F41-44B8-A7BA-6037B5F05088}"/>
    <cellStyle name="Normal 3 4 3 11" xfId="5509" xr:uid="{BA6D40D3-3050-4216-AD7D-F0EF4AAAA989}"/>
    <cellStyle name="Normal 3 4 3 2" xfId="858" xr:uid="{7E0A9F98-2955-420A-9CFA-AB5257FB6B84}"/>
    <cellStyle name="Normal 3 4 3 2 2" xfId="964" xr:uid="{49CF7673-D402-414A-BD66-1BFDFE27A11E}"/>
    <cellStyle name="Normal 3 4 3 2 2 2" xfId="1337" xr:uid="{27F23DFB-DA69-47AA-BA08-F9DF39DA0927}"/>
    <cellStyle name="Normal 3 4 3 2 2 2 2" xfId="2317" xr:uid="{E605C4C1-2EF3-4735-96E9-128453699F28}"/>
    <cellStyle name="Normal 3 4 3 2 2 2 2 2" xfId="4726" xr:uid="{283A8AB1-DED8-4605-B33C-1F38722A49FC}"/>
    <cellStyle name="Normal 3 4 3 2 2 2 2 2 2" xfId="8972" xr:uid="{A704F06B-CE61-48B5-A56E-8591C3512E0C}"/>
    <cellStyle name="Normal 3 4 3 2 2 2 2 3" xfId="6882" xr:uid="{2B03BE96-D44D-465D-82F4-54293C1DEE00}"/>
    <cellStyle name="Normal 3 4 3 2 2 2 3" xfId="3602" xr:uid="{D505EE44-84CF-4C52-AFBC-7D5A0FED9954}"/>
    <cellStyle name="Normal 3 4 3 2 2 2 3 2" xfId="8069" xr:uid="{71AB4652-ACF1-46D2-82AF-CCB03CC22493}"/>
    <cellStyle name="Normal 3 4 3 2 2 2 4" xfId="5903" xr:uid="{4348D7CB-A9D6-408E-B65D-E0B7A7887B2C}"/>
    <cellStyle name="Normal 3 4 3 2 2 3" xfId="1571" xr:uid="{1D3C763F-B6B1-49DC-910B-6CAD8C7D224C}"/>
    <cellStyle name="Normal 3 4 3 2 2 3 2" xfId="2551" xr:uid="{5B696ED2-6E35-4C16-A17A-B97901D43EAC}"/>
    <cellStyle name="Normal 3 4 3 2 2 3 2 2" xfId="5110" xr:uid="{CF9B413B-8602-48F1-A12C-7E06B247F27E}"/>
    <cellStyle name="Normal 3 4 3 2 2 3 2 2 2" xfId="9335" xr:uid="{6A9445DD-DC70-4351-9C4F-30D82E8AAF16}"/>
    <cellStyle name="Normal 3 4 3 2 2 3 2 3" xfId="7116" xr:uid="{FA06B6CA-EEC9-4BE1-B925-899BAC966EFB}"/>
    <cellStyle name="Normal 3 4 3 2 2 3 3" xfId="4008" xr:uid="{F6E73A3A-BF66-4A7B-BBBF-7CD56AC75B06}"/>
    <cellStyle name="Normal 3 4 3 2 2 3 3 2" xfId="8457" xr:uid="{FE26F751-7C13-4FFB-9B99-B0A52790C0B5}"/>
    <cellStyle name="Normal 3 4 3 2 2 3 4" xfId="6137" xr:uid="{7AA76C5D-A2C4-42C4-B953-8ECC07181DCD}"/>
    <cellStyle name="Normal 3 4 3 2 2 4" xfId="1805" xr:uid="{B155CCC7-AAE3-41BD-B0C4-091DF15302C6}"/>
    <cellStyle name="Normal 3 4 3 2 2 4 2" xfId="2784" xr:uid="{168377C3-9D4F-4C83-B31D-B603025F0563}"/>
    <cellStyle name="Normal 3 4 3 2 2 4 2 2" xfId="7349" xr:uid="{6D362B6F-5269-4435-B6F9-ECAF58C0D0A7}"/>
    <cellStyle name="Normal 3 4 3 2 2 4 3" xfId="4450" xr:uid="{52BEBAA8-25C9-4929-AD8A-23577E8F6B12}"/>
    <cellStyle name="Normal 3 4 3 2 2 4 3 2" xfId="8727" xr:uid="{F8788149-A5B1-4BF4-9C29-8D44D56CF8A1}"/>
    <cellStyle name="Normal 3 4 3 2 2 4 4" xfId="6370" xr:uid="{FE998073-2F2B-4B34-A4EB-BC5031EBBDA1}"/>
    <cellStyle name="Normal 3 4 3 2 2 5" xfId="2042" xr:uid="{B97EB9B7-BFCA-4213-B99B-D0FF768787B2}"/>
    <cellStyle name="Normal 3 4 3 2 2 5 2" xfId="6607" xr:uid="{B6CCCB3E-DAF6-4B3D-9D09-36AE8021479B}"/>
    <cellStyle name="Normal 3 4 3 2 2 6" xfId="3186" xr:uid="{61D28391-7A65-4B0D-8D1D-05FF8D5558A9}"/>
    <cellStyle name="Normal 3 4 3 2 2 6 2" xfId="7681" xr:uid="{417D7BB8-6CD9-4B62-B1E9-E3A78212206E}"/>
    <cellStyle name="Normal 3 4 3 2 2 7" xfId="5628" xr:uid="{D393ED14-0A92-4032-A6AD-E1B54F297144}"/>
    <cellStyle name="Normal 3 4 3 2 3" xfId="1046" xr:uid="{1C9D1CA4-B606-4FC4-91C0-78D286E63159}"/>
    <cellStyle name="Normal 3 4 3 2 3 2" xfId="1414" xr:uid="{0D64772C-9377-4884-9E85-30D27CBB75A1}"/>
    <cellStyle name="Normal 3 4 3 2 3 2 2" xfId="2394" xr:uid="{2BBB19C2-B6DA-4532-9936-51BE10C20BE1}"/>
    <cellStyle name="Normal 3 4 3 2 3 2 2 2" xfId="5215" xr:uid="{73E9F023-E88C-49D8-BA72-9CD428B2BBDE}"/>
    <cellStyle name="Normal 3 4 3 2 3 2 2 2 2" xfId="9440" xr:uid="{9DB2ECD7-1BB9-4FED-B491-CDAF24A1469D}"/>
    <cellStyle name="Normal 3 4 3 2 3 2 2 3" xfId="6959" xr:uid="{D4701647-DE4B-40E3-88B0-A089F1089779}"/>
    <cellStyle name="Normal 3 4 3 2 3 2 3" xfId="3707" xr:uid="{D6BEC251-EC0B-483A-9D82-AB5F5E8582C5}"/>
    <cellStyle name="Normal 3 4 3 2 3 2 3 2" xfId="8174" xr:uid="{AE0994F8-F78B-4C36-BE51-8CDA82DE0529}"/>
    <cellStyle name="Normal 3 4 3 2 3 2 4" xfId="5980" xr:uid="{627AF045-F5D9-4835-A3BC-C6740DF91775}"/>
    <cellStyle name="Normal 3 4 3 2 3 3" xfId="1648" xr:uid="{E06560A2-74EB-45C2-A9DA-DE5B7F6FD264}"/>
    <cellStyle name="Normal 3 4 3 2 3 3 2" xfId="2628" xr:uid="{2579BD46-5585-4124-BD26-910203649B19}"/>
    <cellStyle name="Normal 3 4 3 2 3 3 2 2" xfId="7193" xr:uid="{ECF993BB-45E7-4BAD-BE2E-74B71DDCD208}"/>
    <cellStyle name="Normal 3 4 3 2 3 3 3" xfId="4113" xr:uid="{985F40C1-6050-4B04-9783-4B99556C9915}"/>
    <cellStyle name="Normal 3 4 3 2 3 3 3 2" xfId="8562" xr:uid="{BB26B9C9-6A2A-44FB-AD9F-F6DEA908C11D}"/>
    <cellStyle name="Normal 3 4 3 2 3 3 4" xfId="6214" xr:uid="{BF027674-8C17-4F1C-A489-0CD27D457C69}"/>
    <cellStyle name="Normal 3 4 3 2 3 4" xfId="1882" xr:uid="{A80FCA62-AAD5-41AE-8204-0D084A7F6DA9}"/>
    <cellStyle name="Normal 3 4 3 2 3 4 2" xfId="2861" xr:uid="{65F7FFB5-6B7C-428F-817E-3DA5A556ECC4}"/>
    <cellStyle name="Normal 3 4 3 2 3 4 2 2" xfId="7426" xr:uid="{DC18C521-0172-49CA-B6EA-FDA72922ABA3}"/>
    <cellStyle name="Normal 3 4 3 2 3 4 3" xfId="4584" xr:uid="{12DE1B8D-C72B-4156-B7EF-CD1F4826530C}"/>
    <cellStyle name="Normal 3 4 3 2 3 4 3 2" xfId="8839" xr:uid="{4E3007FA-3FEB-444F-BAFA-5E74075CE94B}"/>
    <cellStyle name="Normal 3 4 3 2 3 4 4" xfId="6447" xr:uid="{7B2149EA-55AF-4389-8FED-2F49A32E2B3D}"/>
    <cellStyle name="Normal 3 4 3 2 3 5" xfId="2119" xr:uid="{13A9F4DE-2E3C-4990-A391-368360BEC935}"/>
    <cellStyle name="Normal 3 4 3 2 3 5 2" xfId="6684" xr:uid="{8F94C555-626D-4459-BBD4-809EFFB5D6C5}"/>
    <cellStyle name="Normal 3 4 3 2 3 6" xfId="3293" xr:uid="{68DBC24F-F515-4864-B05A-B464FC26941E}"/>
    <cellStyle name="Normal 3 4 3 2 3 6 2" xfId="7786" xr:uid="{B672A75F-0CD4-4A1D-B236-108BCF78C23C}"/>
    <cellStyle name="Normal 3 4 3 2 3 7" xfId="5705" xr:uid="{F740CE92-A715-4F44-848A-A350362CD340}"/>
    <cellStyle name="Normal 3 4 3 2 4" xfId="1258" xr:uid="{BE324AB9-7A06-4254-9A7C-EE91CB55299B}"/>
    <cellStyle name="Normal 3 4 3 2 4 2" xfId="2240" xr:uid="{0BC520D4-B4B6-4475-9D08-AE1472BD7F5C}"/>
    <cellStyle name="Normal 3 4 3 2 4 2 2" xfId="5009" xr:uid="{035C5EA0-66CC-4697-B928-3E49512724D6}"/>
    <cellStyle name="Normal 3 4 3 2 4 2 2 2" xfId="9235" xr:uid="{0FEA2278-6235-405D-9E2E-B5C3EC15C73E}"/>
    <cellStyle name="Normal 3 4 3 2 4 2 3" xfId="3497" xr:uid="{504E3B9A-4A62-4781-8B62-0804EBD42966}"/>
    <cellStyle name="Normal 3 4 3 2 4 2 3 2" xfId="7964" xr:uid="{C9B6DD72-DDBC-4EBC-94DE-40955101FC47}"/>
    <cellStyle name="Normal 3 4 3 2 4 2 4" xfId="6805" xr:uid="{1FAFCE3F-2834-4F01-B63F-99F19F16EC4C}"/>
    <cellStyle name="Normal 3 4 3 2 4 3" xfId="3903" xr:uid="{B3197B4B-E2C1-4D52-B6D1-1859CE97C320}"/>
    <cellStyle name="Normal 3 4 3 2 4 3 2" xfId="8352" xr:uid="{00EFEF33-8B5E-4190-85D9-6F7B6FF8471A}"/>
    <cellStyle name="Normal 3 4 3 2 4 4" xfId="4649" xr:uid="{CE335D58-1FA8-4BCB-9AB3-9AB0B30670AF}"/>
    <cellStyle name="Normal 3 4 3 2 4 4 2" xfId="8895" xr:uid="{2C8C2069-AFA6-44E8-89AF-7FD569194EC1}"/>
    <cellStyle name="Normal 3 4 3 2 4 5" xfId="3066" xr:uid="{06948F97-313A-43C7-9279-E9B9ABAC8746}"/>
    <cellStyle name="Normal 3 4 3 2 4 5 2" xfId="7576" xr:uid="{22D29D9E-5759-4D43-8D81-0C0414EA2C51}"/>
    <cellStyle name="Normal 3 4 3 2 4 6" xfId="5826" xr:uid="{30D5B490-7EC7-473E-AF11-A56570E4438B}"/>
    <cellStyle name="Normal 3 4 3 2 5" xfId="1494" xr:uid="{A404656E-CE19-4200-92E5-6580C4CCDAF0}"/>
    <cellStyle name="Normal 3 4 3 2 5 2" xfId="2474" xr:uid="{D49D457C-003C-4E82-BB71-6F12BB3F30AC}"/>
    <cellStyle name="Normal 3 4 3 2 5 2 2" xfId="4949" xr:uid="{EF8D7CC3-1DBA-4E3B-95AA-5F04F471EDAC}"/>
    <cellStyle name="Normal 3 4 3 2 5 2 2 2" xfId="9179" xr:uid="{AE6F83F1-4DE2-4E34-AE99-4AC819BB06F4}"/>
    <cellStyle name="Normal 3 4 3 2 5 2 3" xfId="7039" xr:uid="{52271600-24D7-48C9-82A7-FCC886303093}"/>
    <cellStyle name="Normal 3 4 3 2 5 3" xfId="3423" xr:uid="{825F8289-D345-4914-8156-82B03C925C99}"/>
    <cellStyle name="Normal 3 4 3 2 5 3 2" xfId="7891" xr:uid="{177C556A-3E8A-492B-9C4F-095EA36E4F1F}"/>
    <cellStyle name="Normal 3 4 3 2 5 4" xfId="6060" xr:uid="{16874562-7A21-4230-B7E4-AFF1308F027C}"/>
    <cellStyle name="Normal 3 4 3 2 6" xfId="1728" xr:uid="{0A30EF8A-9929-4983-92F5-42E9BA5C51EA}"/>
    <cellStyle name="Normal 3 4 3 2 6 2" xfId="2707" xr:uid="{4CC739E1-73AF-4EB9-B8AA-3B76AE3F87FB}"/>
    <cellStyle name="Normal 3 4 3 2 6 2 2" xfId="7272" xr:uid="{933204FA-D089-4E87-A43E-1C95FED926B6}"/>
    <cellStyle name="Normal 3 4 3 2 6 3" xfId="3830" xr:uid="{5BA52CE8-94E2-4A4D-9A68-816E79271D1A}"/>
    <cellStyle name="Normal 3 4 3 2 6 3 2" xfId="8279" xr:uid="{77B4E790-813E-4E85-A33D-11C550AF046C}"/>
    <cellStyle name="Normal 3 4 3 2 6 4" xfId="6293" xr:uid="{AC4564C1-9DA8-4CF6-8025-C5B78670EA09}"/>
    <cellStyle name="Normal 3 4 3 2 7" xfId="1965" xr:uid="{F221CF10-50E7-4D45-BC4C-D7CBAA2C2DCE}"/>
    <cellStyle name="Normal 3 4 3 2 7 2" xfId="4302" xr:uid="{0DC296F2-EB41-4995-B43C-9C5882CF241A}"/>
    <cellStyle name="Normal 3 4 3 2 7 2 2" xfId="8655" xr:uid="{4063DE1B-5C91-46A3-ADE0-F286F7E10F19}"/>
    <cellStyle name="Normal 3 4 3 2 7 3" xfId="6530" xr:uid="{A3F2D69D-EE56-4144-83B3-DB585EA6B146}"/>
    <cellStyle name="Normal 3 4 3 2 8" xfId="2941" xr:uid="{1E690FA9-67B0-4336-84C7-245886808488}"/>
    <cellStyle name="Normal 3 4 3 2 8 2" xfId="7503" xr:uid="{7787AED9-41E7-474D-B1B1-C338AD53BFC8}"/>
    <cellStyle name="Normal 3 4 3 2 9" xfId="5551" xr:uid="{C140DA4F-6444-4F79-B810-57AF3ED4785D}"/>
    <cellStyle name="Normal 3 4 3 3" xfId="906" xr:uid="{C21A9C51-2146-419F-9C09-AE50C3641318}"/>
    <cellStyle name="Normal 3 4 3 3 2" xfId="1293" xr:uid="{0B9E077C-D7CA-4858-8DFF-0E9E88CDDD82}"/>
    <cellStyle name="Normal 3 4 3 3 2 2" xfId="2275" xr:uid="{CCE58750-AD62-411C-9253-629DD07D0A07}"/>
    <cellStyle name="Normal 3 4 3 3 2 2 2" xfId="5144" xr:uid="{3BA9A52C-B21B-4D0E-8A4B-B611F3354F63}"/>
    <cellStyle name="Normal 3 4 3 3 2 2 2 2" xfId="9369" xr:uid="{4FBAEB1E-646A-4C68-9A6B-C6819BB05B0F}"/>
    <cellStyle name="Normal 3 4 3 3 2 2 3" xfId="3636" xr:uid="{949F4B83-DDDD-401A-9102-73B66EF80685}"/>
    <cellStyle name="Normal 3 4 3 3 2 2 3 2" xfId="8103" xr:uid="{B800FA27-ECE6-40A6-BC8F-929B84F674DF}"/>
    <cellStyle name="Normal 3 4 3 3 2 2 4" xfId="6840" xr:uid="{E43DD0A6-4742-4C23-BA47-C5E12B71016A}"/>
    <cellStyle name="Normal 3 4 3 3 2 3" xfId="4042" xr:uid="{8E19E09E-BA55-4F83-B0DA-68AED27429C8}"/>
    <cellStyle name="Normal 3 4 3 3 2 3 2" xfId="8491" xr:uid="{370E22BA-A1DF-4A97-8947-F0AF72B8B0A0}"/>
    <cellStyle name="Normal 3 4 3 3 2 4" xfId="4760" xr:uid="{7866F34A-C967-456E-8DDE-CA918C10CD79}"/>
    <cellStyle name="Normal 3 4 3 3 2 4 2" xfId="9006" xr:uid="{1033F841-C108-46DD-8BAB-2127AFC2EBF6}"/>
    <cellStyle name="Normal 3 4 3 3 2 5" xfId="3220" xr:uid="{B030813D-4E68-4B9B-98F8-F5A1185E49B2}"/>
    <cellStyle name="Normal 3 4 3 3 2 5 2" xfId="7715" xr:uid="{9927CBEA-C8BA-4E43-8D5D-A6B4EC1BEDF1}"/>
    <cellStyle name="Normal 3 4 3 3 2 6" xfId="5861" xr:uid="{50C687FC-AB9C-4D03-B2EF-DAD582CFEE54}"/>
    <cellStyle name="Normal 3 4 3 3 3" xfId="1529" xr:uid="{F30EB16B-7169-4FAA-8CEE-0D42898D0440}"/>
    <cellStyle name="Normal 3 4 3 3 3 2" xfId="2509" xr:uid="{4031FD21-422A-4D39-920F-4B8A7C54CE4F}"/>
    <cellStyle name="Normal 3 4 3 3 3 2 2" xfId="5249" xr:uid="{95DD0B49-A759-4FB4-8773-358EEB0A0162}"/>
    <cellStyle name="Normal 3 4 3 3 3 2 2 2" xfId="9474" xr:uid="{D9DFA77D-9EEC-404A-9E2A-2AD914CCD11A}"/>
    <cellStyle name="Normal 3 4 3 3 3 2 3" xfId="3741" xr:uid="{58FE3A45-E019-4DFE-8E2F-5EC9D62D6215}"/>
    <cellStyle name="Normal 3 4 3 3 3 2 3 2" xfId="8208" xr:uid="{D028ABB5-2083-4C0C-9452-CE37FF1F27BE}"/>
    <cellStyle name="Normal 3 4 3 3 3 2 4" xfId="7074" xr:uid="{FBE91068-1C96-4EE4-BE0A-78284ED161E6}"/>
    <cellStyle name="Normal 3 4 3 3 3 3" xfId="4147" xr:uid="{1BC248DB-435C-429C-BB12-273EA1A97A44}"/>
    <cellStyle name="Normal 3 4 3 3 3 3 2" xfId="8596" xr:uid="{5E753EBF-55A1-49BF-A728-4AC8A7FED3FF}"/>
    <cellStyle name="Normal 3 4 3 3 3 4" xfId="4836" xr:uid="{60F13F0A-99B7-4861-AE03-81F3773D1439}"/>
    <cellStyle name="Normal 3 4 3 3 3 4 2" xfId="9082" xr:uid="{0971714A-C08B-4277-BD1B-2748751D2F5C}"/>
    <cellStyle name="Normal 3 4 3 3 3 5" xfId="3331" xr:uid="{F326246F-3F18-4461-9126-56B1848CD733}"/>
    <cellStyle name="Normal 3 4 3 3 3 5 2" xfId="7820" xr:uid="{C53E1ED3-2021-4844-8BCE-02812E841A03}"/>
    <cellStyle name="Normal 3 4 3 3 3 6" xfId="6095" xr:uid="{C2B69EE1-4165-425D-8657-453F028D2114}"/>
    <cellStyle name="Normal 3 4 3 3 4" xfId="1763" xr:uid="{C3403A46-9C03-455D-9AC7-7BA74D84C14E}"/>
    <cellStyle name="Normal 3 4 3 3 4 2" xfId="2742" xr:uid="{0ADBBF40-934F-4473-A831-B6940F7507B0}"/>
    <cellStyle name="Normal 3 4 3 3 4 2 2" xfId="4677" xr:uid="{2CF37BD1-DAEA-4DC7-A7EB-134C3568B3BB}"/>
    <cellStyle name="Normal 3 4 3 3 4 2 2 2" xfId="8923" xr:uid="{3DFBA89B-4DF9-4DE8-A514-4E97FAD7D9B1}"/>
    <cellStyle name="Normal 3 4 3 3 4 2 3" xfId="7307" xr:uid="{41B25EF2-EF10-445E-A46F-FC9046D00F51}"/>
    <cellStyle name="Normal 3 4 3 3 4 3" xfId="3531" xr:uid="{050A5680-0462-477B-8BD6-482D7BF46FC4}"/>
    <cellStyle name="Normal 3 4 3 3 4 3 2" xfId="7998" xr:uid="{A64C4E67-A247-4EC8-8E1A-C6B3BB05A9A7}"/>
    <cellStyle name="Normal 3 4 3 3 4 4" xfId="6328" xr:uid="{5DA5E5DE-62BE-4844-8F56-5047FCFA84B8}"/>
    <cellStyle name="Normal 3 4 3 3 5" xfId="2000" xr:uid="{E5154FB8-3508-4C66-B166-2D47CA8C15B9}"/>
    <cellStyle name="Normal 3 4 3 3 5 2" xfId="5040" xr:uid="{81A3FCBA-BCD9-4444-B056-F98915E21108}"/>
    <cellStyle name="Normal 3 4 3 3 5 2 2" xfId="9266" xr:uid="{8F2E3224-027D-4F00-8E8B-61E23E506F4A}"/>
    <cellStyle name="Normal 3 4 3 3 5 3" xfId="3937" xr:uid="{AF5E7B68-C20F-49EB-B337-ACC3F1B7D136}"/>
    <cellStyle name="Normal 3 4 3 3 5 3 2" xfId="8386" xr:uid="{4D5B2906-48B1-486B-985B-08398BC830CE}"/>
    <cellStyle name="Normal 3 4 3 3 5 4" xfId="6565" xr:uid="{07DC0E34-935B-4884-9777-C3D171FDB2A7}"/>
    <cellStyle name="Normal 3 4 3 3 6" xfId="4422" xr:uid="{ECEC0760-83DF-4A6F-8A72-3DAD06AB8D62}"/>
    <cellStyle name="Normal 3 4 3 3 6 2" xfId="8699" xr:uid="{06F5D3B2-FE68-439D-A6FB-32103699FC5D}"/>
    <cellStyle name="Normal 3 4 3 3 7" xfId="3104" xr:uid="{34D3078B-AB76-45E2-9400-BF405503306E}"/>
    <cellStyle name="Normal 3 4 3 3 7 2" xfId="7610" xr:uid="{537262FB-E25E-470B-9114-A743AB6F31B2}"/>
    <cellStyle name="Normal 3 4 3 3 8" xfId="5586" xr:uid="{0E5360C3-C312-43DC-8B60-EE6892FF3B60}"/>
    <cellStyle name="Normal 3 4 3 4" xfId="1004" xr:uid="{45E974DE-0544-49A9-B2A1-3ADE11D59904}"/>
    <cellStyle name="Normal 3 4 3 4 2" xfId="1372" xr:uid="{F756FA50-D8CF-4299-8001-79923DBF6002}"/>
    <cellStyle name="Normal 3 4 3 4 2 2" xfId="2352" xr:uid="{61E870A5-8BA8-4B2B-872A-8A39F1B38AB1}"/>
    <cellStyle name="Normal 3 4 3 4 2 2 2" xfId="5075" xr:uid="{D278B847-C725-45E4-BD17-D68B5409064D}"/>
    <cellStyle name="Normal 3 4 3 4 2 2 2 2" xfId="9301" xr:uid="{83133B95-6DDB-454A-A144-17F8B4214E27}"/>
    <cellStyle name="Normal 3 4 3 4 2 2 3" xfId="6917" xr:uid="{C0ED28F2-7796-4621-B74E-F97A6AB39F2B}"/>
    <cellStyle name="Normal 3 4 3 4 2 3" xfId="3567" xr:uid="{DF30613D-F390-42F6-A739-603AADA83C96}"/>
    <cellStyle name="Normal 3 4 3 4 2 3 2" xfId="8034" xr:uid="{913A3E18-12DF-450C-A66A-62518CD345E9}"/>
    <cellStyle name="Normal 3 4 3 4 2 4" xfId="5938" xr:uid="{890EA0BF-9CEF-4EA5-96EF-85314114A421}"/>
    <cellStyle name="Normal 3 4 3 4 3" xfId="1606" xr:uid="{E90EC0E4-025B-4C9F-B713-9B68E6E2A26A}"/>
    <cellStyle name="Normal 3 4 3 4 3 2" xfId="2586" xr:uid="{4D1E8652-8BD3-472E-952B-678EA5030707}"/>
    <cellStyle name="Normal 3 4 3 4 3 2 2" xfId="7151" xr:uid="{F437CF6B-FD25-40FA-A480-D1DC2253E695}"/>
    <cellStyle name="Normal 3 4 3 4 3 3" xfId="3973" xr:uid="{C631DB79-68F7-41F4-B91A-C66209A47650}"/>
    <cellStyle name="Normal 3 4 3 4 3 3 2" xfId="8422" xr:uid="{1CDDE0B7-5400-4FA3-A39F-E8D6BC1950F8}"/>
    <cellStyle name="Normal 3 4 3 4 3 4" xfId="6172" xr:uid="{E1CC9442-F1D8-42CD-8A2A-6AA8B5639AA6}"/>
    <cellStyle name="Normal 3 4 3 4 4" xfId="1840" xr:uid="{B682980A-B506-43F8-B339-DA173D8BBB2D}"/>
    <cellStyle name="Normal 3 4 3 4 4 2" xfId="2819" xr:uid="{8EB3CF8B-A903-440A-86AA-D702E6A89C80}"/>
    <cellStyle name="Normal 3 4 3 4 4 2 2" xfId="7384" xr:uid="{00FA2A07-DF00-4A8C-AEF6-27AB8B8FE252}"/>
    <cellStyle name="Normal 3 4 3 4 4 3" xfId="4527" xr:uid="{4BC23D2E-0FA7-4176-8415-9BABDB93DD30}"/>
    <cellStyle name="Normal 3 4 3 4 4 3 2" xfId="8793" xr:uid="{A5A92267-55BE-4EB9-92DF-F2234E49D3CC}"/>
    <cellStyle name="Normal 3 4 3 4 4 4" xfId="6405" xr:uid="{ED044D2C-9BCB-4930-AB2D-F2B145F49608}"/>
    <cellStyle name="Normal 3 4 3 4 5" xfId="2077" xr:uid="{F2EB3A25-C11A-48B5-A371-279162D0B794}"/>
    <cellStyle name="Normal 3 4 3 4 5 2" xfId="6642" xr:uid="{D048E21E-A55E-4BF2-9E79-E02E9B67DAB3}"/>
    <cellStyle name="Normal 3 4 3 4 6" xfId="3151" xr:uid="{0A002066-6D0F-406B-A753-F2FEB3DF3172}"/>
    <cellStyle name="Normal 3 4 3 4 6 2" xfId="7646" xr:uid="{5227CFCF-6645-4AC2-B6D5-E17A6DE172EB}"/>
    <cellStyle name="Normal 3 4 3 4 7" xfId="5663" xr:uid="{E09F6CD7-9D8D-41AC-8185-3498E393726B}"/>
    <cellStyle name="Normal 3 4 3 5" xfId="1151" xr:uid="{0681B663-C1AF-428B-B360-9450796BAA42}"/>
    <cellStyle name="Normal 3 4 3 5 2" xfId="2160" xr:uid="{6D71E03E-9749-43B3-9A24-D7259A825124}"/>
    <cellStyle name="Normal 3 4 3 5 2 2" xfId="5180" xr:uid="{8B0EBCC1-98B0-4B12-8ECD-15BCE966D548}"/>
    <cellStyle name="Normal 3 4 3 5 2 2 2" xfId="9405" xr:uid="{2F25BE51-9B00-4A5B-9B1A-E17DC9EBCC2E}"/>
    <cellStyle name="Normal 3 4 3 5 2 3" xfId="3672" xr:uid="{354846ED-E324-4D0C-93B4-77E8B90327A2}"/>
    <cellStyle name="Normal 3 4 3 5 2 3 2" xfId="8139" xr:uid="{4268B388-6F58-48AA-9AEC-F12F2667A2CB}"/>
    <cellStyle name="Normal 3 4 3 5 2 4" xfId="6725" xr:uid="{B0DC1BBE-0772-453A-A50A-0D2E62BD18C5}"/>
    <cellStyle name="Normal 3 4 3 5 3" xfId="4078" xr:uid="{DB14806E-149E-4A29-9A67-090018CEC084}"/>
    <cellStyle name="Normal 3 4 3 5 3 2" xfId="8527" xr:uid="{3B9297FA-258D-43F5-B838-0315B39816B4}"/>
    <cellStyle name="Normal 3 4 3 5 4" xfId="4795" xr:uid="{E14C7396-38C8-4062-95F3-EB597B3C402B}"/>
    <cellStyle name="Normal 3 4 3 5 4 2" xfId="9041" xr:uid="{025DD50F-A141-482E-8E60-BEED506E2E84}"/>
    <cellStyle name="Normal 3 4 3 5 5" xfId="3257" xr:uid="{5193E848-62DD-4C4F-8DDB-21A7F5B5AC83}"/>
    <cellStyle name="Normal 3 4 3 5 5 2" xfId="7751" xr:uid="{FD825300-B7E8-4FE1-9AF3-99BAC17CA02B}"/>
    <cellStyle name="Normal 3 4 3 5 6" xfId="5746" xr:uid="{AE8D02AA-60A2-4782-B0DB-3CD5912A98CD}"/>
    <cellStyle name="Normal 3 4 3 6" xfId="1212" xr:uid="{39BE3AAD-648A-4A79-BCAB-2D2359C472E5}"/>
    <cellStyle name="Normal 3 4 3 6 2" xfId="2198" xr:uid="{14A02360-FD4F-4C87-84CE-730DC1EFE2CA}"/>
    <cellStyle name="Normal 3 4 3 6 2 2" xfId="4963" xr:uid="{D4AC11FF-4414-4D1A-8ECF-48102B89506C}"/>
    <cellStyle name="Normal 3 4 3 6 2 2 2" xfId="9193" xr:uid="{48FDF1D3-1E08-4F94-B18B-2109FB6CFA68}"/>
    <cellStyle name="Normal 3 4 3 6 2 3" xfId="3461" xr:uid="{C29781CE-6220-47C8-9E23-0412920DCF55}"/>
    <cellStyle name="Normal 3 4 3 6 2 3 2" xfId="7929" xr:uid="{6093DE3A-A8CC-4626-9331-78149B257E9E}"/>
    <cellStyle name="Normal 3 4 3 6 2 4" xfId="6763" xr:uid="{D5B1C3BD-9C69-44F9-82DE-1D1633058C77}"/>
    <cellStyle name="Normal 3 4 3 6 3" xfId="3868" xr:uid="{10A30C92-EC37-439D-8110-2FF5CA57CF12}"/>
    <cellStyle name="Normal 3 4 3 6 3 2" xfId="8317" xr:uid="{6EB9C4A7-5B59-4807-9D28-7BDB7B914A70}"/>
    <cellStyle name="Normal 3 4 3 6 4" xfId="4511" xr:uid="{C6032C42-CC1A-44B3-9227-D67B10A5E5D9}"/>
    <cellStyle name="Normal 3 4 3 6 4 2" xfId="8780" xr:uid="{43338E2D-4FFF-49B2-9D8E-551FF4A8D74C}"/>
    <cellStyle name="Normal 3 4 3 6 5" xfId="3021" xr:uid="{8ADD353A-2BFF-48F7-92BB-ACAEBA3ED41B}"/>
    <cellStyle name="Normal 3 4 3 6 5 2" xfId="7541" xr:uid="{D03D5537-3B00-4DAF-B669-5C5AFEDFB7D3}"/>
    <cellStyle name="Normal 3 4 3 6 6" xfId="5784" xr:uid="{E630E5BC-A4F0-490C-8F4B-026C5FA3CBD3}"/>
    <cellStyle name="Normal 3 4 3 7" xfId="1452" xr:uid="{0B4C9EA6-03F4-4985-A23F-9A39AB1E70A2}"/>
    <cellStyle name="Normal 3 4 3 7 2" xfId="2432" xr:uid="{6AFA6259-8EF9-45D4-9EAF-8F99822B7BDA}"/>
    <cellStyle name="Normal 3 4 3 7 2 2" xfId="4913" xr:uid="{C3AB5442-BF7E-4A1B-B3BA-6D32C236EA71}"/>
    <cellStyle name="Normal 3 4 3 7 2 2 2" xfId="9143" xr:uid="{8783C85D-651F-4A3E-9A6F-435E7D501B33}"/>
    <cellStyle name="Normal 3 4 3 7 2 3" xfId="6997" xr:uid="{BA82D401-3CBE-4709-92A9-7085BDA63A16}"/>
    <cellStyle name="Normal 3 4 3 7 3" xfId="3385" xr:uid="{47667CAA-F49F-4B08-BA1A-F6DF0758C797}"/>
    <cellStyle name="Normal 3 4 3 7 3 2" xfId="7857" xr:uid="{6769C1EA-7E9A-4654-B461-883873D269E8}"/>
    <cellStyle name="Normal 3 4 3 7 4" xfId="6018" xr:uid="{AEE5DA9B-1C67-4A8C-9D89-C619984D7D32}"/>
    <cellStyle name="Normal 3 4 3 8" xfId="1711" xr:uid="{1BF97BB7-945C-4073-85E6-BB391A1BEAA5}"/>
    <cellStyle name="Normal 3 4 3 8 2" xfId="2690" xr:uid="{D49FCBFE-3ACF-4004-B25C-93DEE330280B}"/>
    <cellStyle name="Normal 3 4 3 8 2 2" xfId="7255" xr:uid="{D591F6D8-2AC9-473A-8D26-3499DF8AAA79}"/>
    <cellStyle name="Normal 3 4 3 8 3" xfId="3796" xr:uid="{6CC6E92F-392D-47B2-ACCA-5FEE6BE6BC2C}"/>
    <cellStyle name="Normal 3 4 3 8 3 2" xfId="8245" xr:uid="{B0A63D5C-B415-4519-BEDB-40212FB1977B}"/>
    <cellStyle name="Normal 3 4 3 8 4" xfId="6276" xr:uid="{A1DEA051-F692-4631-B01F-F0E29FD77B38}"/>
    <cellStyle name="Normal 3 4 3 9" xfId="1923" xr:uid="{74E36B2C-10B8-4A11-8F17-8974C77736DD}"/>
    <cellStyle name="Normal 3 4 3 9 2" xfId="4252" xr:uid="{B812FE5E-D8C0-4000-A3E9-1194F004D48D}"/>
    <cellStyle name="Normal 3 4 3 9 2 2" xfId="8627" xr:uid="{3799F52F-AD8B-4432-ACA3-2ED0D496B96E}"/>
    <cellStyle name="Normal 3 4 3 9 3" xfId="6488" xr:uid="{5AA08EB9-BC30-487D-B3FB-4ADBB2FFDA78}"/>
    <cellStyle name="Normal 3 4 4" xfId="3120" xr:uid="{D29B77E0-8CC7-43C9-9D1D-5D48960F8BCB}"/>
    <cellStyle name="Normal 3 4 4 2" xfId="3537" xr:uid="{0B0C6220-6DFC-4ECE-8696-92E2C0BFD3A6}"/>
    <cellStyle name="Normal 3 4 4 2 2" xfId="5045" xr:uid="{881D6574-A867-43D3-9454-ACE49622B080}"/>
    <cellStyle name="Normal 3 4 4 2 2 2" xfId="9271" xr:uid="{0FC674BD-333D-4BCC-AE7C-FEC65D764995}"/>
    <cellStyle name="Normal 3 4 4 2 3" xfId="8004" xr:uid="{9E710CC7-10B4-4FA8-935D-05DF0FE47899}"/>
    <cellStyle name="Normal 3 4 4 3" xfId="3943" xr:uid="{36EFEE5C-D51A-4D8F-9FBD-7DC0E1B848D5}"/>
    <cellStyle name="Normal 3 4 4 3 2" xfId="8392" xr:uid="{438D6F3F-6106-4F9E-AD90-469C26A7B352}"/>
    <cellStyle name="Normal 3 4 4 4" xfId="4681" xr:uid="{7FA02FC4-6CFD-4CA6-92E8-7A837CEE2433}"/>
    <cellStyle name="Normal 3 4 4 4 2" xfId="8927" xr:uid="{56E7D586-1B19-4D15-AF0E-242F400703A7}"/>
    <cellStyle name="Normal 3 4 4 5" xfId="7616" xr:uid="{87EFEC9B-6519-4CFB-BDB4-1B5E19D5E381}"/>
    <cellStyle name="Normal 3 4 5" xfId="3226" xr:uid="{D6B9CF53-7ABB-4A5B-BCCC-ACED1C624DC5}"/>
    <cellStyle name="Normal 3 4 5 2" xfId="3642" xr:uid="{12BEDAF6-6A34-4FF0-B5C7-E8FDD16CA2D8}"/>
    <cellStyle name="Normal 3 4 5 2 2" xfId="5150" xr:uid="{1A7CF69D-E708-49D9-BC60-561668D0691A}"/>
    <cellStyle name="Normal 3 4 5 2 2 2" xfId="9375" xr:uid="{D1B2239F-2F3D-4B0D-B90D-925AB4BFF79E}"/>
    <cellStyle name="Normal 3 4 5 2 3" xfId="8109" xr:uid="{E8F5ADBA-EC82-45B2-ACAE-E9F0A7B6862C}"/>
    <cellStyle name="Normal 3 4 5 3" xfId="4048" xr:uid="{FAC5BC4D-8981-4372-A3DC-1E7AD522378C}"/>
    <cellStyle name="Normal 3 4 5 3 2" xfId="8497" xr:uid="{FB3E99B2-AF4D-4462-BF59-30D1E68AD377}"/>
    <cellStyle name="Normal 3 4 5 4" xfId="4766" xr:uid="{ED1B7613-4DDC-4A09-8758-B18474ED33C7}"/>
    <cellStyle name="Normal 3 4 5 4 2" xfId="9012" xr:uid="{6069CDF9-0FF6-49E6-A183-583BEB7437E3}"/>
    <cellStyle name="Normal 3 4 5 5" xfId="7721" xr:uid="{79A03537-89EB-4437-8290-234137143A1B}"/>
    <cellStyle name="Normal 3 4 6" xfId="2954" xr:uid="{68F5EBB8-3E1C-48FC-ACB9-8422706D2E3E}"/>
    <cellStyle name="Normal 3 4 6 2" xfId="3431" xr:uid="{F33CD38C-225C-45A3-B8BC-157F6232C96D}"/>
    <cellStyle name="Normal 3 4 6 2 2" xfId="4909" xr:uid="{CB2048F2-79A4-4A2E-BC06-C13B5C61025F}"/>
    <cellStyle name="Normal 3 4 6 2 2 2" xfId="9139" xr:uid="{BEB94413-B212-48B7-A6A9-D4C8BDE465C5}"/>
    <cellStyle name="Normal 3 4 6 2 3" xfId="7899" xr:uid="{136CD417-F2AD-4F53-AEC4-7BD107CF24AC}"/>
    <cellStyle name="Normal 3 4 6 3" xfId="3838" xr:uid="{6EBCFF43-E397-4FF5-AA07-5A9161A83541}"/>
    <cellStyle name="Normal 3 4 6 3 2" xfId="8287" xr:uid="{AD92E316-424D-4D35-8756-37D385475BFB}"/>
    <cellStyle name="Normal 3 4 6 4" xfId="4597" xr:uid="{126E2FD8-A4BA-4A8B-8051-C0EB11220DDE}"/>
    <cellStyle name="Normal 3 4 6 4 2" xfId="8850" xr:uid="{E4F7BBB8-BA22-4944-BC92-7635F920736C}"/>
    <cellStyle name="Normal 3 4 6 5" xfId="7511" xr:uid="{A37CB18C-8DD6-4230-BD79-3B2777AAD523}"/>
    <cellStyle name="Normal 3 5" xfId="444" xr:uid="{0C21BE56-053C-42D2-A918-A48A25D86BFB}"/>
    <cellStyle name="Normal 3 5 2" xfId="3022" xr:uid="{47D6CAD4-0B43-442F-85A3-1D87B6ECF8AC}"/>
    <cellStyle name="Normal 3 5 3" xfId="3121" xr:uid="{882E70A7-6DD7-48C8-B5D4-132367493CED}"/>
    <cellStyle name="Normal 3 5 3 2" xfId="3538" xr:uid="{7F8D3B0B-1BF4-48EB-B551-2BF7FD60264D}"/>
    <cellStyle name="Normal 3 5 3 2 2" xfId="5046" xr:uid="{CD74875E-A21F-4308-AA69-E695534C03E8}"/>
    <cellStyle name="Normal 3 5 3 2 2 2" xfId="9272" xr:uid="{B2DCFCE8-B935-49B3-AED9-4EEC3FE15FD8}"/>
    <cellStyle name="Normal 3 5 3 2 3" xfId="8005" xr:uid="{EDB294C1-976E-4A74-8970-73D56348735A}"/>
    <cellStyle name="Normal 3 5 3 3" xfId="3944" xr:uid="{F711909C-2041-4C7C-AC3C-19C4FCB5FD05}"/>
    <cellStyle name="Normal 3 5 3 3 2" xfId="8393" xr:uid="{DE14506A-E18B-410E-B84B-749284B932F9}"/>
    <cellStyle name="Normal 3 5 3 4" xfId="4682" xr:uid="{70022BFA-0225-4CD3-9E70-9499452BBBD4}"/>
    <cellStyle name="Normal 3 5 3 4 2" xfId="8928" xr:uid="{F378DFBC-324B-46F7-BDD4-B4FBBF44C13F}"/>
    <cellStyle name="Normal 3 5 3 5" xfId="7617" xr:uid="{4FF63251-8C1E-4A1D-9A9C-89AD12F3BC17}"/>
    <cellStyle name="Normal 3 5 4" xfId="3227" xr:uid="{C41E76ED-2604-462E-9FDB-658B656CAE96}"/>
    <cellStyle name="Normal 3 5 4 2" xfId="3643" xr:uid="{8B5CABCA-4776-4DA0-B252-84167390D955}"/>
    <cellStyle name="Normal 3 5 4 2 2" xfId="5151" xr:uid="{EF64C64B-8F44-436F-B98A-19F3AA57ECB1}"/>
    <cellStyle name="Normal 3 5 4 2 2 2" xfId="9376" xr:uid="{BF96BB53-3347-46D7-82A9-19370483AF2D}"/>
    <cellStyle name="Normal 3 5 4 2 3" xfId="8110" xr:uid="{C816AF1B-ECFE-4989-B05F-6937EB72F2CC}"/>
    <cellStyle name="Normal 3 5 4 3" xfId="4049" xr:uid="{048C3462-4503-48C6-B59A-571C860F1F1A}"/>
    <cellStyle name="Normal 3 5 4 3 2" xfId="8498" xr:uid="{04F54678-1B32-40EC-89E0-4F7BBE2156A7}"/>
    <cellStyle name="Normal 3 5 4 4" xfId="4767" xr:uid="{88EF631F-8EE4-4E64-9860-F1C92A2BD38F}"/>
    <cellStyle name="Normal 3 5 4 4 2" xfId="9013" xr:uid="{518029E3-89E8-4A18-AE9B-AE6A2F4764B7}"/>
    <cellStyle name="Normal 3 5 4 5" xfId="7722" xr:uid="{0260F818-22B4-44D6-A962-E3345826355B}"/>
    <cellStyle name="Normal 3 5 5" xfId="2962" xr:uid="{CE1874B7-590F-4F47-8CDF-37BCF8B0260E}"/>
    <cellStyle name="Normal 3 5 5 2" xfId="3432" xr:uid="{69D70231-6175-47EF-B894-8DA4AF383877}"/>
    <cellStyle name="Normal 3 5 5 2 2" xfId="4965" xr:uid="{27E9CB4C-E8DC-49FE-98E9-9C96899F1458}"/>
    <cellStyle name="Normal 3 5 5 2 2 2" xfId="9195" xr:uid="{F11CD5BB-EDC8-4AEF-A1B6-1512DFACA120}"/>
    <cellStyle name="Normal 3 5 5 2 3" xfId="7900" xr:uid="{2F06BB79-424E-4E9E-AABD-B521F92A62B4}"/>
    <cellStyle name="Normal 3 5 5 3" xfId="3839" xr:uid="{A787F195-6CA1-45A9-BDF0-DF597CFA0E80}"/>
    <cellStyle name="Normal 3 5 5 3 2" xfId="8288" xr:uid="{D1D43866-1C82-4857-A2EF-28D9691EE18F}"/>
    <cellStyle name="Normal 3 5 5 4" xfId="4558" xr:uid="{E52CDDC4-00EF-4795-B74C-208729D180B0}"/>
    <cellStyle name="Normal 3 5 5 4 2" xfId="8814" xr:uid="{CA9BF00F-EE6A-4E74-BBE8-8FE3C752940C}"/>
    <cellStyle name="Normal 3 5 5 5" xfId="7512" xr:uid="{85B1837D-64B3-4823-986F-98228E8FCA92}"/>
    <cellStyle name="Normal 3 6" xfId="436" xr:uid="{5D7428ED-C373-4A85-A524-845D4818BB25}"/>
    <cellStyle name="Normal 3 6 10" xfId="2906" xr:uid="{29FE596B-9F71-463B-8BCB-A248AD533C21}"/>
    <cellStyle name="Normal 3 6 11" xfId="5508" xr:uid="{58F10EA2-33D2-48BE-8331-E170D1C1285E}"/>
    <cellStyle name="Normal 3 6 2" xfId="905" xr:uid="{C53D77CE-05D1-4597-B6FD-AFEBE70FEEB3}"/>
    <cellStyle name="Normal 3 6 2 2" xfId="1292" xr:uid="{5CCB49FE-AF96-44BC-A1EB-4C8FB87B229E}"/>
    <cellStyle name="Normal 3 6 2 2 2" xfId="2274" xr:uid="{E2170217-BC4F-441A-ADF4-2CF1218714A0}"/>
    <cellStyle name="Normal 3 6 2 2 2 2" xfId="4449" xr:uid="{65AD715B-2446-4387-A21B-90C4C9EE3C16}"/>
    <cellStyle name="Normal 3 6 2 2 2 2 2" xfId="8726" xr:uid="{1E5F69BE-8CD4-4763-B45E-A88D56476ECF}"/>
    <cellStyle name="Normal 3 6 2 2 2 3" xfId="6839" xr:uid="{5379FC15-64D3-46E4-A83C-7FE0953482D7}"/>
    <cellStyle name="Normal 3 6 2 2 3" xfId="3572" xr:uid="{148C08A7-872A-4E13-8ABB-DEE6AA1FD174}"/>
    <cellStyle name="Normal 3 6 2 2 3 2" xfId="8039" xr:uid="{192D509D-343C-43F9-ABB9-6599EDF4068E}"/>
    <cellStyle name="Normal 3 6 2 2 4" xfId="5860" xr:uid="{020B4100-A72F-4ACC-A5B8-C0C308CE6130}"/>
    <cellStyle name="Normal 3 6 2 3" xfId="1528" xr:uid="{D6732EB9-BD39-41FF-83B6-1D6EC9D087E9}"/>
    <cellStyle name="Normal 3 6 2 3 2" xfId="2508" xr:uid="{531AFFDE-025C-42BD-8F35-FE5F030110D0}"/>
    <cellStyle name="Normal 3 6 2 3 2 2" xfId="4583" xr:uid="{AD647878-E293-4CA1-9630-A3E1F5C5B619}"/>
    <cellStyle name="Normal 3 6 2 3 2 2 2" xfId="8838" xr:uid="{99281C1E-873F-43D6-B0A7-2CDB0C95A403}"/>
    <cellStyle name="Normal 3 6 2 3 2 3" xfId="7073" xr:uid="{E80ACF8D-099C-4ACA-8DB7-07CBB6A33E20}"/>
    <cellStyle name="Normal 3 6 2 3 3" xfId="3978" xr:uid="{91AF2BA4-9441-4EFE-B155-856AB8306D45}"/>
    <cellStyle name="Normal 3 6 2 3 3 2" xfId="8427" xr:uid="{C9AC2E89-E7BF-4F30-943C-56A2AAD03924}"/>
    <cellStyle name="Normal 3 6 2 3 4" xfId="6094" xr:uid="{2E392FA9-665B-44A4-BC4F-76D3AB183C2F}"/>
    <cellStyle name="Normal 3 6 2 4" xfId="1762" xr:uid="{0D0C42F4-42B9-437B-9FDA-41BF16B25ECB}"/>
    <cellStyle name="Normal 3 6 2 4 2" xfId="2741" xr:uid="{58B1A805-5189-42B3-A816-0B349C99E11E}"/>
    <cellStyle name="Normal 3 6 2 4 2 2" xfId="7306" xr:uid="{0640B594-FF6D-4C43-BF74-B81E5067162A}"/>
    <cellStyle name="Normal 3 6 2 4 3" xfId="4948" xr:uid="{C96EA35C-D69F-4B93-AD7E-154A85FAF55F}"/>
    <cellStyle name="Normal 3 6 2 4 3 2" xfId="9178" xr:uid="{FCFC5C01-C470-404F-98B3-94FE684DE2B1}"/>
    <cellStyle name="Normal 3 6 2 4 4" xfId="6327" xr:uid="{40EB15A8-CEBB-4DAA-8C54-964BC7DF29B1}"/>
    <cellStyle name="Normal 3 6 2 5" xfId="1999" xr:uid="{18FAA583-54D2-4F08-ADF6-3A0D427BB13D}"/>
    <cellStyle name="Normal 3 6 2 5 2" xfId="4301" xr:uid="{9C81BFD8-15D9-4F5F-BF0D-5B6B8A90478F}"/>
    <cellStyle name="Normal 3 6 2 5 2 2" xfId="8654" xr:uid="{9FA3A693-C6A5-492F-92E7-D8C2DAFCB97E}"/>
    <cellStyle name="Normal 3 6 2 5 3" xfId="6564" xr:uid="{19F19FE4-38B3-4BC7-8BE2-4B4A926FCFE5}"/>
    <cellStyle name="Normal 3 6 2 6" xfId="3156" xr:uid="{7E43E806-5F3B-44C9-82E6-64CB13772E72}"/>
    <cellStyle name="Normal 3 6 2 6 2" xfId="7651" xr:uid="{9CB1BCEE-7D6B-4E59-AEC8-809B830CA241}"/>
    <cellStyle name="Normal 3 6 2 7" xfId="5585" xr:uid="{F1CCC04F-9E2D-4928-BE08-529C0D464B17}"/>
    <cellStyle name="Normal 3 6 3" xfId="1003" xr:uid="{E8462971-1775-443B-98A9-A61FF843B9DC}"/>
    <cellStyle name="Normal 3 6 3 2" xfId="1371" xr:uid="{DEA331FF-29E3-4A81-9899-E34ED6CA1ED0}"/>
    <cellStyle name="Normal 3 6 3 2 2" xfId="2351" xr:uid="{E3458A8E-96DB-4288-A005-6D71DA5377E5}"/>
    <cellStyle name="Normal 3 6 3 2 2 2" xfId="4800" xr:uid="{F034AE00-686F-4D13-B64B-3277D1F99754}"/>
    <cellStyle name="Normal 3 6 3 2 2 2 2" xfId="9046" xr:uid="{99949A3F-850C-4FC7-85D1-E5A322FBB963}"/>
    <cellStyle name="Normal 3 6 3 2 2 3" xfId="6916" xr:uid="{95C433EF-414D-4EB3-821E-DD98895FF833}"/>
    <cellStyle name="Normal 3 6 3 2 3" xfId="3677" xr:uid="{6E480E6A-EFDF-40DA-99D9-68BB76E507BF}"/>
    <cellStyle name="Normal 3 6 3 2 3 2" xfId="8144" xr:uid="{FE13011E-F2C0-431F-8F8D-4DBD64AB2624}"/>
    <cellStyle name="Normal 3 6 3 2 4" xfId="5937" xr:uid="{821C4EF4-03A1-4267-A5B2-662524D127C8}"/>
    <cellStyle name="Normal 3 6 3 3" xfId="1605" xr:uid="{E12A7BEF-8207-4872-8A6B-FE4D32B2654A}"/>
    <cellStyle name="Normal 3 6 3 3 2" xfId="2585" xr:uid="{F5C7F72D-B800-4D7C-9491-8F40E4A4DC4E}"/>
    <cellStyle name="Normal 3 6 3 3 2 2" xfId="5185" xr:uid="{2DC78E9D-37B6-4F40-AEFF-9042F56C4BD0}"/>
    <cellStyle name="Normal 3 6 3 3 2 2 2" xfId="9410" xr:uid="{2CF1D622-9179-4FDD-970A-E1CB76C1BB5D}"/>
    <cellStyle name="Normal 3 6 3 3 2 3" xfId="7150" xr:uid="{4AAA2302-0090-46FE-82B9-DD2BC50F75C9}"/>
    <cellStyle name="Normal 3 6 3 3 3" xfId="4083" xr:uid="{3907C074-70E3-4DC1-9796-75A8DE0EE002}"/>
    <cellStyle name="Normal 3 6 3 3 3 2" xfId="8532" xr:uid="{7B038C2E-B0E1-467A-8166-B441F8F73732}"/>
    <cellStyle name="Normal 3 6 3 3 4" xfId="6171" xr:uid="{9090121F-4865-404C-860F-BDD36E0C7CD7}"/>
    <cellStyle name="Normal 3 6 3 4" xfId="1839" xr:uid="{AE4AD98E-474E-43D4-B019-0D57410E7840}"/>
    <cellStyle name="Normal 3 6 3 4 2" xfId="2818" xr:uid="{D525A46B-809F-4223-9256-52E617436943}"/>
    <cellStyle name="Normal 3 6 3 4 2 2" xfId="7383" xr:uid="{046F5666-C271-4EA9-AD62-E19F58617345}"/>
    <cellStyle name="Normal 3 6 3 4 3" xfId="4421" xr:uid="{116B9E66-E201-4EBF-B201-455CA870D610}"/>
    <cellStyle name="Normal 3 6 3 4 3 2" xfId="8698" xr:uid="{9653E64D-6022-4D68-9C00-B5F255474F16}"/>
    <cellStyle name="Normal 3 6 3 4 4" xfId="6404" xr:uid="{4FD21C53-2288-447C-844E-A2961BB4D004}"/>
    <cellStyle name="Normal 3 6 3 5" xfId="2076" xr:uid="{4AB2D405-AB0C-41D2-B134-BBB923D79736}"/>
    <cellStyle name="Normal 3 6 3 5 2" xfId="6641" xr:uid="{C71D321B-D5CB-4FA9-B710-2312543F6258}"/>
    <cellStyle name="Normal 3 6 3 6" xfId="3262" xr:uid="{8ECFDB7B-1C6C-4115-A127-6644308164D3}"/>
    <cellStyle name="Normal 3 6 3 6 2" xfId="7756" xr:uid="{526E89DC-F5E2-4F61-8442-35EFCDC8960A}"/>
    <cellStyle name="Normal 3 6 3 7" xfId="5662" xr:uid="{4212BF46-6E37-472F-AD11-3C102E834FE6}"/>
    <cellStyle name="Normal 3 6 4" xfId="1152" xr:uid="{35A28AF1-8786-4CA9-99EB-117A3739F369}"/>
    <cellStyle name="Normal 3 6 4 2" xfId="3467" xr:uid="{B75349CC-5FCD-4885-9720-1E5E4A358494}"/>
    <cellStyle name="Normal 3 6 4 2 2" xfId="4891" xr:uid="{47BECCE9-1189-438A-95AD-63C0091AE3CA}"/>
    <cellStyle name="Normal 3 6 4 2 2 2" xfId="9123" xr:uid="{9BD59E54-2E75-417A-B6D4-5EC305DE7AFA}"/>
    <cellStyle name="Normal 3 6 4 2 3" xfId="7934" xr:uid="{E2540ABF-DDF4-4B65-AFC2-C7ED1737A010}"/>
    <cellStyle name="Normal 3 6 4 3" xfId="3873" xr:uid="{62BD98CD-A25C-4755-B053-4175D55CF856}"/>
    <cellStyle name="Normal 3 6 4 3 2" xfId="8322" xr:uid="{3D2C460B-16B3-46C6-9E0A-39C35FDC26E5}"/>
    <cellStyle name="Normal 3 6 4 4" xfId="4526" xr:uid="{67BA6FA9-DAA5-4588-963A-2C6C5A344CAE}"/>
    <cellStyle name="Normal 3 6 4 4 2" xfId="8792" xr:uid="{D0E05C91-7BFA-4BAD-9B0B-E923EB956407}"/>
    <cellStyle name="Normal 3 6 4 5" xfId="3035" xr:uid="{BA33FB40-0BF9-4EC4-8E42-3CBE82D17BAA}"/>
    <cellStyle name="Normal 3 6 4 5 2" xfId="7546" xr:uid="{DDE20AB3-37E8-4A00-AE7C-D9087B3F978C}"/>
    <cellStyle name="Normal 3 6 4 6" xfId="5311" xr:uid="{CA533492-12BB-4702-8513-2E4D310EC6B8}"/>
    <cellStyle name="Normal 3 6 5" xfId="1085" xr:uid="{BA5A91B8-C11D-4AD8-A271-08BEDD2FAA5A}"/>
    <cellStyle name="Normal 3 6 5 2" xfId="4528" xr:uid="{61790F88-31C9-4A47-83A9-A1053E68005B}"/>
    <cellStyle name="Normal 3 6 6" xfId="1211" xr:uid="{2598206D-C675-4B62-AEE4-7E33944DCFCC}"/>
    <cellStyle name="Normal 3 6 6 2" xfId="2197" xr:uid="{9D5BE9E0-A1E0-4058-9351-FBB9B38E6083}"/>
    <cellStyle name="Normal 3 6 6 2 2" xfId="6762" xr:uid="{0862BED3-687B-49D1-9F72-231847D30820}"/>
    <cellStyle name="Normal 3 6 6 3" xfId="4912" xr:uid="{EFC448D8-F9C3-478A-AC20-CE8173790C39}"/>
    <cellStyle name="Normal 3 6 6 3 2" xfId="9142" xr:uid="{2836CF4B-D6E2-4097-B1EF-08C61E8BF881}"/>
    <cellStyle name="Normal 3 6 6 4" xfId="5783" xr:uid="{F6A6686B-EA2B-4730-9F2F-EBCCEE2FAAC0}"/>
    <cellStyle name="Normal 3 6 7" xfId="1451" xr:uid="{1DBEFA45-7C13-4D7A-B861-F5D3639B623A}"/>
    <cellStyle name="Normal 3 6 7 2" xfId="2431" xr:uid="{0C277404-8143-48E4-8731-9E87A327BEBF}"/>
    <cellStyle name="Normal 3 6 7 2 2" xfId="6996" xr:uid="{1F89BA3E-18AF-4F58-B4A2-6C69B5FB35AD}"/>
    <cellStyle name="Normal 3 6 7 3" xfId="4251" xr:uid="{E30A8439-F170-4804-BA11-64122ABA9DA2}"/>
    <cellStyle name="Normal 3 6 7 3 2" xfId="8626" xr:uid="{B08A899F-38FB-463E-BCDA-325E0AEDD7A9}"/>
    <cellStyle name="Normal 3 6 7 4" xfId="6017" xr:uid="{C931AAF6-47E0-4CDF-983E-EF914E2BCE48}"/>
    <cellStyle name="Normal 3 6 8" xfId="1701" xr:uid="{DD4BBAF0-A348-47C3-880F-9DDD9221C001}"/>
    <cellStyle name="Normal 3 6 8 2" xfId="2681" xr:uid="{1BF337D1-0321-483C-A8D6-AA375F00ADE2}"/>
    <cellStyle name="Normal 3 6 8 2 2" xfId="7246" xr:uid="{A6AD3734-56CB-4DD6-88B7-D347AC325B26}"/>
    <cellStyle name="Normal 3 6 8 3" xfId="5424" xr:uid="{DFBEADC4-7799-4033-81A3-5028E5ED1D99}"/>
    <cellStyle name="Normal 3 6 8 3 2" xfId="9601" xr:uid="{6A66169D-3535-431B-81BD-5810954CB19D}"/>
    <cellStyle name="Normal 3 6 8 4" xfId="6267" xr:uid="{68EED71B-2B75-4698-A64C-698233DA81A2}"/>
    <cellStyle name="Normal 3 6 9" xfId="1922" xr:uid="{43DFA034-9B50-40AC-87D6-9BDCE9A31537}"/>
    <cellStyle name="Normal 3 6 9 2" xfId="6487" xr:uid="{BD1844EB-D798-48C6-9CDC-A88C1C4360B8}"/>
    <cellStyle name="Normal 3 7" xfId="857" xr:uid="{44A8E6FC-83E5-4CCD-BBFD-023317E274E2}"/>
    <cellStyle name="Normal 3 7 2" xfId="963" xr:uid="{453A4BB0-7ED5-447E-850B-3C47EAF7B0EC}"/>
    <cellStyle name="Normal 3 7 2 2" xfId="1336" xr:uid="{E230FCE1-6A17-4970-955D-21BC8130F172}"/>
    <cellStyle name="Normal 3 7 2 2 2" xfId="2316" xr:uid="{5BD70581-CC8C-450D-BCBD-A3D67AC3A7C5}"/>
    <cellStyle name="Normal 3 7 2 2 2 2" xfId="6881" xr:uid="{6B422C91-0F0C-47D7-A0A6-B3F166C443F3}"/>
    <cellStyle name="Normal 3 7 2 2 3" xfId="4401" xr:uid="{193837C8-298C-4701-8BA7-B615C7D0C47D}"/>
    <cellStyle name="Normal 3 7 2 2 3 2" xfId="8678" xr:uid="{2E046073-6F41-40E1-8F57-2C40A8F465FE}"/>
    <cellStyle name="Normal 3 7 2 2 4" xfId="5902" xr:uid="{EDE90856-FAB1-48FD-B5B9-21B5F5B658B7}"/>
    <cellStyle name="Normal 3 7 2 3" xfId="1570" xr:uid="{2D1AF598-2D41-4CE5-9253-A76B82A162E8}"/>
    <cellStyle name="Normal 3 7 2 3 2" xfId="2550" xr:uid="{DFB5D9CE-9A7A-4E2E-847D-C9D4877F7D96}"/>
    <cellStyle name="Normal 3 7 2 3 2 2" xfId="7115" xr:uid="{AA9F2E04-C592-46F9-8AF1-51983F5084EE}"/>
    <cellStyle name="Normal 3 7 2 3 3" xfId="5395" xr:uid="{E80ED0DC-9A17-4C8D-84DF-8B058C22BCE5}"/>
    <cellStyle name="Normal 3 7 2 3 3 2" xfId="9572" xr:uid="{E13E14A5-807F-433A-9ADD-5C93487CECE6}"/>
    <cellStyle name="Normal 3 7 2 3 4" xfId="6136" xr:uid="{4639EE3F-1D23-4C20-8E1D-05A6D04FA00B}"/>
    <cellStyle name="Normal 3 7 2 4" xfId="1804" xr:uid="{C1115877-F241-4D4D-BDDC-D4AA4F66A02B}"/>
    <cellStyle name="Normal 3 7 2 4 2" xfId="2783" xr:uid="{AE082891-550B-4711-BA4D-94A9C19A64ED}"/>
    <cellStyle name="Normal 3 7 2 4 2 2" xfId="7348" xr:uid="{E36904FB-3469-425C-B7E7-A767F533965D}"/>
    <cellStyle name="Normal 3 7 2 4 3" xfId="5445" xr:uid="{F27DEBD1-BB6E-4CA1-A7BB-B03FB6F6D74D}"/>
    <cellStyle name="Normal 3 7 2 4 3 2" xfId="9621" xr:uid="{B5503EF9-9B75-4FC9-9F62-796AA3770F9B}"/>
    <cellStyle name="Normal 3 7 2 4 4" xfId="6369" xr:uid="{80822799-FCB8-4D51-A261-30048B7911CA}"/>
    <cellStyle name="Normal 3 7 2 5" xfId="2041" xr:uid="{24F5D8DC-E645-485F-8A6A-8B21AD1F5A01}"/>
    <cellStyle name="Normal 3 7 2 5 2" xfId="6606" xr:uid="{C7B5BA37-A012-41EF-A830-5E02A7F92974}"/>
    <cellStyle name="Normal 3 7 2 6" xfId="3430" xr:uid="{42C78281-F98B-4BB9-9E9C-5905E37A456D}"/>
    <cellStyle name="Normal 3 7 2 6 2" xfId="7898" xr:uid="{8521D25E-D202-49F7-BD25-4E5A48AE89EF}"/>
    <cellStyle name="Normal 3 7 2 7" xfId="5627" xr:uid="{257CC579-6C34-47C3-A8A2-4F00536FA846}"/>
    <cellStyle name="Normal 3 7 3" xfId="1045" xr:uid="{08118911-AC2B-42BA-948A-5856D9006B2B}"/>
    <cellStyle name="Normal 3 7 3 2" xfId="1413" xr:uid="{F7E77B98-9BB3-4074-AA3B-23D82FE9EA48}"/>
    <cellStyle name="Normal 3 7 3 2 2" xfId="2393" xr:uid="{9B00FA0A-F98E-42B0-8E2E-6B78ABEFF995}"/>
    <cellStyle name="Normal 3 7 3 2 2 2" xfId="6958" xr:uid="{82375968-9DBA-4C37-9DFF-63C157E6E689}"/>
    <cellStyle name="Normal 3 7 3 2 3" xfId="4475" xr:uid="{C9860DBE-F3BD-426E-B19D-9B6AC5908792}"/>
    <cellStyle name="Normal 3 7 3 2 3 2" xfId="8752" xr:uid="{AEE5CD55-834A-4748-9585-7CC51D8EE531}"/>
    <cellStyle name="Normal 3 7 3 2 4" xfId="5979" xr:uid="{AF024D6C-A301-4FE6-A7E1-34396113E198}"/>
    <cellStyle name="Normal 3 7 3 3" xfId="1647" xr:uid="{DBC78CF4-4E91-4D86-B5D5-2C53F79B741A}"/>
    <cellStyle name="Normal 3 7 3 3 2" xfId="2627" xr:uid="{10C4740D-6916-469E-9B78-677EE3A648C7}"/>
    <cellStyle name="Normal 3 7 3 3 2 2" xfId="7192" xr:uid="{7C687A42-7177-4A24-9694-F09E17FFB8CB}"/>
    <cellStyle name="Normal 3 7 3 3 3" xfId="5410" xr:uid="{F78600A3-19AE-42C1-AA51-B8FB23042489}"/>
    <cellStyle name="Normal 3 7 3 3 3 2" xfId="9587" xr:uid="{57343C1A-CEFA-4635-BFE4-DCE73EC4A246}"/>
    <cellStyle name="Normal 3 7 3 3 4" xfId="6213" xr:uid="{316F0E03-5A87-45E3-80DA-34CDB7EB5D4C}"/>
    <cellStyle name="Normal 3 7 3 4" xfId="1881" xr:uid="{7392E418-8E47-433A-9FB2-4E5A53D6A5A4}"/>
    <cellStyle name="Normal 3 7 3 4 2" xfId="2860" xr:uid="{DD03B529-EC5D-4B00-A371-817FA219BE58}"/>
    <cellStyle name="Normal 3 7 3 4 2 2" xfId="7425" xr:uid="{C57EB142-CC7C-4CC8-825C-34578FEAF362}"/>
    <cellStyle name="Normal 3 7 3 4 3" xfId="5466" xr:uid="{710FEA90-AECC-4EBE-8098-DA4B1DE76B85}"/>
    <cellStyle name="Normal 3 7 3 4 3 2" xfId="9642" xr:uid="{B9C73CD4-A069-4DE9-A17B-634804AB243E}"/>
    <cellStyle name="Normal 3 7 3 4 4" xfId="6446" xr:uid="{637C562E-1BD6-43CB-883F-818EA63E7F8B}"/>
    <cellStyle name="Normal 3 7 3 5" xfId="2118" xr:uid="{F8A5BF09-1ECB-45F0-A8CE-E124AF765257}"/>
    <cellStyle name="Normal 3 7 3 5 2" xfId="6683" xr:uid="{EBF88BC5-FD6F-4B67-AEA3-0C2E30FBAC2B}"/>
    <cellStyle name="Normal 3 7 3 6" xfId="3837" xr:uid="{6887980D-E2CA-47C9-960E-99CA482AEA55}"/>
    <cellStyle name="Normal 3 7 3 6 2" xfId="8286" xr:uid="{6D3ACBFA-5142-4F67-9436-20DD2D677BB4}"/>
    <cellStyle name="Normal 3 7 3 7" xfId="5704" xr:uid="{30ABBC45-44DC-4895-94CD-24BDF16FB3CF}"/>
    <cellStyle name="Normal 3 7 4" xfId="1257" xr:uid="{AC2D3738-3FC0-4D2F-A827-4C0291EA8FE1}"/>
    <cellStyle name="Normal 3 7 4 2" xfId="2239" xr:uid="{E5FABB7E-6EE7-4357-A405-E65BD5AA1B41}"/>
    <cellStyle name="Normal 3 7 4 2 2" xfId="6804" xr:uid="{A340D348-88C8-447A-993F-1F1FC57B99B3}"/>
    <cellStyle name="Normal 3 7 4 3" xfId="4855" xr:uid="{0081D2C2-2762-499C-A5B5-6DABFE26EAAF}"/>
    <cellStyle name="Normal 3 7 4 3 2" xfId="9090" xr:uid="{AEFF3C91-CF0E-41AC-A82A-30A648E60F90}"/>
    <cellStyle name="Normal 3 7 4 4" xfId="5825" xr:uid="{EE08B317-1C9E-43BE-B94E-1BFA8F57BD7A}"/>
    <cellStyle name="Normal 3 7 5" xfId="1493" xr:uid="{634CFDDE-590C-4E9A-A0CF-F0DAB5E770F5}"/>
    <cellStyle name="Normal 3 7 5 2" xfId="2473" xr:uid="{C240ECF7-F3EB-4DD6-B080-4E53DDEAF33C}"/>
    <cellStyle name="Normal 3 7 5 2 2" xfId="7038" xr:uid="{CB15BEAB-948F-49B1-8AF9-4CB650C394CB}"/>
    <cellStyle name="Normal 3 7 5 3" xfId="4177" xr:uid="{FE417BFA-E571-4554-883E-0F3F8FA97C4E}"/>
    <cellStyle name="Normal 3 7 5 3 2" xfId="8606" xr:uid="{DD70B0B6-00C6-4F3C-B872-A18C670FD7E9}"/>
    <cellStyle name="Normal 3 7 5 4" xfId="6059" xr:uid="{386DCD09-C868-411D-AEBF-1629E795CDA2}"/>
    <cellStyle name="Normal 3 7 6" xfId="1727" xr:uid="{5459F40A-B45B-40FC-A84A-39384EE19897}"/>
    <cellStyle name="Normal 3 7 6 2" xfId="2706" xr:uid="{5CF1CC92-E1DA-4A98-A5FB-A4B9034DB77F}"/>
    <cellStyle name="Normal 3 7 6 2 2" xfId="7271" xr:uid="{E00A6D64-2837-4D9F-BB4C-8481E3D77FAE}"/>
    <cellStyle name="Normal 3 7 6 3" xfId="5430" xr:uid="{1D55ADCD-97E3-4598-8CC1-FC7131F241C3}"/>
    <cellStyle name="Normal 3 7 6 3 2" xfId="9606" xr:uid="{9F20EF0E-9288-4CC4-A777-A6D54E6B8BC9}"/>
    <cellStyle name="Normal 3 7 6 4" xfId="6292" xr:uid="{752C40CE-3DD1-4B4D-B203-851FDF37C7EC}"/>
    <cellStyle name="Normal 3 7 7" xfId="1964" xr:uid="{53B47087-B309-409E-B3C1-14FFD9116F83}"/>
    <cellStyle name="Normal 3 7 7 2" xfId="6529" xr:uid="{91EBC82E-656E-4697-9700-5CFA0D35B91A}"/>
    <cellStyle name="Normal 3 7 8" xfId="2948" xr:uid="{9690A6E7-9E14-4894-A46D-E09CF6F032B5}"/>
    <cellStyle name="Normal 3 7 8 2" xfId="7510" xr:uid="{905CA6EF-B488-452D-B3D9-1E2C0DC2E550}"/>
    <cellStyle name="Normal 3 7 9" xfId="5550" xr:uid="{6B67C294-ECC3-4B0B-8C4C-84B301529A41}"/>
    <cellStyle name="Normal 3 8" xfId="30" xr:uid="{08FC565D-2498-44E9-8158-69A0A6450D58}"/>
    <cellStyle name="Normal 3 8 2" xfId="1182" xr:uid="{23DDDF73-1F20-4E19-8A2F-151EC8F2D16D}"/>
    <cellStyle name="Normal 3 8 2 2" xfId="2168" xr:uid="{E5134456-5FB9-4053-B78D-3E9D851EF112}"/>
    <cellStyle name="Normal 3 8 2 2 2" xfId="4429" xr:uid="{9F0631C3-0346-4344-BAAF-D9FCA46DAE1D}"/>
    <cellStyle name="Normal 3 8 2 2 2 2" xfId="8706" xr:uid="{7E25FF62-B9AB-4CDB-B22E-24B349F7D54B}"/>
    <cellStyle name="Normal 3 8 2 2 3" xfId="6733" xr:uid="{857CB15C-72F5-456C-B2DE-C8AFEDA45233}"/>
    <cellStyle name="Normal 3 8 2 3" xfId="3536" xr:uid="{8A7882A5-44B6-40F0-938A-2936E11B7A01}"/>
    <cellStyle name="Normal 3 8 2 3 2" xfId="8003" xr:uid="{07FC94A1-E870-4423-A821-DBDB206ADBD7}"/>
    <cellStyle name="Normal 3 8 2 4" xfId="5754" xr:uid="{EDD26E03-B2BA-4FA4-91FC-C14C23533D0D}"/>
    <cellStyle name="Normal 3 8 3" xfId="1422" xr:uid="{04812CD8-AACC-44F3-87F2-9586FFB14277}"/>
    <cellStyle name="Normal 3 8 3 2" xfId="2402" xr:uid="{AE1E5C26-FA05-400C-AA31-960AD39D3806}"/>
    <cellStyle name="Normal 3 8 3 2 2" xfId="4563" xr:uid="{BC0662D0-6C5E-421F-93CC-04B84BA75547}"/>
    <cellStyle name="Normal 3 8 3 2 2 2" xfId="8818" xr:uid="{E6637322-F36D-4FC3-B9C4-0297B0483F6A}"/>
    <cellStyle name="Normal 3 8 3 2 3" xfId="6967" xr:uid="{5F68183E-69B3-4F6C-A096-420FD27E146F}"/>
    <cellStyle name="Normal 3 8 3 3" xfId="3942" xr:uid="{A9249669-B4C1-45CA-8F86-A884145F8D39}"/>
    <cellStyle name="Normal 3 8 3 3 2" xfId="8391" xr:uid="{76838EF1-3CDA-45CC-BC8D-DF3F373088C6}"/>
    <cellStyle name="Normal 3 8 3 4" xfId="5988" xr:uid="{2F3B315F-0936-4EC9-867D-FF28558E9930}"/>
    <cellStyle name="Normal 3 8 4" xfId="1717" xr:uid="{A1BE4C4F-F6C3-4052-90CD-6E30BEEF4200}"/>
    <cellStyle name="Normal 3 8 4 2" xfId="2696" xr:uid="{E10C12D6-A1D4-4C21-BC06-ACBBD73BD27E}"/>
    <cellStyle name="Normal 3 8 4 2 2" xfId="7261" xr:uid="{5806FAFE-384F-4F05-BE9A-6322A6E7FC1E}"/>
    <cellStyle name="Normal 3 8 4 3" xfId="4928" xr:uid="{4124AF0E-9095-43DB-94E0-713E77CB051A}"/>
    <cellStyle name="Normal 3 8 4 3 2" xfId="9158" xr:uid="{3DB4F245-C751-4253-BFC6-CCBC405681A8}"/>
    <cellStyle name="Normal 3 8 4 4" xfId="6282" xr:uid="{BE669FAD-6870-477B-BB96-D1198FF59A4A}"/>
    <cellStyle name="Normal 3 8 5" xfId="1893" xr:uid="{4060E38E-4733-4024-A663-819BF0CD67AF}"/>
    <cellStyle name="Normal 3 8 5 2" xfId="4281" xr:uid="{80815EAC-9DD3-4CBE-84C9-EEF2C5CF785B}"/>
    <cellStyle name="Normal 3 8 5 2 2" xfId="8634" xr:uid="{3891F834-8674-43D6-ACA9-3073B36D3FE7}"/>
    <cellStyle name="Normal 3 8 5 3" xfId="6458" xr:uid="{70B76908-766B-46BB-8EFC-E5766C746906}"/>
    <cellStyle name="Normal 3 8 6" xfId="3119" xr:uid="{9FD86D63-F24D-48CF-9C72-7DAB395EC58A}"/>
    <cellStyle name="Normal 3 8 6 2" xfId="7615" xr:uid="{2FD26439-76A9-403B-ACF7-1AD7D164E2ED}"/>
    <cellStyle name="Normal 3 8 7" xfId="5479" xr:uid="{5AAA7B49-C436-49D9-BCC5-C0E3DA616E61}"/>
    <cellStyle name="Normal 3 9" xfId="863" xr:uid="{D1C0B55A-6A2F-481A-9233-C1BD34ED0BC7}"/>
    <cellStyle name="Normal 3 9 2" xfId="1263" xr:uid="{8186F239-7521-4271-B222-784137A2AE87}"/>
    <cellStyle name="Normal 3 9 2 2" xfId="2245" xr:uid="{01A6A84F-64C4-44A9-B952-5E0ABC3B613F}"/>
    <cellStyle name="Normal 3 9 2 2 2" xfId="4765" xr:uid="{DBFCA7EB-48A4-4735-A4EB-B0CE0B951057}"/>
    <cellStyle name="Normal 3 9 2 2 2 2" xfId="9011" xr:uid="{7F8D1BCD-A9EE-486C-8F6D-73F44869A9BA}"/>
    <cellStyle name="Normal 3 9 2 2 3" xfId="6810" xr:uid="{D8D97E3B-D7CB-41DD-BC4B-D3F7C3F01E01}"/>
    <cellStyle name="Normal 3 9 2 3" xfId="3641" xr:uid="{95263DD2-4EF4-45D8-940A-38E809FA2540}"/>
    <cellStyle name="Normal 3 9 2 3 2" xfId="8108" xr:uid="{0DB468F7-4C1C-4145-B37B-C3513B996C44}"/>
    <cellStyle name="Normal 3 9 2 4" xfId="5831" xr:uid="{F2537AC1-6C5D-4B19-9463-DDA25B11FF09}"/>
    <cellStyle name="Normal 3 9 3" xfId="1499" xr:uid="{F444F662-41F5-4D23-92F6-6E4A9A82EA49}"/>
    <cellStyle name="Normal 3 9 3 2" xfId="2479" xr:uid="{90D7D190-2B47-4D47-9EF7-DE4A626F33C9}"/>
    <cellStyle name="Normal 3 9 3 2 2" xfId="5149" xr:uid="{CBA88374-B3F2-4268-B44F-BB2808885FBB}"/>
    <cellStyle name="Normal 3 9 3 2 2 2" xfId="9374" xr:uid="{B0A987E6-FE96-46CF-9502-95FBE0BD219C}"/>
    <cellStyle name="Normal 3 9 3 2 3" xfId="7044" xr:uid="{BB367C9D-5581-4B5A-8C70-BA77F2FEC3B8}"/>
    <cellStyle name="Normal 3 9 3 3" xfId="4047" xr:uid="{3F1C7FE3-1654-48D5-A9C6-8345B1BCACFF}"/>
    <cellStyle name="Normal 3 9 3 3 2" xfId="8496" xr:uid="{4FED41C9-AA8D-4918-A4DB-23F0987E3820}"/>
    <cellStyle name="Normal 3 9 3 4" xfId="6065" xr:uid="{F0F93040-0720-41A2-8A94-11CF6A518717}"/>
    <cellStyle name="Normal 3 9 4" xfId="1733" xr:uid="{D480C66E-F240-4FD9-BA95-01457287D66F}"/>
    <cellStyle name="Normal 3 9 4 2" xfId="2712" xr:uid="{DB81DE42-92A2-435B-8D60-94A03B50AC46}"/>
    <cellStyle name="Normal 3 9 4 2 2" xfId="7277" xr:uid="{BBCE0333-0888-4807-A0B1-73056E03304D}"/>
    <cellStyle name="Normal 3 9 4 3" xfId="4174" xr:uid="{AF4590D2-A214-4FE2-A3D2-EFF5AC61545B}"/>
    <cellStyle name="Normal 3 9 4 3 2" xfId="8604" xr:uid="{44808CE6-AF94-48E3-AF3F-57A7CAAEC8D8}"/>
    <cellStyle name="Normal 3 9 4 4" xfId="6298" xr:uid="{7893DE4E-5740-41F9-9E19-514FEB8A691E}"/>
    <cellStyle name="Normal 3 9 5" xfId="1970" xr:uid="{113E4FE6-2A09-4B82-A4F2-B19FABF6264A}"/>
    <cellStyle name="Normal 3 9 5 2" xfId="6535" xr:uid="{8A021BC8-95E2-446C-B48A-D915B9BBC8CA}"/>
    <cellStyle name="Normal 3 9 6" xfId="3225" xr:uid="{13675389-6FAF-4D56-9F8B-7B290316BD87}"/>
    <cellStyle name="Normal 3 9 6 2" xfId="7720" xr:uid="{520FBA3F-E989-4349-BDB5-EFB8CA947BF4}"/>
    <cellStyle name="Normal 3 9 7" xfId="5556" xr:uid="{559555B5-21D1-43AA-8DE6-3053AABF5253}"/>
    <cellStyle name="Normal 3_Sheet2" xfId="2955" xr:uid="{727A2204-69E4-4F23-8C3C-93475D5B5D0E}"/>
    <cellStyle name="Normal 30" xfId="445" xr:uid="{3AE869FD-854D-486D-99D0-48EF674B08E4}"/>
    <cellStyle name="Normal 30 2" xfId="608" xr:uid="{2A2C38DC-5170-4E48-B245-F5AA81D1A38E}"/>
    <cellStyle name="Normal 31" xfId="446" xr:uid="{BCA8AF8C-5D3C-452D-8681-16C41DE964F4}"/>
    <cellStyle name="Normal 31 2" xfId="607" xr:uid="{2453B9CD-6184-4D7C-82F0-C7D5357CC573}"/>
    <cellStyle name="Normal 32" xfId="447" xr:uid="{0CDC0B28-B782-4676-8872-D47313868769}"/>
    <cellStyle name="Normal 32 2" xfId="606" xr:uid="{8F41CFC7-E826-418F-9195-2A09F9EF73D3}"/>
    <cellStyle name="Normal 33" xfId="448" xr:uid="{558695AE-6DF5-4D31-9102-988ED3ADBD63}"/>
    <cellStyle name="Normal 33 2" xfId="301" xr:uid="{1FC976E7-5527-49C2-8123-11A1BCBCAA47}"/>
    <cellStyle name="Normal 34" xfId="449" xr:uid="{A88BD905-027B-4842-898F-9CE9451B95B7}"/>
    <cellStyle name="Normal 34 2" xfId="356" xr:uid="{B3CB0C35-2B57-40EF-B6F6-7ADD47B7DBE3}"/>
    <cellStyle name="Normal 35" xfId="450" xr:uid="{63B95FE4-2781-4A76-B9A0-19776D6DEB0B}"/>
    <cellStyle name="Normal 35 2" xfId="555" xr:uid="{D67CE0DF-A79D-4F41-A0D5-5DAF2833FD38}"/>
    <cellStyle name="Normal 36" xfId="451" xr:uid="{B40D905E-3138-461C-AEB4-0948C51339CB}"/>
    <cellStyle name="Normal 36 2" xfId="556" xr:uid="{A204E624-EB04-4E63-A7AB-83E12A868B20}"/>
    <cellStyle name="Normal 37" xfId="452" xr:uid="{055EE3AC-667E-4163-BFDA-8D41917AC32D}"/>
    <cellStyle name="Normal 37 2" xfId="557" xr:uid="{D70A84AF-2610-45FA-82F0-82802E2D9914}"/>
    <cellStyle name="Normal 38" xfId="453" xr:uid="{0F641157-E9E1-4309-8CA3-CBAF3E8BF4E2}"/>
    <cellStyle name="Normal 38 2" xfId="763" xr:uid="{4F5A766F-F91C-439F-A71D-609C9277448F}"/>
    <cellStyle name="Normal 39" xfId="454" xr:uid="{1CF98B4C-A3F9-4A2C-97F6-4AB63274478D}"/>
    <cellStyle name="Normal 39 2" xfId="764" xr:uid="{029B1FED-B2F9-4C98-B3FC-83DE218CC110}"/>
    <cellStyle name="Normal 4" xfId="16" xr:uid="{00000000-0005-0000-0000-000008000000}"/>
    <cellStyle name="Normal 4 10" xfId="4173" xr:uid="{3E4269D4-E4BA-463F-9224-888C017EBD8E}"/>
    <cellStyle name="Normal 4 10 2" xfId="8603" xr:uid="{0622CDB0-AAF3-4983-8213-1E3231BB09A3}"/>
    <cellStyle name="Normal 4 11" xfId="2869" xr:uid="{BEB1086E-2877-458F-B847-9DD435CDAEBD}"/>
    <cellStyle name="Normal 4 11 2" xfId="7434" xr:uid="{59B1BB57-8BBF-4C64-9F0D-633C9870233D}"/>
    <cellStyle name="Normal 4 12" xfId="21" xr:uid="{0F8C247E-E344-4FA3-B635-EF7E88E0B927}"/>
    <cellStyle name="Normal 4 13" xfId="5471" xr:uid="{A2DAF02F-0411-48F5-9B82-1338E322B9A7}"/>
    <cellStyle name="Normal 4 2" xfId="456" xr:uid="{EA4430AE-5238-4CCA-A63C-08DD943E41D6}"/>
    <cellStyle name="Normal 4 2 2" xfId="457" xr:uid="{C2819992-9E10-452B-B923-DC9F8DE62587}"/>
    <cellStyle name="Normal 4 2 2 2" xfId="765" xr:uid="{8E58FAB8-C3C9-418D-96A0-D83EB29EAB5D}"/>
    <cellStyle name="Normal 4 2 2 3" xfId="766" xr:uid="{3031B32B-8823-4AEA-AD73-2D41D7E7DD57}"/>
    <cellStyle name="Normal 4 3" xfId="458" xr:uid="{92620485-2871-442F-B491-22B19449ED65}"/>
    <cellStyle name="Normal 4 3 2" xfId="767" xr:uid="{C8274F64-375B-4492-85FC-E84FA63800A1}"/>
    <cellStyle name="Normal 4 4" xfId="459" xr:uid="{EB676D4E-209C-4511-9B72-80FDA43EA5CD}"/>
    <cellStyle name="Normal 4 5" xfId="768" xr:uid="{00DEC98D-3EC6-416F-9E90-B04C7FE6DA92}"/>
    <cellStyle name="Normal 4 6" xfId="455" xr:uid="{118358C9-6B89-4AE7-B8E2-85768616B274}"/>
    <cellStyle name="Normal 4 7" xfId="26" xr:uid="{398CB57F-F1B3-4ABF-9266-7E61F85C8C1F}"/>
    <cellStyle name="Normal 4 7 2" xfId="4516" xr:uid="{7D09FFB6-90AC-4AF9-A7A0-371BDCA68C60}"/>
    <cellStyle name="Normal 4 7 2 2" xfId="8784" xr:uid="{600A233C-6B82-4E65-A28A-C30387DCCAB8}"/>
    <cellStyle name="Normal 4 7 3" xfId="2874" xr:uid="{03E4B166-60FA-4A2C-9229-F8A56D37B6D8}"/>
    <cellStyle name="Normal 4 7 3 2" xfId="7439" xr:uid="{B27E1A4E-2C49-456B-B286-A8F0CD21ABA9}"/>
    <cellStyle name="Normal 4 7 4" xfId="5476" xr:uid="{28D25CA1-72FF-4680-AE15-D03953622E44}"/>
    <cellStyle name="Normal 4 8" xfId="1890" xr:uid="{62BB2C28-720B-49A3-B3CF-25BC1760AF9C}"/>
    <cellStyle name="Normal 4 8 2" xfId="4880" xr:uid="{E92DCB55-565B-4336-94E4-4C4A4EF7BBBE}"/>
    <cellStyle name="Normal 4 8 2 2" xfId="9113" xr:uid="{4E3EAA0A-1EE1-481D-A20D-3D6463144B13}"/>
    <cellStyle name="Normal 4 8 3" xfId="3338" xr:uid="{9CE2D9A2-EF94-4DEB-A7D6-44E24F667C3B}"/>
    <cellStyle name="Normal 4 8 3 2" xfId="7827" xr:uid="{AB510F58-0ED3-4364-8642-EB6A6191D1A8}"/>
    <cellStyle name="Normal 4 8 4" xfId="6455" xr:uid="{C4E73C8E-7CEE-4FB6-85CA-A74A941C6DF6}"/>
    <cellStyle name="Normal 4 9" xfId="3762" xr:uid="{84ECAB91-6BF3-4199-840D-460B3AAB9F53}"/>
    <cellStyle name="Normal 4 9 2" xfId="8215" xr:uid="{48C80B57-3D48-4D72-9CB4-27C4B9060F49}"/>
    <cellStyle name="Normal 40" xfId="460" xr:uid="{90D3AE34-88C2-4CD8-B4A6-879D0D3DFB88}"/>
    <cellStyle name="Normal 40 2" xfId="769" xr:uid="{125FB080-4C99-4B16-8830-E25AB88B6365}"/>
    <cellStyle name="Normal 41" xfId="461" xr:uid="{70F78FDB-37C6-418C-BF31-7DA8264B54E8}"/>
    <cellStyle name="Normal 41 2" xfId="770" xr:uid="{AEE68653-1FFC-4326-88E0-68C56689889A}"/>
    <cellStyle name="Normal 42" xfId="462" xr:uid="{E6BEB55F-984E-406D-A374-64ABB26396F1}"/>
    <cellStyle name="Normal 42 2" xfId="771" xr:uid="{84459893-D3AC-4EEF-A10C-A5F288F777C5}"/>
    <cellStyle name="Normal 43" xfId="463" xr:uid="{04D01B1C-68E3-4FF2-9161-FDE21E33FA0A}"/>
    <cellStyle name="Normal 43 2" xfId="772" xr:uid="{1B9E01E2-74EF-40AA-8623-8809EA1D17F4}"/>
    <cellStyle name="Normal 44" xfId="464" xr:uid="{36C1B403-8311-4E36-9143-7229C275B65A}"/>
    <cellStyle name="Normal 44 2" xfId="773" xr:uid="{3EADF24B-DB01-4208-B948-54CCFAB6F383}"/>
    <cellStyle name="Normal 45" xfId="465" xr:uid="{A10F97D1-D920-4EBF-860F-EF6D0D7DF5BF}"/>
    <cellStyle name="Normal 45 2" xfId="774" xr:uid="{F81B48C0-F0E8-4F0B-B0BF-08BD9FC739E7}"/>
    <cellStyle name="Normal 46" xfId="466" xr:uid="{52B4CE55-F5B5-4228-9242-DD5A6113C045}"/>
    <cellStyle name="Normal 46 2" xfId="775" xr:uid="{D4AF4AA9-3E2D-4494-91EB-13F4106471B6}"/>
    <cellStyle name="Normal 47" xfId="467" xr:uid="{249340B4-0A7B-471E-A6BF-F5B128AAF651}"/>
    <cellStyle name="Normal 47 2" xfId="776" xr:uid="{FF51F67C-B92D-4427-9DE6-D85204BA3742}"/>
    <cellStyle name="Normal 48" xfId="468" xr:uid="{F9D5C98C-80D6-4C30-8F68-30F29A24DA75}"/>
    <cellStyle name="Normal 48 2" xfId="777" xr:uid="{28D0C635-69D9-4F2A-9886-4FCEDE4E0950}"/>
    <cellStyle name="Normal 49" xfId="469" xr:uid="{F6154160-78BF-4E1B-A53B-021B9877CF01}"/>
    <cellStyle name="Normal 49 2" xfId="470" xr:uid="{2C92B6C0-60A2-4F7B-8207-8DA07E7DA395}"/>
    <cellStyle name="Normal 49 2 2" xfId="779" xr:uid="{53B6BF89-3493-4987-B3FD-7DE7FBA284A6}"/>
    <cellStyle name="Normal 49 3" xfId="778" xr:uid="{5C87DD22-E1A0-4DF9-A5A7-240830F5CA8F}"/>
    <cellStyle name="Normal 49 3 2" xfId="885" xr:uid="{FE907681-8B3F-46DC-BC6D-A681D5D76F94}"/>
    <cellStyle name="Normal 49 3 2 2" xfId="4162" xr:uid="{0620728D-33F2-4605-A695-297D51B20DA8}"/>
    <cellStyle name="Normal 49 3 3" xfId="1154" xr:uid="{24B6BD84-4930-42A7-9F89-8982F35FC62F}"/>
    <cellStyle name="Normal 49 3 3 2" xfId="5313" xr:uid="{47263909-1986-4734-9B1E-D076AC9BDD3F}"/>
    <cellStyle name="Normal 49 4" xfId="1153" xr:uid="{3959BB40-1DA7-4E62-A69B-EECF0793D16D}"/>
    <cellStyle name="Normal 49 4 2" xfId="5312" xr:uid="{629A47C7-C595-4D02-953F-61D3BA978151}"/>
    <cellStyle name="Normal 5" xfId="17" xr:uid="{00000000-0005-0000-0000-000009000000}"/>
    <cellStyle name="Normal 5 2" xfId="472" xr:uid="{3B999232-9F06-4C01-B121-418F8AE41A09}"/>
    <cellStyle name="Normal 5 2 2" xfId="780" xr:uid="{AAE61031-7932-41A7-82B4-2F2ED3611CE3}"/>
    <cellStyle name="Normal 5 3" xfId="473" xr:uid="{FD43BF6F-9F76-4DBE-91AD-E1E08B8964BD}"/>
    <cellStyle name="Normal 5 3 2" xfId="474" xr:uid="{E1CB2851-BD39-4BCC-9FE1-46EA21F4B651}"/>
    <cellStyle name="Normal 5 3 3" xfId="781" xr:uid="{5B56193A-B79C-4596-9CD9-DAFC6396DF56}"/>
    <cellStyle name="Normal 5 4" xfId="475" xr:uid="{2CC78AF5-A67A-4B3C-8C0F-AD60EF86F003}"/>
    <cellStyle name="Normal 5 4 2" xfId="476" xr:uid="{8DAABD93-5184-48C8-99F0-72F7A5251AD0}"/>
    <cellStyle name="Normal 5 4 2 2" xfId="782" xr:uid="{076A21B8-8935-4239-8687-90D9A94749C7}"/>
    <cellStyle name="Normal 5 4 2 3" xfId="783" xr:uid="{603CA4A9-B190-41FE-9521-AB9D64E99505}"/>
    <cellStyle name="Normal 5 5" xfId="477" xr:uid="{818875B8-CE7C-43B8-B38D-98B4F564AAB3}"/>
    <cellStyle name="Normal 5 5 2" xfId="784" xr:uid="{E5867554-8DCE-4190-8361-A3C74C9EA8E7}"/>
    <cellStyle name="Normal 5 5 2 2" xfId="4384" xr:uid="{6F73C7F8-6150-49E3-8F95-16DC26142CE1}"/>
    <cellStyle name="Normal 5 5 2 3" xfId="4254" xr:uid="{FB5CC75A-AAE0-4B99-AB8F-5E852B3D17B6}"/>
    <cellStyle name="Normal 5 5 3" xfId="785" xr:uid="{819EB81E-2211-4840-8176-DA4D40A22D24}"/>
    <cellStyle name="Normal 5 5 3 2" xfId="4255" xr:uid="{8C16538A-4A55-4EFF-9D85-FB48A93B4A3D}"/>
    <cellStyle name="Normal 5 5 4" xfId="4383" xr:uid="{D5583FDF-ED44-4171-A45B-DAC4E62B60A6}"/>
    <cellStyle name="Normal 5 5 5" xfId="4875" xr:uid="{94BAFD3D-B0D9-4384-B468-4CE1FC28A3AA}"/>
    <cellStyle name="Normal 5 5 6" xfId="4253" xr:uid="{95879394-8C8F-448E-A0CA-C3186F00E09E}"/>
    <cellStyle name="Normal 5 6" xfId="471" xr:uid="{DCE522FB-90DC-42CF-B9E9-F81AEE5B27C0}"/>
    <cellStyle name="Normal 5 7" xfId="2870" xr:uid="{D63F9915-195E-4AF2-BE18-08C8545E0A7A}"/>
    <cellStyle name="Normal 5 7 2" xfId="7435" xr:uid="{50A865F0-014E-4060-8A50-8F32D1D73EFA}"/>
    <cellStyle name="Normal 5 8" xfId="22" xr:uid="{D08B3853-ED49-42EF-BD40-08E4DC9FA532}"/>
    <cellStyle name="Normal 5 9" xfId="5472" xr:uid="{AD4659E3-B928-4BBD-A7DA-53AB049BA37A}"/>
    <cellStyle name="Normal 50" xfId="478" xr:uid="{1678A19B-E2E7-4155-89D7-F6E8A7B21E6B}"/>
    <cellStyle name="Normal 50 2" xfId="786" xr:uid="{F48E2502-DCD5-438E-8610-573D4D3AB785}"/>
    <cellStyle name="Normal 51" xfId="479" xr:uid="{04968D80-8ED6-4C5D-ADB7-1DD15509B5F2}"/>
    <cellStyle name="Normal 51 2" xfId="787" xr:uid="{10817A03-C3DA-47B3-B072-4B79416279F7}"/>
    <cellStyle name="Normal 52" xfId="480" xr:uid="{9441CAEF-F118-4E30-9F49-0556541BEAAB}"/>
    <cellStyle name="Normal 52 2" xfId="788" xr:uid="{C8F51732-42F1-48C5-A363-07EB1EC5E3E5}"/>
    <cellStyle name="Normal 53" xfId="481" xr:uid="{A4A08100-7609-4A59-981B-EE28672DAE03}"/>
    <cellStyle name="Normal 53 2" xfId="789" xr:uid="{4A16D706-4BF8-40F2-87C5-44C3CB60840A}"/>
    <cellStyle name="Normal 54" xfId="482" xr:uid="{77BD6B64-84AE-4068-8C21-830E4FD57953}"/>
    <cellStyle name="Normal 54 2" xfId="790" xr:uid="{43D09FF0-100B-46EC-A65E-4F06FA23DB5B}"/>
    <cellStyle name="Normal 55" xfId="483" xr:uid="{C084F446-CB74-4C64-B9D4-BDF0C4342E12}"/>
    <cellStyle name="Normal 55 2" xfId="484" xr:uid="{10004462-AD40-4C65-A024-6AC44664B6C0}"/>
    <cellStyle name="Normal 55 2 2" xfId="792" xr:uid="{C4F035C1-1996-495C-B495-911AD060E6CA}"/>
    <cellStyle name="Normal 55 3" xfId="791" xr:uid="{EA623CF7-9E93-44B7-A09A-5D1FE5554B1C}"/>
    <cellStyle name="Normal 55 3 2" xfId="920" xr:uid="{CA5B7973-9195-4E10-8322-3FC49AC327DA}"/>
    <cellStyle name="Normal 55 3 2 2" xfId="4163" xr:uid="{6DEA3186-C9DB-4AD4-8325-36312B30D2D7}"/>
    <cellStyle name="Normal 55 3 3" xfId="1156" xr:uid="{085BB43F-E606-4CAC-A46B-D496006CCF2F}"/>
    <cellStyle name="Normal 55 3 3 2" xfId="5315" xr:uid="{FB1801D0-17C1-43B2-8D7A-445614520A56}"/>
    <cellStyle name="Normal 55 4" xfId="1155" xr:uid="{A6F9EC5A-EA4B-47AA-B572-8227129E9983}"/>
    <cellStyle name="Normal 55 4 2" xfId="5314" xr:uid="{1AFA70D8-E6ED-43FB-8EF3-1A206570006D}"/>
    <cellStyle name="Normal 56" xfId="485" xr:uid="{546485C6-60F3-46F5-9B34-A97EFB6B0935}"/>
    <cellStyle name="Normal 56 2" xfId="486" xr:uid="{1FB04433-63AD-40D9-9A3E-95E65AC6F185}"/>
    <cellStyle name="Normal 56 3" xfId="487" xr:uid="{9284AD13-B12A-4919-9A17-E1F1023361BC}"/>
    <cellStyle name="Normal 56 3 2" xfId="488" xr:uid="{19F55180-18B1-4A09-B7D8-DF991A36DE71}"/>
    <cellStyle name="Normal 56 4" xfId="489" xr:uid="{4384BBC6-F955-446F-A22A-5388D3267CCF}"/>
    <cellStyle name="Normal 56 4 10" xfId="2908" xr:uid="{DDF4D337-3E7F-4619-A751-DFB013BED800}"/>
    <cellStyle name="Normal 56 4 10 2" xfId="7470" xr:uid="{C7D573C6-0937-4BE3-BD94-8A4A6AF299DC}"/>
    <cellStyle name="Normal 56 4 11" xfId="5510" xr:uid="{54F1A46E-5C07-424F-8346-75BA21173DF6}"/>
    <cellStyle name="Normal 56 4 2" xfId="859" xr:uid="{563EE493-315C-4A29-893E-BD94558D83E7}"/>
    <cellStyle name="Normal 56 4 2 2" xfId="965" xr:uid="{5E7A005E-37D6-4E34-9C3D-2B6E3898367C}"/>
    <cellStyle name="Normal 56 4 2 2 2" xfId="1338" xr:uid="{2DA5CB6F-7287-4E94-A867-4192EF8B532E}"/>
    <cellStyle name="Normal 56 4 2 2 2 2" xfId="2318" xr:uid="{C2846990-0E0A-41B7-9449-A9D2CA7ADF8D}"/>
    <cellStyle name="Normal 56 4 2 2 2 2 2" xfId="4727" xr:uid="{0BB37C79-B789-4268-B53E-8D72AFAF3577}"/>
    <cellStyle name="Normal 56 4 2 2 2 2 2 2" xfId="8973" xr:uid="{D19F6397-68FF-4DE3-A725-F1021341481B}"/>
    <cellStyle name="Normal 56 4 2 2 2 2 3" xfId="6883" xr:uid="{9EE0ED6F-6465-43F6-8A27-F9798C3B6CF4}"/>
    <cellStyle name="Normal 56 4 2 2 2 3" xfId="3603" xr:uid="{452C0ADB-3FBC-44FD-BF09-F64E733D5D4C}"/>
    <cellStyle name="Normal 56 4 2 2 2 3 2" xfId="8070" xr:uid="{2098E6A3-E9C7-4944-A467-10FDE9E5292C}"/>
    <cellStyle name="Normal 56 4 2 2 2 4" xfId="5904" xr:uid="{C89DF436-76B9-4EA0-8858-4583AE9DC117}"/>
    <cellStyle name="Normal 56 4 2 2 3" xfId="1572" xr:uid="{E632832E-3147-459B-A3E3-96EB01244885}"/>
    <cellStyle name="Normal 56 4 2 2 3 2" xfId="2552" xr:uid="{06573C07-BF9E-4A3F-89A3-758B45D2BEFF}"/>
    <cellStyle name="Normal 56 4 2 2 3 2 2" xfId="5111" xr:uid="{2AD7CAF4-442F-4943-8540-F88806011AC3}"/>
    <cellStyle name="Normal 56 4 2 2 3 2 2 2" xfId="9336" xr:uid="{9296CBDC-26FB-4FA0-93AE-6DB621DB0569}"/>
    <cellStyle name="Normal 56 4 2 2 3 2 3" xfId="7117" xr:uid="{00CFBA1C-4184-485E-A9B7-D8BAB5650491}"/>
    <cellStyle name="Normal 56 4 2 2 3 3" xfId="4009" xr:uid="{CBD6B945-62A4-4D4C-ADA4-14351EE4C638}"/>
    <cellStyle name="Normal 56 4 2 2 3 3 2" xfId="8458" xr:uid="{7ED95721-0855-4F1E-B4DE-3EE9B49F2DBB}"/>
    <cellStyle name="Normal 56 4 2 2 3 4" xfId="6138" xr:uid="{1106A3B3-BFA9-47E9-9E75-8A4536382D80}"/>
    <cellStyle name="Normal 56 4 2 2 4" xfId="1806" xr:uid="{02E251E2-AE7D-4C07-9324-7ACD7B37CDCC}"/>
    <cellStyle name="Normal 56 4 2 2 4 2" xfId="2785" xr:uid="{4CA97E67-DE24-43A0-A35D-B28B165DF89F}"/>
    <cellStyle name="Normal 56 4 2 2 4 2 2" xfId="7350" xr:uid="{FFD0D322-537B-4B37-BB95-9184357F3AA7}"/>
    <cellStyle name="Normal 56 4 2 2 4 3" xfId="4451" xr:uid="{D867AFA7-59CD-41CE-A06A-43211DF59F28}"/>
    <cellStyle name="Normal 56 4 2 2 4 3 2" xfId="8728" xr:uid="{39101ECE-FBD8-42F5-B726-8A4F4C4D0781}"/>
    <cellStyle name="Normal 56 4 2 2 4 4" xfId="6371" xr:uid="{5E6B9124-207E-4F3F-A971-8496EBFF4FFF}"/>
    <cellStyle name="Normal 56 4 2 2 5" xfId="2043" xr:uid="{39D5CB3E-B959-4A50-94F9-0DF32E60D1E6}"/>
    <cellStyle name="Normal 56 4 2 2 5 2" xfId="6608" xr:uid="{BEC0C790-DA44-434C-9D11-3F4936C55B21}"/>
    <cellStyle name="Normal 56 4 2 2 6" xfId="3187" xr:uid="{E65BA3DB-5C3A-4751-9333-4D0C84C30861}"/>
    <cellStyle name="Normal 56 4 2 2 6 2" xfId="7682" xr:uid="{701E4BCA-2A0B-472B-A74C-A4B20FEB93A7}"/>
    <cellStyle name="Normal 56 4 2 2 7" xfId="5629" xr:uid="{1410DCCB-1541-4F03-9E04-BB39DDE90C18}"/>
    <cellStyle name="Normal 56 4 2 3" xfId="1047" xr:uid="{EBAE94A5-CD31-4823-AB7E-F0533F34D166}"/>
    <cellStyle name="Normal 56 4 2 3 2" xfId="1415" xr:uid="{6422326A-6051-47BB-A968-A81EB17BBEAF}"/>
    <cellStyle name="Normal 56 4 2 3 2 2" xfId="2395" xr:uid="{4E1FD261-0214-435B-A7BB-7E6C6063AF40}"/>
    <cellStyle name="Normal 56 4 2 3 2 2 2" xfId="5216" xr:uid="{29904B5F-3F03-4FBD-A491-1B7F3CFC14A9}"/>
    <cellStyle name="Normal 56 4 2 3 2 2 2 2" xfId="9441" xr:uid="{D82C02EE-54B2-41A0-A8A5-C29A0590CF11}"/>
    <cellStyle name="Normal 56 4 2 3 2 2 3" xfId="6960" xr:uid="{962DDB7A-3288-4719-B651-238618F4900F}"/>
    <cellStyle name="Normal 56 4 2 3 2 3" xfId="3708" xr:uid="{12669159-E7BC-4A0D-B972-9D21A7E592FD}"/>
    <cellStyle name="Normal 56 4 2 3 2 3 2" xfId="8175" xr:uid="{03DFA7EF-68CC-4D18-BA1D-03883DAC6DD1}"/>
    <cellStyle name="Normal 56 4 2 3 2 4" xfId="5981" xr:uid="{5DF02771-2F72-4513-B0B0-6AEDA1EF774F}"/>
    <cellStyle name="Normal 56 4 2 3 3" xfId="1649" xr:uid="{98DBDDB0-8121-4F5E-A0D5-25F8F18401FB}"/>
    <cellStyle name="Normal 56 4 2 3 3 2" xfId="2629" xr:uid="{C333DBA4-5CD6-4DCF-AD99-815D1D2145D6}"/>
    <cellStyle name="Normal 56 4 2 3 3 2 2" xfId="7194" xr:uid="{91D07C3B-253B-4C33-8DDC-63F735586A12}"/>
    <cellStyle name="Normal 56 4 2 3 3 3" xfId="4114" xr:uid="{317C31BA-B352-4E17-835A-93A1FDE98560}"/>
    <cellStyle name="Normal 56 4 2 3 3 3 2" xfId="8563" xr:uid="{F1AD76C4-A45F-4BDD-A619-501E18F3162A}"/>
    <cellStyle name="Normal 56 4 2 3 3 4" xfId="6215" xr:uid="{7F36875F-D175-4434-959A-4F3C0620619D}"/>
    <cellStyle name="Normal 56 4 2 3 4" xfId="1883" xr:uid="{5E6FF9D4-1258-4EBC-A797-6E2D8F3BA220}"/>
    <cellStyle name="Normal 56 4 2 3 4 2" xfId="2862" xr:uid="{D21F8859-286C-49C5-918F-C900ACE0D267}"/>
    <cellStyle name="Normal 56 4 2 3 4 2 2" xfId="7427" xr:uid="{BA666384-1772-46AB-BBF2-6582388B9FAA}"/>
    <cellStyle name="Normal 56 4 2 3 4 3" xfId="4585" xr:uid="{0AC1BED5-DCE9-4844-A18F-201D489CA7F5}"/>
    <cellStyle name="Normal 56 4 2 3 4 3 2" xfId="8840" xr:uid="{A12A7A45-6FDC-4ED0-884C-E1999C409127}"/>
    <cellStyle name="Normal 56 4 2 3 4 4" xfId="6448" xr:uid="{437DD1BA-F21E-4DFE-9619-42B625705846}"/>
    <cellStyle name="Normal 56 4 2 3 5" xfId="2120" xr:uid="{3AB257DF-1427-4540-BAA5-62715AD4DCB4}"/>
    <cellStyle name="Normal 56 4 2 3 5 2" xfId="6685" xr:uid="{E4586FC7-FF12-4F8C-8AF1-FCD407D4EFC2}"/>
    <cellStyle name="Normal 56 4 2 3 6" xfId="3294" xr:uid="{F5871D71-355A-4203-90CB-A3BC908138CD}"/>
    <cellStyle name="Normal 56 4 2 3 6 2" xfId="7787" xr:uid="{FCD38659-9F07-4B74-93FE-DED8B8635563}"/>
    <cellStyle name="Normal 56 4 2 3 7" xfId="5706" xr:uid="{602A47BE-D69F-4F97-A126-1338FCAA331F}"/>
    <cellStyle name="Normal 56 4 2 4" xfId="1259" xr:uid="{485B2EEE-E23B-453C-A72F-BC076455ACF8}"/>
    <cellStyle name="Normal 56 4 2 4 2" xfId="2241" xr:uid="{44346A80-978B-4996-BF86-6DC9938B5842}"/>
    <cellStyle name="Normal 56 4 2 4 2 2" xfId="5010" xr:uid="{1035CD05-5D91-4383-AA06-4F8E3FB06EC4}"/>
    <cellStyle name="Normal 56 4 2 4 2 2 2" xfId="9236" xr:uid="{74176CA3-0490-4DE6-860C-33D2248B1211}"/>
    <cellStyle name="Normal 56 4 2 4 2 3" xfId="3498" xr:uid="{90AD44EE-B0B9-4C3A-8197-C32BFC65C819}"/>
    <cellStyle name="Normal 56 4 2 4 2 3 2" xfId="7965" xr:uid="{0B4D3D23-F03F-4304-AC48-32364811A3E9}"/>
    <cellStyle name="Normal 56 4 2 4 2 4" xfId="6806" xr:uid="{7E0376A0-6538-4F36-805E-6FDDA45569B8}"/>
    <cellStyle name="Normal 56 4 2 4 3" xfId="3904" xr:uid="{BAF30E52-B71F-4CD5-8DFF-26A115F762BF}"/>
    <cellStyle name="Normal 56 4 2 4 3 2" xfId="8353" xr:uid="{8C1EF772-7584-48F8-99DB-DF58012DCC8A}"/>
    <cellStyle name="Normal 56 4 2 4 4" xfId="4650" xr:uid="{90D29AA9-8DAE-4A0E-81FB-450357C1BA55}"/>
    <cellStyle name="Normal 56 4 2 4 4 2" xfId="8896" xr:uid="{D0EA4F3F-91CB-4ADF-966B-3EC4E782B311}"/>
    <cellStyle name="Normal 56 4 2 4 5" xfId="3067" xr:uid="{79E21B7B-9FCF-430B-91A5-E45C02CD3405}"/>
    <cellStyle name="Normal 56 4 2 4 5 2" xfId="7577" xr:uid="{4F5CECB9-DB36-477F-BEE7-5D7520F9275B}"/>
    <cellStyle name="Normal 56 4 2 4 6" xfId="5827" xr:uid="{12689AC2-140B-4379-8068-C2518B66D4C7}"/>
    <cellStyle name="Normal 56 4 2 5" xfId="1495" xr:uid="{8BC9AE17-E6F7-4C2E-A34E-3C41AA5FD3C5}"/>
    <cellStyle name="Normal 56 4 2 5 2" xfId="2475" xr:uid="{59F7B6C4-D12A-4C0F-AF1D-5B8A4CB76D9A}"/>
    <cellStyle name="Normal 56 4 2 5 2 2" xfId="4950" xr:uid="{9E01963A-5D39-49B5-B738-35752275645D}"/>
    <cellStyle name="Normal 56 4 2 5 2 2 2" xfId="9180" xr:uid="{DD30C631-D311-4AA1-A8D6-6A3AD411F2AD}"/>
    <cellStyle name="Normal 56 4 2 5 2 3" xfId="7040" xr:uid="{01F3C5A2-2748-4323-B109-7C4471377CC7}"/>
    <cellStyle name="Normal 56 4 2 5 3" xfId="3424" xr:uid="{5E620655-836B-4907-A204-3816439835B0}"/>
    <cellStyle name="Normal 56 4 2 5 3 2" xfId="7892" xr:uid="{B2E5934D-C29E-4248-A145-7198505A57F1}"/>
    <cellStyle name="Normal 56 4 2 5 4" xfId="6061" xr:uid="{5E5521DE-338E-4AA7-99A2-B0222B158A5B}"/>
    <cellStyle name="Normal 56 4 2 6" xfId="1729" xr:uid="{E2A412FB-C9C9-4BFF-AB4A-77A2A4109414}"/>
    <cellStyle name="Normal 56 4 2 6 2" xfId="2708" xr:uid="{A8BEA2B8-3943-4905-8926-0DC5C2A89F7F}"/>
    <cellStyle name="Normal 56 4 2 6 2 2" xfId="7273" xr:uid="{95EECC7F-0ED0-4E28-86A7-9104B45CDE14}"/>
    <cellStyle name="Normal 56 4 2 6 3" xfId="3831" xr:uid="{1B6F71A7-C9C4-4B0E-8052-3E8E0B2B2B29}"/>
    <cellStyle name="Normal 56 4 2 6 3 2" xfId="8280" xr:uid="{17C9B1B6-73A7-472A-A365-B993ABF597C8}"/>
    <cellStyle name="Normal 56 4 2 6 4" xfId="6294" xr:uid="{701962A2-E533-4BED-B8C4-E2B1F0AF34D0}"/>
    <cellStyle name="Normal 56 4 2 7" xfId="1966" xr:uid="{2B035642-FCDF-4CD0-AB32-810E1D28D0F7}"/>
    <cellStyle name="Normal 56 4 2 7 2" xfId="4303" xr:uid="{D14DB425-A964-4277-BC49-2D1D98409A9B}"/>
    <cellStyle name="Normal 56 4 2 7 2 2" xfId="8656" xr:uid="{20D81AF1-ABC2-434E-B0EA-742FEEB3C4A0}"/>
    <cellStyle name="Normal 56 4 2 7 3" xfId="6531" xr:uid="{DA49D71E-2F97-42C7-A1BC-FC683B91C544}"/>
    <cellStyle name="Normal 56 4 2 8" xfId="2942" xr:uid="{D46163F6-374C-4E24-A5E4-53969179CF14}"/>
    <cellStyle name="Normal 56 4 2 8 2" xfId="7504" xr:uid="{134567AA-E390-4AC4-BECC-03E505D9C871}"/>
    <cellStyle name="Normal 56 4 2 9" xfId="5552" xr:uid="{DBED8192-1A24-4450-B5D1-DFCD336B02EC}"/>
    <cellStyle name="Normal 56 4 3" xfId="909" xr:uid="{7608F980-16FF-40DE-AF00-E4E60E54CBC3}"/>
    <cellStyle name="Normal 56 4 3 2" xfId="1294" xr:uid="{5DDF44DB-A6A8-4142-A6CF-43DAF26081A9}"/>
    <cellStyle name="Normal 56 4 3 2 2" xfId="2276" xr:uid="{15E01D5D-FDF5-4106-80FF-7386584FC829}"/>
    <cellStyle name="Normal 56 4 3 2 2 2" xfId="5145" xr:uid="{242C2C54-C924-4511-81AE-607505F5D8CF}"/>
    <cellStyle name="Normal 56 4 3 2 2 2 2" xfId="9370" xr:uid="{4770EF65-5DDE-4A14-8E8E-DF3D0BD598CD}"/>
    <cellStyle name="Normal 56 4 3 2 2 3" xfId="3637" xr:uid="{9E4207AC-C7A9-4412-9399-12C2A9CF5536}"/>
    <cellStyle name="Normal 56 4 3 2 2 3 2" xfId="8104" xr:uid="{7698CF05-B6E1-4978-909D-B9A11AB86E6D}"/>
    <cellStyle name="Normal 56 4 3 2 2 4" xfId="6841" xr:uid="{498CAB2D-4B4C-48EC-AC83-5F9298554563}"/>
    <cellStyle name="Normal 56 4 3 2 3" xfId="4043" xr:uid="{2E23E9E6-6A0D-46E9-829B-C4F197C3C34A}"/>
    <cellStyle name="Normal 56 4 3 2 3 2" xfId="8492" xr:uid="{00EA1E02-2625-4F83-9DCA-1CE95A76576E}"/>
    <cellStyle name="Normal 56 4 3 2 4" xfId="4761" xr:uid="{83AE11CC-04BF-49A0-9292-32F32C87367B}"/>
    <cellStyle name="Normal 56 4 3 2 4 2" xfId="9007" xr:uid="{4827A865-B893-4836-8C21-9FAEE3136568}"/>
    <cellStyle name="Normal 56 4 3 2 5" xfId="3221" xr:uid="{1B0B9F04-0B65-4B80-8AFD-89DB2D60C6B1}"/>
    <cellStyle name="Normal 56 4 3 2 5 2" xfId="7716" xr:uid="{FAE64C5E-272B-43C9-B7F7-2F304513A48D}"/>
    <cellStyle name="Normal 56 4 3 2 6" xfId="5862" xr:uid="{D685EE38-FD34-48BE-8296-40E8BDB95325}"/>
    <cellStyle name="Normal 56 4 3 3" xfId="1530" xr:uid="{D42F0226-0E33-45E8-9293-15F063DE88BB}"/>
    <cellStyle name="Normal 56 4 3 3 2" xfId="2510" xr:uid="{83A97F15-8707-45F8-AF96-A52AF4D49464}"/>
    <cellStyle name="Normal 56 4 3 3 2 2" xfId="5250" xr:uid="{BAA216E3-28DC-4F4A-AA4C-16F2F1390788}"/>
    <cellStyle name="Normal 56 4 3 3 2 2 2" xfId="9475" xr:uid="{8CA6FD49-B170-48B0-ABE2-072B599E2B54}"/>
    <cellStyle name="Normal 56 4 3 3 2 3" xfId="3742" xr:uid="{541982B1-4CF5-4D4C-A64C-B0A4BC1EC56F}"/>
    <cellStyle name="Normal 56 4 3 3 2 3 2" xfId="8209" xr:uid="{AF3B2362-77C6-45C3-98BF-A686DAC912AF}"/>
    <cellStyle name="Normal 56 4 3 3 2 4" xfId="7075" xr:uid="{0C0C0FCF-FFD4-4F7F-9815-9D624EE1E9B8}"/>
    <cellStyle name="Normal 56 4 3 3 3" xfId="4148" xr:uid="{58BE869C-7CB7-4D74-9712-1FEF0070CEBB}"/>
    <cellStyle name="Normal 56 4 3 3 3 2" xfId="8597" xr:uid="{897E9A5E-1F84-44CE-A385-DC562C0553A5}"/>
    <cellStyle name="Normal 56 4 3 3 4" xfId="4837" xr:uid="{34BA5F36-D32E-4C7D-9E18-F283704B15CC}"/>
    <cellStyle name="Normal 56 4 3 3 4 2" xfId="9083" xr:uid="{536D78AA-2F99-45B8-AA25-DA52999D91CB}"/>
    <cellStyle name="Normal 56 4 3 3 5" xfId="3332" xr:uid="{D3470B31-CE47-489C-96A5-4B1E958042E0}"/>
    <cellStyle name="Normal 56 4 3 3 5 2" xfId="7821" xr:uid="{D0C38459-F22B-46A2-9451-6FF87C44587F}"/>
    <cellStyle name="Normal 56 4 3 3 6" xfId="6096" xr:uid="{BB0DFEEB-E845-4D55-84CA-3C757C1BE051}"/>
    <cellStyle name="Normal 56 4 3 4" xfId="1764" xr:uid="{8BFC8C1D-9F36-4602-ACE3-EFB098EAD91B}"/>
    <cellStyle name="Normal 56 4 3 4 2" xfId="2743" xr:uid="{8E66AC59-B9E3-48FA-9B33-1450E71B9BC9}"/>
    <cellStyle name="Normal 56 4 3 4 2 2" xfId="4678" xr:uid="{91F9560C-0588-4DEA-BF65-F761D4D9A4BA}"/>
    <cellStyle name="Normal 56 4 3 4 2 2 2" xfId="8924" xr:uid="{D09367FF-76F1-4425-B328-9CABC1626717}"/>
    <cellStyle name="Normal 56 4 3 4 2 3" xfId="7308" xr:uid="{7C2A55E6-6AE6-41FE-99D7-ADD497B39791}"/>
    <cellStyle name="Normal 56 4 3 4 3" xfId="3532" xr:uid="{78170CBC-F828-4325-971B-141AB5CDA8F3}"/>
    <cellStyle name="Normal 56 4 3 4 3 2" xfId="7999" xr:uid="{1E9AACBC-C92C-42FC-9CF1-AEB6D9B64135}"/>
    <cellStyle name="Normal 56 4 3 4 4" xfId="6329" xr:uid="{9B29675A-2AA8-4166-A61B-BFE10A866462}"/>
    <cellStyle name="Normal 56 4 3 5" xfId="2001" xr:uid="{A455C1A7-3A0B-42A5-BCD6-0E16735A6E97}"/>
    <cellStyle name="Normal 56 4 3 5 2" xfId="5041" xr:uid="{6EA514E6-80F3-4A96-8D9A-BE4DD06B6C2E}"/>
    <cellStyle name="Normal 56 4 3 5 2 2" xfId="9267" xr:uid="{D82D5CF4-5CD0-4E02-B8A3-3F78BDC1E5C9}"/>
    <cellStyle name="Normal 56 4 3 5 3" xfId="3938" xr:uid="{17F7A114-C8E4-4E96-BA0B-AA4F84F453B6}"/>
    <cellStyle name="Normal 56 4 3 5 3 2" xfId="8387" xr:uid="{A2127CCA-D526-4C34-B37B-A682439856FC}"/>
    <cellStyle name="Normal 56 4 3 5 4" xfId="6566" xr:uid="{34446F57-730D-4C69-BF43-7CBF39087374}"/>
    <cellStyle name="Normal 56 4 3 6" xfId="4423" xr:uid="{FE164AF4-1409-4FEC-A92A-C744F26DD3A3}"/>
    <cellStyle name="Normal 56 4 3 6 2" xfId="8700" xr:uid="{401DD1BD-7150-4873-8537-1251B7E0B508}"/>
    <cellStyle name="Normal 56 4 3 7" xfId="3105" xr:uid="{09BED621-3FDA-4155-8EA1-94151E761F20}"/>
    <cellStyle name="Normal 56 4 3 7 2" xfId="7611" xr:uid="{FA7C0A5F-3372-4B59-8789-EA6D6B6B059F}"/>
    <cellStyle name="Normal 56 4 3 8" xfId="5587" xr:uid="{9EE35DD9-47DA-4C50-AD6C-E79ABAD1BC11}"/>
    <cellStyle name="Normal 56 4 4" xfId="1005" xr:uid="{EDB4361B-6CB1-43E8-9E65-674E1E4A8AE6}"/>
    <cellStyle name="Normal 56 4 4 2" xfId="1373" xr:uid="{036BF9B0-03EF-43BE-908E-06F7D9EC5604}"/>
    <cellStyle name="Normal 56 4 4 2 2" xfId="2353" xr:uid="{B367420E-1F53-4FAD-9ED9-7B0AC400147D}"/>
    <cellStyle name="Normal 56 4 4 2 2 2" xfId="5076" xr:uid="{E19CC3C8-5338-4DBF-8B14-4960803C25BE}"/>
    <cellStyle name="Normal 56 4 4 2 2 2 2" xfId="9302" xr:uid="{9039ADC2-CF9D-4B77-8296-158AF4B8E396}"/>
    <cellStyle name="Normal 56 4 4 2 2 3" xfId="6918" xr:uid="{0E043445-281E-4B9D-8815-28CA5C389ADF}"/>
    <cellStyle name="Normal 56 4 4 2 3" xfId="3568" xr:uid="{8FDFA63A-7BEE-48D6-9C8F-D6600D3FD0E1}"/>
    <cellStyle name="Normal 56 4 4 2 3 2" xfId="8035" xr:uid="{12009327-C7F7-4950-8285-E52DEA49352A}"/>
    <cellStyle name="Normal 56 4 4 2 4" xfId="5939" xr:uid="{BC64623A-AAC2-4370-8560-BCA69EBA5D71}"/>
    <cellStyle name="Normal 56 4 4 3" xfId="1607" xr:uid="{96870E24-C300-4F31-988D-530E1F1223AF}"/>
    <cellStyle name="Normal 56 4 4 3 2" xfId="2587" xr:uid="{6E39696A-2A80-4180-BA2F-0CBE6B4943F1}"/>
    <cellStyle name="Normal 56 4 4 3 2 2" xfId="7152" xr:uid="{C0855C51-34FC-4D4F-9D6F-85EA4295AFDF}"/>
    <cellStyle name="Normal 56 4 4 3 3" xfId="3974" xr:uid="{83575FAA-735B-4AA7-A84B-5B34E3786723}"/>
    <cellStyle name="Normal 56 4 4 3 3 2" xfId="8423" xr:uid="{52545D21-7AFB-42A8-815E-A7A1FFA4EE47}"/>
    <cellStyle name="Normal 56 4 4 3 4" xfId="6173" xr:uid="{C189ECE0-0061-4EC3-8D23-96ABE989CC07}"/>
    <cellStyle name="Normal 56 4 4 4" xfId="1841" xr:uid="{BA4A2D18-D053-4931-822D-28D81E6BF5B6}"/>
    <cellStyle name="Normal 56 4 4 4 2" xfId="2820" xr:uid="{4DAAC3ED-C2C5-4431-8060-702552483E13}"/>
    <cellStyle name="Normal 56 4 4 4 2 2" xfId="7385" xr:uid="{4949A110-4D17-49A4-882D-37E85FBC95F1}"/>
    <cellStyle name="Normal 56 4 4 4 3" xfId="4531" xr:uid="{ECA01460-2A28-40CC-BABE-84B9EA3CD01F}"/>
    <cellStyle name="Normal 56 4 4 4 3 2" xfId="8794" xr:uid="{8DB5C75D-906A-4208-A725-56BCAB7FBADE}"/>
    <cellStyle name="Normal 56 4 4 4 4" xfId="6406" xr:uid="{0E2D6C45-F451-468F-BE20-CECC4D6ACAD3}"/>
    <cellStyle name="Normal 56 4 4 5" xfId="2078" xr:uid="{9846C556-F54B-4424-AF8E-143D7B7E27FD}"/>
    <cellStyle name="Normal 56 4 4 5 2" xfId="6643" xr:uid="{66759B60-38B8-464F-BA43-EDE8BE28FD41}"/>
    <cellStyle name="Normal 56 4 4 6" xfId="3152" xr:uid="{42243ABC-ADA6-4D25-8D22-86C8A3512EC9}"/>
    <cellStyle name="Normal 56 4 4 6 2" xfId="7647" xr:uid="{A8D3D8D1-5654-45BD-99A8-E248FE5D1298}"/>
    <cellStyle name="Normal 56 4 4 7" xfId="5664" xr:uid="{D9C646CE-FB17-40B7-B1AB-A2FA9D2F0618}"/>
    <cellStyle name="Normal 56 4 5" xfId="1157" xr:uid="{872B933C-DF8A-46DA-B7AC-84E4E9DB9E8E}"/>
    <cellStyle name="Normal 56 4 5 2" xfId="2161" xr:uid="{C5E4FB38-17CA-47AF-B669-E112EB3D2B9F}"/>
    <cellStyle name="Normal 56 4 5 2 2" xfId="5181" xr:uid="{3933881E-52A3-4E53-A1E5-97A4C09C2452}"/>
    <cellStyle name="Normal 56 4 5 2 2 2" xfId="9406" xr:uid="{130A7154-DE20-4FC5-9C1D-B33817EEDECC}"/>
    <cellStyle name="Normal 56 4 5 2 3" xfId="3673" xr:uid="{F34ED7D3-1D9E-4934-8666-56DEF548BC68}"/>
    <cellStyle name="Normal 56 4 5 2 3 2" xfId="8140" xr:uid="{A36420AF-518A-41F3-A838-36A792852518}"/>
    <cellStyle name="Normal 56 4 5 2 4" xfId="6726" xr:uid="{BC2B1798-640C-4407-8BAD-07FFC400BC99}"/>
    <cellStyle name="Normal 56 4 5 3" xfId="4079" xr:uid="{3FDD2A68-710D-4FAE-8E85-097F316E5DC3}"/>
    <cellStyle name="Normal 56 4 5 3 2" xfId="8528" xr:uid="{A2906702-8C23-414C-9A6C-5E265E3B208F}"/>
    <cellStyle name="Normal 56 4 5 4" xfId="4796" xr:uid="{B94D7ABE-35E2-4508-97D8-FB2E53B92201}"/>
    <cellStyle name="Normal 56 4 5 4 2" xfId="9042" xr:uid="{06463AFD-7D5B-4379-A5C2-1BFFEA1E7EFB}"/>
    <cellStyle name="Normal 56 4 5 5" xfId="3258" xr:uid="{429BD715-2042-48E2-95DE-F2BC560F2896}"/>
    <cellStyle name="Normal 56 4 5 5 2" xfId="7752" xr:uid="{98923E14-2746-4664-8FAA-8AD81D49ED3A}"/>
    <cellStyle name="Normal 56 4 5 6" xfId="5747" xr:uid="{62E81D94-B0B1-49D7-989A-5B49DCCB15E7}"/>
    <cellStyle name="Normal 56 4 6" xfId="1213" xr:uid="{E6B4AE0F-E896-456F-86AD-52680F613AB0}"/>
    <cellStyle name="Normal 56 4 6 2" xfId="2199" xr:uid="{65A9E0CB-7DCF-48D4-9E29-239F90577661}"/>
    <cellStyle name="Normal 56 4 6 2 2" xfId="4892" xr:uid="{09A6AB01-4B68-40AF-BE66-237B24D95C81}"/>
    <cellStyle name="Normal 56 4 6 2 2 2" xfId="9124" xr:uid="{E77E8CEF-3C1E-464A-A558-585C4BA8524F}"/>
    <cellStyle name="Normal 56 4 6 2 3" xfId="3463" xr:uid="{C302BAB4-3F31-46D1-8299-39180322CA24}"/>
    <cellStyle name="Normal 56 4 6 2 3 2" xfId="7930" xr:uid="{E3E4F08E-CAD7-4F4F-98DB-02B34506BFF1}"/>
    <cellStyle name="Normal 56 4 6 2 4" xfId="6764" xr:uid="{BF2C9348-0226-48B3-9398-76447BA8485A}"/>
    <cellStyle name="Normal 56 4 6 3" xfId="3869" xr:uid="{F2817011-6AC0-4207-8319-4F9FE4E0A9AC}"/>
    <cellStyle name="Normal 56 4 6 3 2" xfId="8318" xr:uid="{34D0BBC9-DD2E-4CB3-B0AF-BC43D6C731CF}"/>
    <cellStyle name="Normal 56 4 6 4" xfId="4627" xr:uid="{D6673F3E-4A15-45F1-B9C1-E0448470B472}"/>
    <cellStyle name="Normal 56 4 6 4 2" xfId="8874" xr:uid="{D7028F62-0A14-4A83-9482-39CF0B59F33E}"/>
    <cellStyle name="Normal 56 4 6 5" xfId="3024" xr:uid="{ACFDDFD8-CA3E-4E35-B395-6006300CA5F9}"/>
    <cellStyle name="Normal 56 4 6 5 2" xfId="7542" xr:uid="{F81285BA-A6E7-4373-A80D-3DFD239F4F10}"/>
    <cellStyle name="Normal 56 4 6 6" xfId="5785" xr:uid="{EFE2A157-FDA9-480B-85EC-20E5F51DC718}"/>
    <cellStyle name="Normal 56 4 7" xfId="1453" xr:uid="{23E2075D-2FF6-4658-8091-D668FF8DF746}"/>
    <cellStyle name="Normal 56 4 7 2" xfId="2433" xr:uid="{48AD8CA0-9EE5-43B2-936A-ABF4EB56B409}"/>
    <cellStyle name="Normal 56 4 7 2 2" xfId="4916" xr:uid="{3F55D43B-2A46-40A4-B222-45108D712D8B}"/>
    <cellStyle name="Normal 56 4 7 2 2 2" xfId="9146" xr:uid="{391001ED-667A-4CAB-B3E5-1B832521C822}"/>
    <cellStyle name="Normal 56 4 7 2 3" xfId="6998" xr:uid="{846DC5D8-923D-4074-9FD1-822FEB4C7122}"/>
    <cellStyle name="Normal 56 4 7 3" xfId="3389" xr:uid="{48AE51FB-404D-4049-962B-E48E3905CE31}"/>
    <cellStyle name="Normal 56 4 7 3 2" xfId="7858" xr:uid="{C15F2327-97DE-442D-95BA-732E87B5BA18}"/>
    <cellStyle name="Normal 56 4 7 4" xfId="6019" xr:uid="{6F1CBD65-B0AE-4C12-B1AF-CB388AE1F7F0}"/>
    <cellStyle name="Normal 56 4 8" xfId="1712" xr:uid="{95EBB207-494D-4E62-AA31-60794AAC0341}"/>
    <cellStyle name="Normal 56 4 8 2" xfId="2691" xr:uid="{4E87B2A7-47C8-401A-85DC-282B6D0BA00B}"/>
    <cellStyle name="Normal 56 4 8 2 2" xfId="7256" xr:uid="{7FA990ED-2267-4C38-A5B4-B655BDCD1844}"/>
    <cellStyle name="Normal 56 4 8 3" xfId="3797" xr:uid="{4414A07D-D8D0-43CC-9871-4E91726CEC25}"/>
    <cellStyle name="Normal 56 4 8 3 2" xfId="8246" xr:uid="{BDBB9964-8B80-4C67-8812-C6BA7CEBAFCF}"/>
    <cellStyle name="Normal 56 4 8 4" xfId="6277" xr:uid="{9B68B93D-674D-4D3C-9E6E-322B78BF1C2B}"/>
    <cellStyle name="Normal 56 4 9" xfId="1924" xr:uid="{F513AA49-BB43-4E3A-8F41-E02DF18CD416}"/>
    <cellStyle name="Normal 56 4 9 2" xfId="4256" xr:uid="{B64B9C65-3F6B-4B3F-8FF3-B09D01880D05}"/>
    <cellStyle name="Normal 56 4 9 2 2" xfId="8628" xr:uid="{08CE5339-948A-45D4-8143-5758CDB5C2E9}"/>
    <cellStyle name="Normal 56 4 9 3" xfId="6489" xr:uid="{A89D55AF-BFE9-4968-9449-AB204778A221}"/>
    <cellStyle name="Normal 56 5" xfId="490" xr:uid="{32DD7FBA-0AFA-46C1-BB63-97CD541B0CAC}"/>
    <cellStyle name="Normal 56 6" xfId="4257" xr:uid="{0A0EDAC7-21FA-4724-AE06-F7235EBD7ABE}"/>
    <cellStyle name="Normal 56 7" xfId="4901" xr:uid="{6F6615D9-4FFF-48F3-BE90-0B80548286DB}"/>
    <cellStyle name="Normal 57" xfId="491" xr:uid="{AA890B42-1C0D-4B56-9705-635F0CAE4394}"/>
    <cellStyle name="Normal 57 2" xfId="3025" xr:uid="{5838FE42-37DD-4FF1-AD02-8099D012457F}"/>
    <cellStyle name="Normal 57 2 2" xfId="4553" xr:uid="{9E8C31AE-3979-42F9-B2FE-B01C7703C3A1}"/>
    <cellStyle name="Normal 57 2 3" xfId="4258" xr:uid="{35FCC568-370B-4B8C-994A-5A41EDFC6F74}"/>
    <cellStyle name="Normal 57 3" xfId="2985" xr:uid="{E005DADA-E08B-4CC1-968F-4EC8CA32AE09}"/>
    <cellStyle name="Normal 57 3 2" xfId="4545" xr:uid="{116E769F-6295-4852-9DB8-8868B86515F0}"/>
    <cellStyle name="Normal 57 3 3" xfId="4259" xr:uid="{C084C7D1-0A4D-4425-A31F-F5173160A3C6}"/>
    <cellStyle name="Normal 57 4" xfId="4984" xr:uid="{0927FF5C-258D-4A96-A7DE-5A256AFAE700}"/>
    <cellStyle name="Normal 58" xfId="492" xr:uid="{33290E8D-67C2-47F8-9B03-AF5DA55EC42B}"/>
    <cellStyle name="Normal 58 2" xfId="493" xr:uid="{330F98B2-649A-4731-AB01-60B5201FCA8E}"/>
    <cellStyle name="Normal 58 3" xfId="494" xr:uid="{0FB8A1E4-26D0-479A-A4C6-33AE8FCFDF6E}"/>
    <cellStyle name="Normal 59" xfId="495" xr:uid="{79C25F6E-A00E-4D19-AE90-F2CA96A7FAEC}"/>
    <cellStyle name="Normal 6" xfId="496" xr:uid="{82D64567-75F2-489C-9DA3-DCBF5FF0AB49}"/>
    <cellStyle name="Normal 6 2" xfId="497" xr:uid="{8C3F6418-9593-414F-A724-CC0536691189}"/>
    <cellStyle name="Normal 6 2 2" xfId="793" xr:uid="{D1B0776E-BA07-45CB-9A0A-871A6625D939}"/>
    <cellStyle name="Normal 6 2 3" xfId="2956" xr:uid="{9CF74E38-6A31-4AB6-AF37-00C21E394FF8}"/>
    <cellStyle name="Normal 6 3" xfId="498" xr:uid="{9E1783DD-1C77-447D-8EEB-5D9380B652A5}"/>
    <cellStyle name="Normal 6 3 2" xfId="499" xr:uid="{7B7D7310-6283-41F0-BD4A-7D9FB087835F}"/>
    <cellStyle name="Normal 6 3 3" xfId="794" xr:uid="{941B6274-8911-49A7-A035-92D900AAE02D}"/>
    <cellStyle name="Normal 6 4" xfId="500" xr:uid="{05839B95-2830-42FD-A06A-A946FF67C8EB}"/>
    <cellStyle name="Normal 6 4 10" xfId="1214" xr:uid="{A68B31D2-EABF-4AF6-8C3E-F99DA0FD1BD8}"/>
    <cellStyle name="Normal 6 4 10 2" xfId="2200" xr:uid="{40518291-33C7-4EED-9C0C-071DC00C5D9F}"/>
    <cellStyle name="Normal 6 4 10 2 2" xfId="6765" xr:uid="{0A01A76F-BD95-4FAF-967A-086CDE421A6B}"/>
    <cellStyle name="Normal 6 4 10 3" xfId="5331" xr:uid="{A9151565-64A8-4BF3-AB8F-1BEA3614B139}"/>
    <cellStyle name="Normal 6 4 10 3 2" xfId="9517" xr:uid="{2FC7EE12-CE9F-4F9D-AF2A-5CF1F2C602B0}"/>
    <cellStyle name="Normal 6 4 10 4" xfId="5786" xr:uid="{017632D4-8793-491E-9161-2060088ABBBD}"/>
    <cellStyle name="Normal 6 4 11" xfId="1454" xr:uid="{EF8A9162-DF8C-4A2F-8FC5-C5EC855E1EA6}"/>
    <cellStyle name="Normal 6 4 11 2" xfId="2434" xr:uid="{92B38093-D057-470B-9350-FDD3DF9A6B85}"/>
    <cellStyle name="Normal 6 4 11 2 2" xfId="6999" xr:uid="{4001F121-35FA-41C9-BE67-528413FFFAAF}"/>
    <cellStyle name="Normal 6 4 11 3" xfId="5378" xr:uid="{5C0F2E12-43C0-466E-9D8A-F4D5C83ECEBE}"/>
    <cellStyle name="Normal 6 4 11 3 2" xfId="9556" xr:uid="{67ED26CE-FEF2-4434-860E-4A71407D51A4}"/>
    <cellStyle name="Normal 6 4 11 4" xfId="6020" xr:uid="{8466EC05-2F19-43FA-8234-1CFC86D0220C}"/>
    <cellStyle name="Normal 6 4 12" xfId="1713" xr:uid="{04650855-C9E7-4093-A68C-85D93998D6B2}"/>
    <cellStyle name="Normal 6 4 12 2" xfId="2692" xr:uid="{EFFC5A6C-B825-4876-B09E-A37D16B8EADE}"/>
    <cellStyle name="Normal 6 4 12 2 2" xfId="7257" xr:uid="{7E444198-E0C7-46A2-82F0-F54CA4D4DEC3}"/>
    <cellStyle name="Normal 6 4 12 3" xfId="5427" xr:uid="{0F38E24C-912A-4123-B102-7DB95EE55654}"/>
    <cellStyle name="Normal 6 4 12 3 2" xfId="9603" xr:uid="{68094CB5-845B-4B08-B407-3A6D2C56D340}"/>
    <cellStyle name="Normal 6 4 12 4" xfId="6278" xr:uid="{8EBE2499-8937-49A3-AE44-6AD32BB07815}"/>
    <cellStyle name="Normal 6 4 13" xfId="1925" xr:uid="{352D3636-848D-497D-9B10-F8431E0384B8}"/>
    <cellStyle name="Normal 6 4 13 2" xfId="6490" xr:uid="{35ACD6E4-A5EF-494D-BE1E-74110EBA628E}"/>
    <cellStyle name="Normal 6 4 14" xfId="5511" xr:uid="{78AB9DBC-234A-44A5-B8B1-4E2BAEC3FFBA}"/>
    <cellStyle name="Normal 6 4 2" xfId="501" xr:uid="{EA2BAF3C-AE31-430D-A878-98323E8C44E8}"/>
    <cellStyle name="Normal 6 4 2 10" xfId="2909" xr:uid="{185D6749-2459-4CEF-8FD4-63E981A2F20D}"/>
    <cellStyle name="Normal 6 4 2 10 2" xfId="7471" xr:uid="{73351907-11E1-44BC-A18F-46FE491368E1}"/>
    <cellStyle name="Normal 6 4 2 11" xfId="5512" xr:uid="{EE44EA73-E9E6-4F9D-BE5D-01252847F4AF}"/>
    <cellStyle name="Normal 6 4 2 2" xfId="861" xr:uid="{21FD01E2-4AC7-4A69-A9D1-DB1EDC383BC4}"/>
    <cellStyle name="Normal 6 4 2 2 2" xfId="967" xr:uid="{68961B84-1023-43CB-940D-DB1E26720857}"/>
    <cellStyle name="Normal 6 4 2 2 2 2" xfId="1340" xr:uid="{419653F3-A882-486A-A0C1-633E788534AD}"/>
    <cellStyle name="Normal 6 4 2 2 2 2 2" xfId="2320" xr:uid="{1451BC9C-9E2A-4C82-A063-7296A09D1DF3}"/>
    <cellStyle name="Normal 6 4 2 2 2 2 2 2" xfId="4728" xr:uid="{47B665AB-C2BB-4CEA-92D8-DAE850929792}"/>
    <cellStyle name="Normal 6 4 2 2 2 2 2 2 2" xfId="8974" xr:uid="{DFC89C06-6B45-4101-AD11-EDFDFF0EEEF8}"/>
    <cellStyle name="Normal 6 4 2 2 2 2 2 3" xfId="6885" xr:uid="{D84D18E5-0E2E-4739-8C74-B8C94BCC0EA3}"/>
    <cellStyle name="Normal 6 4 2 2 2 2 3" xfId="3604" xr:uid="{60A049DC-B53F-493D-AE49-1310988C902E}"/>
    <cellStyle name="Normal 6 4 2 2 2 2 3 2" xfId="8071" xr:uid="{CFFEB207-EACD-40EB-992C-588B2BEA381D}"/>
    <cellStyle name="Normal 6 4 2 2 2 2 4" xfId="5906" xr:uid="{8C59A681-5560-4D8C-A444-E605688C67DA}"/>
    <cellStyle name="Normal 6 4 2 2 2 3" xfId="1574" xr:uid="{134897AF-20A4-438E-A80A-F8E43A95E8C6}"/>
    <cellStyle name="Normal 6 4 2 2 2 3 2" xfId="2554" xr:uid="{EFEBB99B-104C-466D-A935-7184A81FA04B}"/>
    <cellStyle name="Normal 6 4 2 2 2 3 2 2" xfId="5112" xr:uid="{5CF41C81-FD39-4504-8D6C-72DBE08B5E7F}"/>
    <cellStyle name="Normal 6 4 2 2 2 3 2 2 2" xfId="9337" xr:uid="{034F3A15-485B-4C06-A975-81C4D0E9D68B}"/>
    <cellStyle name="Normal 6 4 2 2 2 3 2 3" xfId="7119" xr:uid="{133A648D-B834-47CC-9A79-0C3E040F9749}"/>
    <cellStyle name="Normal 6 4 2 2 2 3 3" xfId="4010" xr:uid="{993C4F55-D604-4B85-862E-D9A74DD2E1EB}"/>
    <cellStyle name="Normal 6 4 2 2 2 3 3 2" xfId="8459" xr:uid="{A707C4FE-4FF6-44A8-89B6-66F8E1395297}"/>
    <cellStyle name="Normal 6 4 2 2 2 3 4" xfId="6140" xr:uid="{67DF96AA-CE81-4C4F-9182-86B9EB968226}"/>
    <cellStyle name="Normal 6 4 2 2 2 4" xfId="1808" xr:uid="{A612D5B0-A201-46BD-89CD-064C993318D6}"/>
    <cellStyle name="Normal 6 4 2 2 2 4 2" xfId="2787" xr:uid="{24BF5D70-3F77-4C6E-A2F3-22F9D72DD2F0}"/>
    <cellStyle name="Normal 6 4 2 2 2 4 2 2" xfId="7352" xr:uid="{95B57310-0E37-4C02-ABBD-7F0B46E6D6BA}"/>
    <cellStyle name="Normal 6 4 2 2 2 4 3" xfId="4453" xr:uid="{7573AEB3-5D40-4F00-84BE-91A7BFDADD95}"/>
    <cellStyle name="Normal 6 4 2 2 2 4 3 2" xfId="8730" xr:uid="{81878BAE-EB06-4F79-86F4-F2E69C7D4E92}"/>
    <cellStyle name="Normal 6 4 2 2 2 4 4" xfId="6373" xr:uid="{0B2B7F6F-2BA8-4368-B567-882AB6623C20}"/>
    <cellStyle name="Normal 6 4 2 2 2 5" xfId="2045" xr:uid="{D8EE1BBA-71D5-463A-9D88-F4AD35F53637}"/>
    <cellStyle name="Normal 6 4 2 2 2 5 2" xfId="6610" xr:uid="{B816A73E-CC7D-4187-9C17-7CA287075DA4}"/>
    <cellStyle name="Normal 6 4 2 2 2 6" xfId="3188" xr:uid="{B00F458E-111D-4C17-B698-22C6F93AAC6E}"/>
    <cellStyle name="Normal 6 4 2 2 2 6 2" xfId="7683" xr:uid="{9AE14F25-7B50-4423-AAD3-102BBC317C27}"/>
    <cellStyle name="Normal 6 4 2 2 2 7" xfId="5631" xr:uid="{407FA5A8-5BB5-4927-968C-E4585D0EFC48}"/>
    <cellStyle name="Normal 6 4 2 2 3" xfId="1049" xr:uid="{EA6F698A-8E8E-4588-86CE-747451BDFD98}"/>
    <cellStyle name="Normal 6 4 2 2 3 2" xfId="1417" xr:uid="{0FFFF41A-46F3-4AB4-B18C-DEDF7EAC9860}"/>
    <cellStyle name="Normal 6 4 2 2 3 2 2" xfId="2397" xr:uid="{263E2221-F140-4545-B5E8-2DC038D8D545}"/>
    <cellStyle name="Normal 6 4 2 2 3 2 2 2" xfId="5217" xr:uid="{CE27ECAE-9AFC-4E56-8692-DAE02BA59BF2}"/>
    <cellStyle name="Normal 6 4 2 2 3 2 2 2 2" xfId="9442" xr:uid="{7E6DB562-24B7-407B-84BE-5540BDC1C308}"/>
    <cellStyle name="Normal 6 4 2 2 3 2 2 3" xfId="6962" xr:uid="{8AE8D75C-23FB-40B4-9358-E77BEF3F47D9}"/>
    <cellStyle name="Normal 6 4 2 2 3 2 3" xfId="3709" xr:uid="{3B7BB0E2-3513-430A-AAE0-7274BCEB13FA}"/>
    <cellStyle name="Normal 6 4 2 2 3 2 3 2" xfId="8176" xr:uid="{729A2577-F286-4E18-AD6F-103B3D57E972}"/>
    <cellStyle name="Normal 6 4 2 2 3 2 4" xfId="5983" xr:uid="{B0B69E97-D11A-4DDC-A950-8EDA78CDE65C}"/>
    <cellStyle name="Normal 6 4 2 2 3 3" xfId="1651" xr:uid="{F3DC3A3A-B8B1-48A2-97E9-A85D09070D79}"/>
    <cellStyle name="Normal 6 4 2 2 3 3 2" xfId="2631" xr:uid="{4EA8E1B8-737F-4904-A44F-E46F19D8824F}"/>
    <cellStyle name="Normal 6 4 2 2 3 3 2 2" xfId="7196" xr:uid="{2EC756A2-79A5-4B4C-BC3B-03B7B0CD13DA}"/>
    <cellStyle name="Normal 6 4 2 2 3 3 3" xfId="4115" xr:uid="{1C3F374D-5DC8-47DC-94BC-56383A84ECD8}"/>
    <cellStyle name="Normal 6 4 2 2 3 3 3 2" xfId="8564" xr:uid="{E5F21704-E1CF-4C60-BAB5-5ADC3ADC455E}"/>
    <cellStyle name="Normal 6 4 2 2 3 3 4" xfId="6217" xr:uid="{6911AFFE-D450-41A9-B64A-617B52B2C989}"/>
    <cellStyle name="Normal 6 4 2 2 3 4" xfId="1885" xr:uid="{9503F5F5-3716-4413-A2F7-85620FA52C90}"/>
    <cellStyle name="Normal 6 4 2 2 3 4 2" xfId="2864" xr:uid="{0BB0EE87-66CC-4600-8827-FFA0A2D1BA7C}"/>
    <cellStyle name="Normal 6 4 2 2 3 4 2 2" xfId="7429" xr:uid="{72FC9D45-4ACF-4142-8CC3-75665722116C}"/>
    <cellStyle name="Normal 6 4 2 2 3 4 3" xfId="4587" xr:uid="{3FA39445-2B03-4153-835A-3D2E9594B554}"/>
    <cellStyle name="Normal 6 4 2 2 3 4 3 2" xfId="8842" xr:uid="{B271FDDF-D426-4850-8619-BF32C48EB079}"/>
    <cellStyle name="Normal 6 4 2 2 3 4 4" xfId="6450" xr:uid="{F2754B1C-259F-4A6D-A359-522E650407A6}"/>
    <cellStyle name="Normal 6 4 2 2 3 5" xfId="2122" xr:uid="{F3A8843D-E631-49EB-BD25-67DAE31F78F6}"/>
    <cellStyle name="Normal 6 4 2 2 3 5 2" xfId="6687" xr:uid="{EF5BC7E2-F102-4706-A4F8-65E004A4F9A3}"/>
    <cellStyle name="Normal 6 4 2 2 3 6" xfId="3295" xr:uid="{055C4706-1EEB-4E67-A1AB-777213CB6B63}"/>
    <cellStyle name="Normal 6 4 2 2 3 6 2" xfId="7788" xr:uid="{270C2C6A-49EB-4D97-9B58-12A3ECE92B6B}"/>
    <cellStyle name="Normal 6 4 2 2 3 7" xfId="5708" xr:uid="{0C1691A3-08E6-4282-BF83-76C046A557FF}"/>
    <cellStyle name="Normal 6 4 2 2 4" xfId="1261" xr:uid="{DD4ACE93-0FC1-43C0-A05C-B25DF09F4C90}"/>
    <cellStyle name="Normal 6 4 2 2 4 2" xfId="2243" xr:uid="{D949A2BD-B38F-4E3C-B88E-0C4923A895D8}"/>
    <cellStyle name="Normal 6 4 2 2 4 2 2" xfId="5011" xr:uid="{47F0C312-147E-4E08-AC72-5FE8BEA4952D}"/>
    <cellStyle name="Normal 6 4 2 2 4 2 2 2" xfId="9237" xr:uid="{0B007815-B3D3-46EA-94C9-A0DC3D9EB127}"/>
    <cellStyle name="Normal 6 4 2 2 4 2 3" xfId="3499" xr:uid="{6200107F-1F6F-4B18-BBF0-622BB1980361}"/>
    <cellStyle name="Normal 6 4 2 2 4 2 3 2" xfId="7966" xr:uid="{1544B5A1-C6B8-485D-A5BB-A6AA3544B6CF}"/>
    <cellStyle name="Normal 6 4 2 2 4 2 4" xfId="6808" xr:uid="{DDDDE77F-1BB5-4C88-80E0-042F1800D9C7}"/>
    <cellStyle name="Normal 6 4 2 2 4 3" xfId="3905" xr:uid="{AF9E7CA1-EB9D-4C4D-A9E9-FEEBA3D90741}"/>
    <cellStyle name="Normal 6 4 2 2 4 3 2" xfId="8354" xr:uid="{2A111543-8FFB-4A2A-AD89-3879C6CD8029}"/>
    <cellStyle name="Normal 6 4 2 2 4 4" xfId="4651" xr:uid="{3D1E626F-843C-4899-B484-7C1651007456}"/>
    <cellStyle name="Normal 6 4 2 2 4 4 2" xfId="8897" xr:uid="{1A4AE6E0-C208-420D-9914-0F9E37438EE7}"/>
    <cellStyle name="Normal 6 4 2 2 4 5" xfId="3068" xr:uid="{B2E242DD-5705-48C2-A604-C27660216345}"/>
    <cellStyle name="Normal 6 4 2 2 4 5 2" xfId="7578" xr:uid="{F73A50A0-9E99-498B-9B6E-783AC509B259}"/>
    <cellStyle name="Normal 6 4 2 2 4 6" xfId="5829" xr:uid="{36D9E449-790D-4E98-9769-1021B5745F4D}"/>
    <cellStyle name="Normal 6 4 2 2 5" xfId="1497" xr:uid="{081F1DFB-3F7B-4032-B520-672F08697325}"/>
    <cellStyle name="Normal 6 4 2 2 5 2" xfId="2477" xr:uid="{DCB829B8-7922-4570-8F0E-A5B851D486A7}"/>
    <cellStyle name="Normal 6 4 2 2 5 2 2" xfId="4952" xr:uid="{33B86B36-9200-4B4E-BCA6-8C308F1F14A5}"/>
    <cellStyle name="Normal 6 4 2 2 5 2 2 2" xfId="9182" xr:uid="{F24BFC44-BD84-493A-B8ED-8AC79B981135}"/>
    <cellStyle name="Normal 6 4 2 2 5 2 3" xfId="7042" xr:uid="{F349BB59-F229-42BA-B3D4-AADD83F42EA0}"/>
    <cellStyle name="Normal 6 4 2 2 5 3" xfId="3425" xr:uid="{098D95CD-3C0C-4701-954E-FC8ECE815E51}"/>
    <cellStyle name="Normal 6 4 2 2 5 3 2" xfId="7893" xr:uid="{CD86E885-6317-44A9-93FE-BB42CC72CA6B}"/>
    <cellStyle name="Normal 6 4 2 2 5 4" xfId="6063" xr:uid="{EEDFC6D9-0572-4375-815C-95FBFF5AF57F}"/>
    <cellStyle name="Normal 6 4 2 2 6" xfId="1731" xr:uid="{3F5A234F-9515-4B52-B6D8-F2C955CE71B8}"/>
    <cellStyle name="Normal 6 4 2 2 6 2" xfId="2710" xr:uid="{2F3A96C8-622D-4635-9D1B-4EDFB183529B}"/>
    <cellStyle name="Normal 6 4 2 2 6 2 2" xfId="7275" xr:uid="{E72B221A-8D0A-4577-9AA3-AE6971F02979}"/>
    <cellStyle name="Normal 6 4 2 2 6 3" xfId="3832" xr:uid="{08866C23-861A-484E-BB2B-F7D997404F99}"/>
    <cellStyle name="Normal 6 4 2 2 6 3 2" xfId="8281" xr:uid="{9E2D3C01-15F4-45EB-B066-E6D6E720BB76}"/>
    <cellStyle name="Normal 6 4 2 2 6 4" xfId="6296" xr:uid="{E82669C2-9EDE-4657-8092-CB63CE38A371}"/>
    <cellStyle name="Normal 6 4 2 2 7" xfId="1968" xr:uid="{BAA11D7D-5EFC-4824-9C85-A395939B7755}"/>
    <cellStyle name="Normal 6 4 2 2 7 2" xfId="4305" xr:uid="{8BBB4542-CB96-4A3E-9992-D4EA720E4447}"/>
    <cellStyle name="Normal 6 4 2 2 7 2 2" xfId="8658" xr:uid="{47D8ED60-802D-450E-8FA8-98C2E625459D}"/>
    <cellStyle name="Normal 6 4 2 2 7 3" xfId="6533" xr:uid="{7A72A4D6-C533-47C1-9904-40DF547FB280}"/>
    <cellStyle name="Normal 6 4 2 2 8" xfId="2943" xr:uid="{D53DDB0B-2024-4976-91BD-AC07AABEB635}"/>
    <cellStyle name="Normal 6 4 2 2 8 2" xfId="7505" xr:uid="{A36A7380-836A-4C43-B024-936264AFDBB8}"/>
    <cellStyle name="Normal 6 4 2 2 9" xfId="5554" xr:uid="{9FCEB744-9330-4D0B-8BD6-DE82F8C801EE}"/>
    <cellStyle name="Normal 6 4 2 3" xfId="911" xr:uid="{6F548E98-7980-44F5-A527-20E71B4216FE}"/>
    <cellStyle name="Normal 6 4 2 3 2" xfId="1296" xr:uid="{8A98802A-C8E3-4713-9A08-E5669514A050}"/>
    <cellStyle name="Normal 6 4 2 3 2 2" xfId="2278" xr:uid="{A31B1C4E-8946-42F7-A934-9C40FE322D1D}"/>
    <cellStyle name="Normal 6 4 2 3 2 2 2" xfId="5146" xr:uid="{B9560AAB-6E54-43AA-8A54-990B7A980213}"/>
    <cellStyle name="Normal 6 4 2 3 2 2 2 2" xfId="9371" xr:uid="{E88117C9-B5F5-48F2-B51D-888F1AA620F4}"/>
    <cellStyle name="Normal 6 4 2 3 2 2 3" xfId="3638" xr:uid="{9C4E69A3-A580-421F-89FA-9E921469B5D7}"/>
    <cellStyle name="Normal 6 4 2 3 2 2 3 2" xfId="8105" xr:uid="{32C21954-7860-468D-A2C7-CD312406402C}"/>
    <cellStyle name="Normal 6 4 2 3 2 2 4" xfId="6843" xr:uid="{C51F8999-928D-4EB4-A9CD-88A7834CA6C3}"/>
    <cellStyle name="Normal 6 4 2 3 2 3" xfId="4044" xr:uid="{43CF9FB8-4CCA-4A79-99EF-B4D4EF4D72FE}"/>
    <cellStyle name="Normal 6 4 2 3 2 3 2" xfId="8493" xr:uid="{5917BA72-4C01-49C6-AD38-859A6A0B8E3E}"/>
    <cellStyle name="Normal 6 4 2 3 2 4" xfId="4762" xr:uid="{094E4045-8C19-4632-9BAB-8FFF6312126A}"/>
    <cellStyle name="Normal 6 4 2 3 2 4 2" xfId="9008" xr:uid="{B6398386-6DBE-419A-AB72-9A929A1A1646}"/>
    <cellStyle name="Normal 6 4 2 3 2 5" xfId="3222" xr:uid="{1EA72ABD-7327-4A5C-A381-4A66466ABBFC}"/>
    <cellStyle name="Normal 6 4 2 3 2 5 2" xfId="7717" xr:uid="{622C9782-A9FA-4BB5-8AC1-6E5F95EAFE1C}"/>
    <cellStyle name="Normal 6 4 2 3 2 6" xfId="5864" xr:uid="{DD4F2BFB-A401-4E7E-8ADE-8F8AD7B284F6}"/>
    <cellStyle name="Normal 6 4 2 3 3" xfId="1532" xr:uid="{DCCA53EB-6D9E-41F4-876D-125C626F3932}"/>
    <cellStyle name="Normal 6 4 2 3 3 2" xfId="2512" xr:uid="{33A02162-7E39-4638-BD4D-72DAEB6A970B}"/>
    <cellStyle name="Normal 6 4 2 3 3 2 2" xfId="5251" xr:uid="{0994AA3F-9539-4F6D-98D4-234C51607963}"/>
    <cellStyle name="Normal 6 4 2 3 3 2 2 2" xfId="9476" xr:uid="{1CD37850-9758-437B-BEBE-B33507F74E7A}"/>
    <cellStyle name="Normal 6 4 2 3 3 2 3" xfId="3743" xr:uid="{5DE9D045-1A8D-4836-8933-60870D4F762C}"/>
    <cellStyle name="Normal 6 4 2 3 3 2 3 2" xfId="8210" xr:uid="{CDF26E1E-3936-4FF1-A0E1-F7424336C3AF}"/>
    <cellStyle name="Normal 6 4 2 3 3 2 4" xfId="7077" xr:uid="{760DF333-107D-4CEE-A8A3-61321394A430}"/>
    <cellStyle name="Normal 6 4 2 3 3 3" xfId="4149" xr:uid="{11109177-B115-42F8-8E83-0F7EE53711FA}"/>
    <cellStyle name="Normal 6 4 2 3 3 3 2" xfId="8598" xr:uid="{702549CA-8343-4F9C-9286-5DB3139F04A4}"/>
    <cellStyle name="Normal 6 4 2 3 3 4" xfId="4838" xr:uid="{C155B6B3-1D4F-469B-88B6-4A62F6310B3E}"/>
    <cellStyle name="Normal 6 4 2 3 3 4 2" xfId="9084" xr:uid="{866F5FEE-1730-420F-936B-CFC888BAEFA3}"/>
    <cellStyle name="Normal 6 4 2 3 3 5" xfId="3333" xr:uid="{D48B98CD-6BF2-448C-8A5F-782D27CB5E1D}"/>
    <cellStyle name="Normal 6 4 2 3 3 5 2" xfId="7822" xr:uid="{321A4D66-49C2-449B-993F-2B5B89E736C7}"/>
    <cellStyle name="Normal 6 4 2 3 3 6" xfId="6098" xr:uid="{45ED6BD0-1652-4C50-908B-FDBC01FC03CE}"/>
    <cellStyle name="Normal 6 4 2 3 4" xfId="1766" xr:uid="{F1BC7DF1-D6CE-4639-B1B4-37CB724B3988}"/>
    <cellStyle name="Normal 6 4 2 3 4 2" xfId="2745" xr:uid="{2A893C49-CA4D-4D8D-8EEF-C718F30FD847}"/>
    <cellStyle name="Normal 6 4 2 3 4 2 2" xfId="4679" xr:uid="{B79E7E9D-3961-4EAF-A81A-E12DA80766E7}"/>
    <cellStyle name="Normal 6 4 2 3 4 2 2 2" xfId="8925" xr:uid="{F54C61C7-AC50-4F34-883D-9E64397237C7}"/>
    <cellStyle name="Normal 6 4 2 3 4 2 3" xfId="7310" xr:uid="{6D2D728F-7F3A-4C8E-B9B8-16457D77FAF6}"/>
    <cellStyle name="Normal 6 4 2 3 4 3" xfId="3533" xr:uid="{AAB26194-D514-4E19-8C50-B3D657EB7136}"/>
    <cellStyle name="Normal 6 4 2 3 4 3 2" xfId="8000" xr:uid="{4991F0C0-C3AB-4CCD-BA46-7AD0221339E3}"/>
    <cellStyle name="Normal 6 4 2 3 4 4" xfId="6331" xr:uid="{04F166C3-C1FD-4635-8799-1AECA2640BB2}"/>
    <cellStyle name="Normal 6 4 2 3 5" xfId="2003" xr:uid="{DCBEDFE9-A7AD-44EE-99C5-B001C1F2450C}"/>
    <cellStyle name="Normal 6 4 2 3 5 2" xfId="5042" xr:uid="{50A0DDC6-3F57-42AA-A9F6-A87316D1E76C}"/>
    <cellStyle name="Normal 6 4 2 3 5 2 2" xfId="9268" xr:uid="{73078FBD-0AC1-4FFB-A058-52AB5C7DA076}"/>
    <cellStyle name="Normal 6 4 2 3 5 3" xfId="3939" xr:uid="{70570814-FDEB-4AE7-8172-CB8847B8B955}"/>
    <cellStyle name="Normal 6 4 2 3 5 3 2" xfId="8388" xr:uid="{D1A1D971-0E2F-46CF-8C4A-36B707F4A0FB}"/>
    <cellStyle name="Normal 6 4 2 3 5 4" xfId="6568" xr:uid="{4F6A2D5A-3115-462A-B746-216EC88D8A33}"/>
    <cellStyle name="Normal 6 4 2 3 6" xfId="4425" xr:uid="{2872DAAE-537D-4F2E-869B-9803AF9BC054}"/>
    <cellStyle name="Normal 6 4 2 3 6 2" xfId="8702" xr:uid="{791A2F94-8CB9-40D8-9AD9-2B9A10B71827}"/>
    <cellStyle name="Normal 6 4 2 3 7" xfId="3106" xr:uid="{A182BB59-9D1A-4F90-A1BC-A7DB5C7412AE}"/>
    <cellStyle name="Normal 6 4 2 3 7 2" xfId="7612" xr:uid="{93D1340E-4880-48F8-905E-8DD3C265BE85}"/>
    <cellStyle name="Normal 6 4 2 3 8" xfId="5589" xr:uid="{583913A0-B440-4A0B-BC1B-38E5BA6C70DB}"/>
    <cellStyle name="Normal 6 4 2 4" xfId="1007" xr:uid="{18B7AA4D-49B9-4CD0-A10D-564C41685983}"/>
    <cellStyle name="Normal 6 4 2 4 2" xfId="1375" xr:uid="{C3280572-F2A1-4EEE-AA9C-0AF2D281A458}"/>
    <cellStyle name="Normal 6 4 2 4 2 2" xfId="2355" xr:uid="{F3D623BD-DB40-4B48-8951-930E6D42EFDE}"/>
    <cellStyle name="Normal 6 4 2 4 2 2 2" xfId="5077" xr:uid="{204C7A18-5088-42DA-AA0C-CF471698469C}"/>
    <cellStyle name="Normal 6 4 2 4 2 2 2 2" xfId="9303" xr:uid="{766B318D-D700-4B33-938F-626743F59D57}"/>
    <cellStyle name="Normal 6 4 2 4 2 2 3" xfId="6920" xr:uid="{DCDAFCD3-5102-4E2A-8FC9-CABA977A51F6}"/>
    <cellStyle name="Normal 6 4 2 4 2 3" xfId="3569" xr:uid="{F66A0F71-3473-40F7-BCA9-65D09D9DA8FE}"/>
    <cellStyle name="Normal 6 4 2 4 2 3 2" xfId="8036" xr:uid="{F3D8F82B-DA15-495F-86BC-98018BD041BF}"/>
    <cellStyle name="Normal 6 4 2 4 2 4" xfId="5941" xr:uid="{A7F4ED93-3A13-42A7-B09F-1559AB8CB583}"/>
    <cellStyle name="Normal 6 4 2 4 3" xfId="1609" xr:uid="{14A0F7CB-D901-492C-A19A-096D91552CD6}"/>
    <cellStyle name="Normal 6 4 2 4 3 2" xfId="2589" xr:uid="{571B7177-AC4C-4F02-831E-49AA4563B59C}"/>
    <cellStyle name="Normal 6 4 2 4 3 2 2" xfId="7154" xr:uid="{F4CE5D8C-9DF1-4DBB-8CE4-28BF0F14F9E4}"/>
    <cellStyle name="Normal 6 4 2 4 3 3" xfId="3975" xr:uid="{B8B006A4-2EB3-4F4D-8751-C67854B17D93}"/>
    <cellStyle name="Normal 6 4 2 4 3 3 2" xfId="8424" xr:uid="{9072CEB9-E2C4-412E-A75E-5B59E9D6F7B3}"/>
    <cellStyle name="Normal 6 4 2 4 3 4" xfId="6175" xr:uid="{1A9C63F3-D6F3-4490-B00E-EFA4CE5F4619}"/>
    <cellStyle name="Normal 6 4 2 4 4" xfId="1843" xr:uid="{06EAD998-D234-4423-BA1D-0AF030D08163}"/>
    <cellStyle name="Normal 6 4 2 4 4 2" xfId="2822" xr:uid="{1B272757-43C1-4E13-A27B-7F5C0F284DD1}"/>
    <cellStyle name="Normal 6 4 2 4 4 2 2" xfId="7387" xr:uid="{C8F06F9D-C97F-4765-BC06-49882A4E5491}"/>
    <cellStyle name="Normal 6 4 2 4 4 3" xfId="4534" xr:uid="{91F24566-BB3A-4A9E-BFC2-2D58BE55F543}"/>
    <cellStyle name="Normal 6 4 2 4 4 3 2" xfId="8796" xr:uid="{80DA1C2A-5DE5-4377-BFE1-1C71F4819598}"/>
    <cellStyle name="Normal 6 4 2 4 4 4" xfId="6408" xr:uid="{50DB356E-48A6-48D3-AB40-2DFD8132D796}"/>
    <cellStyle name="Normal 6 4 2 4 5" xfId="2080" xr:uid="{C1DA02DD-3288-407E-9F23-C550F06AC49A}"/>
    <cellStyle name="Normal 6 4 2 4 5 2" xfId="6645" xr:uid="{0FB1AB43-9153-4C22-91B1-8FB24811BA54}"/>
    <cellStyle name="Normal 6 4 2 4 6" xfId="3153" xr:uid="{8FDFCA5C-06D5-424B-A43A-D1B5F6B0451A}"/>
    <cellStyle name="Normal 6 4 2 4 6 2" xfId="7648" xr:uid="{93140485-EAE5-42E4-B7A2-4C294403A8A7}"/>
    <cellStyle name="Normal 6 4 2 4 7" xfId="5666" xr:uid="{A96B13C9-366F-4540-94AD-A170088C8713}"/>
    <cellStyle name="Normal 6 4 2 5" xfId="1159" xr:uid="{405D9468-61B4-4C72-AF20-54993170C6D3}"/>
    <cellStyle name="Normal 6 4 2 5 2" xfId="2163" xr:uid="{17013447-317E-45B4-859B-763443097224}"/>
    <cellStyle name="Normal 6 4 2 5 2 2" xfId="5182" xr:uid="{1A65C704-0272-4150-8336-D2949784A4AC}"/>
    <cellStyle name="Normal 6 4 2 5 2 2 2" xfId="9407" xr:uid="{A9C0F501-11A1-42FA-91CE-CC2405FE694B}"/>
    <cellStyle name="Normal 6 4 2 5 2 3" xfId="3674" xr:uid="{7E6544DB-F269-4C7D-B868-82D2AC21889D}"/>
    <cellStyle name="Normal 6 4 2 5 2 3 2" xfId="8141" xr:uid="{CB2DD0AE-BAC7-4C9C-AC11-680E8E6C9D42}"/>
    <cellStyle name="Normal 6 4 2 5 2 4" xfId="6728" xr:uid="{9932F122-4148-438E-B542-9D41835D5C6C}"/>
    <cellStyle name="Normal 6 4 2 5 3" xfId="4080" xr:uid="{832686A8-0BD1-48FB-B30C-70FB80D07649}"/>
    <cellStyle name="Normal 6 4 2 5 3 2" xfId="8529" xr:uid="{9CA0B222-5A44-400D-96BE-A4A880F008F5}"/>
    <cellStyle name="Normal 6 4 2 5 4" xfId="4797" xr:uid="{CF3D3F82-E21B-4E1B-8248-8219A98BF7E4}"/>
    <cellStyle name="Normal 6 4 2 5 4 2" xfId="9043" xr:uid="{642C3AF7-ECE6-40C3-8D14-919AB8BCB4F3}"/>
    <cellStyle name="Normal 6 4 2 5 5" xfId="3259" xr:uid="{6B35BE49-AC45-4932-985A-25A0AAC3E7C5}"/>
    <cellStyle name="Normal 6 4 2 5 5 2" xfId="7753" xr:uid="{E8DD4D71-86C0-43A0-8788-A1490A7C4F96}"/>
    <cellStyle name="Normal 6 4 2 5 6" xfId="5749" xr:uid="{B10E4F16-B309-47E4-BC4F-65E63D7AE3A7}"/>
    <cellStyle name="Normal 6 4 2 6" xfId="1215" xr:uid="{AF122D9A-BFFE-4A11-B333-E17D061DAAD5}"/>
    <cellStyle name="Normal 6 4 2 6 2" xfId="2201" xr:uid="{FB28E355-CD50-4E9D-868D-1EE693619AA6}"/>
    <cellStyle name="Normal 6 4 2 6 2 2" xfId="4991" xr:uid="{F88D076A-A125-40CA-98D5-8EDFCF668504}"/>
    <cellStyle name="Normal 6 4 2 6 2 2 2" xfId="9218" xr:uid="{2E0A8790-F235-49F5-A3E9-49E662218F1E}"/>
    <cellStyle name="Normal 6 4 2 6 2 3" xfId="3464" xr:uid="{2EACAE75-7775-4307-A01D-5EA0A62A2927}"/>
    <cellStyle name="Normal 6 4 2 6 2 3 2" xfId="7931" xr:uid="{575C38DC-729F-4846-9B81-ADC050FE178F}"/>
    <cellStyle name="Normal 6 4 2 6 2 4" xfId="6766" xr:uid="{E177F1C8-6540-4384-86B7-38BE2827C39D}"/>
    <cellStyle name="Normal 6 4 2 6 3" xfId="3870" xr:uid="{986388AC-C4DA-45D0-9374-845B52F5939F}"/>
    <cellStyle name="Normal 6 4 2 6 3 2" xfId="8319" xr:uid="{B84C66FC-F0F4-4AEA-95B6-4E7D94B6BE56}"/>
    <cellStyle name="Normal 6 4 2 6 4" xfId="4471" xr:uid="{46BCD2D8-82D9-4093-B9CB-A445C09D34CC}"/>
    <cellStyle name="Normal 6 4 2 6 4 2" xfId="8748" xr:uid="{56CCF3AF-F069-4F4D-83FF-9DF2A9604334}"/>
    <cellStyle name="Normal 6 4 2 6 5" xfId="3026" xr:uid="{325A5A65-665D-4B93-8FF6-F31CC6D70FCE}"/>
    <cellStyle name="Normal 6 4 2 6 5 2" xfId="7543" xr:uid="{A7A3E7AA-BF87-43AD-821F-AEB1C41774FA}"/>
    <cellStyle name="Normal 6 4 2 6 6" xfId="5787" xr:uid="{7725F926-B182-4BF1-B882-CCFC505A4581}"/>
    <cellStyle name="Normal 6 4 2 7" xfId="1455" xr:uid="{DDB2F45D-D247-4CC4-BDAC-490C4D93820B}"/>
    <cellStyle name="Normal 6 4 2 7 2" xfId="2435" xr:uid="{6B3F6CA7-E281-46B7-9CF3-86DE14B711EA}"/>
    <cellStyle name="Normal 6 4 2 7 2 2" xfId="4918" xr:uid="{4D6BB861-C749-4D3B-BD58-5D4C345E4F9C}"/>
    <cellStyle name="Normal 6 4 2 7 2 2 2" xfId="9148" xr:uid="{A5DE26D2-273C-46A2-8E13-D9F1FDD8D757}"/>
    <cellStyle name="Normal 6 4 2 7 2 3" xfId="7000" xr:uid="{10259611-7D5B-4B96-825A-72AE8276ABD4}"/>
    <cellStyle name="Normal 6 4 2 7 3" xfId="3390" xr:uid="{96DEA2AC-7549-4637-873F-23A63D239C96}"/>
    <cellStyle name="Normal 6 4 2 7 3 2" xfId="7859" xr:uid="{1EE71583-C43F-4645-9293-65B83A9D2FC9}"/>
    <cellStyle name="Normal 6 4 2 7 4" xfId="6021" xr:uid="{CEF34102-17D2-4FFC-8E51-5319B2C257EF}"/>
    <cellStyle name="Normal 6 4 2 8" xfId="1714" xr:uid="{6E23B516-7B80-4460-BC54-79FD464CE135}"/>
    <cellStyle name="Normal 6 4 2 8 2" xfId="2693" xr:uid="{AD0167E2-743A-4161-A08A-70B6917BC197}"/>
    <cellStyle name="Normal 6 4 2 8 2 2" xfId="7258" xr:uid="{B82CF6D2-D247-41EB-AC9E-799BB0AD4150}"/>
    <cellStyle name="Normal 6 4 2 8 3" xfId="3798" xr:uid="{4214DD74-CBC5-40EC-B042-463F93A6636A}"/>
    <cellStyle name="Normal 6 4 2 8 3 2" xfId="8247" xr:uid="{EDABDB72-6226-4B71-8546-190398F31063}"/>
    <cellStyle name="Normal 6 4 2 8 4" xfId="6279" xr:uid="{809D337A-AEBA-4657-98E9-C044B4D2C43F}"/>
    <cellStyle name="Normal 6 4 2 9" xfId="1926" xr:uid="{4E7A99EE-8AC4-4FFC-9A96-C1BE48A3B731}"/>
    <cellStyle name="Normal 6 4 2 9 2" xfId="4261" xr:uid="{1B408051-C8E7-4FD1-9035-59E4967BCDD5}"/>
    <cellStyle name="Normal 6 4 2 9 2 2" xfId="8630" xr:uid="{A5E40A98-74C2-4AE7-A1AC-D697A6A473CB}"/>
    <cellStyle name="Normal 6 4 2 9 3" xfId="6491" xr:uid="{20D23DE7-3040-4AD3-AD37-4CC7C8466F1A}"/>
    <cellStyle name="Normal 6 4 3" xfId="502" xr:uid="{9B351387-60CE-4DA1-8287-43930199A106}"/>
    <cellStyle name="Normal 6 4 4" xfId="795" xr:uid="{40650841-6F1F-4057-8844-7EDCED5AB214}"/>
    <cellStyle name="Normal 6 4 4 10" xfId="2910" xr:uid="{299A4D52-0DAB-4FFE-BC98-5867A1A51291}"/>
    <cellStyle name="Normal 6 4 4 10 2" xfId="7472" xr:uid="{E91AE8BF-583E-46D0-BCC2-565F8FDA96FA}"/>
    <cellStyle name="Normal 6 4 4 11" xfId="5521" xr:uid="{43380588-C243-4F6C-9C39-76F468151B89}"/>
    <cellStyle name="Normal 6 4 4 2" xfId="931" xr:uid="{AD1262F0-894F-451F-8A83-9FB06C71A514}"/>
    <cellStyle name="Normal 6 4 4 2 2" xfId="1307" xr:uid="{054AB79E-0573-42FE-ABB4-0C68354675AB}"/>
    <cellStyle name="Normal 6 4 4 2 2 2" xfId="2287" xr:uid="{1D6179DB-21B0-4FA2-92CA-92D675399EDA}"/>
    <cellStyle name="Normal 6 4 4 2 2 2 2" xfId="5113" xr:uid="{9066E9B3-78C6-4729-91FC-B3E40F389D69}"/>
    <cellStyle name="Normal 6 4 4 2 2 2 2 2" xfId="9338" xr:uid="{64172FDE-2DA9-4677-A05A-1B5B5661F9DD}"/>
    <cellStyle name="Normal 6 4 4 2 2 2 3" xfId="3605" xr:uid="{445E085D-2F78-46C3-B89A-FAEC0D1EE437}"/>
    <cellStyle name="Normal 6 4 4 2 2 2 3 2" xfId="8072" xr:uid="{623A089D-548B-49A0-A24C-65D307FA7210}"/>
    <cellStyle name="Normal 6 4 4 2 2 2 4" xfId="6852" xr:uid="{A7527959-4229-4A1F-80FE-86FD70993147}"/>
    <cellStyle name="Normal 6 4 4 2 2 3" xfId="4011" xr:uid="{BB6FFBB4-77F3-46E0-A29F-7E7BD41218F6}"/>
    <cellStyle name="Normal 6 4 4 2 2 3 2" xfId="8460" xr:uid="{01590AE2-76C9-4A73-9E41-5AB91F50CB59}"/>
    <cellStyle name="Normal 6 4 4 2 2 4" xfId="4729" xr:uid="{6B695345-8F36-4573-9ADF-00B34FE4E11C}"/>
    <cellStyle name="Normal 6 4 4 2 2 4 2" xfId="8975" xr:uid="{39CFE5D6-87D1-4AD3-8693-0D082D3603B6}"/>
    <cellStyle name="Normal 6 4 4 2 2 5" xfId="3189" xr:uid="{7D374383-3CE3-4728-87D3-B6D96959F80E}"/>
    <cellStyle name="Normal 6 4 4 2 2 5 2" xfId="7684" xr:uid="{BBA4A643-6615-4925-986B-1FB0DC571AD5}"/>
    <cellStyle name="Normal 6 4 4 2 2 6" xfId="5873" xr:uid="{FD0E08C1-D368-4B03-ADF9-63BE5FE66076}"/>
    <cellStyle name="Normal 6 4 4 2 3" xfId="1541" xr:uid="{697BAD0D-AABD-4D85-9E0B-EF51388B3D14}"/>
    <cellStyle name="Normal 6 4 4 2 3 2" xfId="2521" xr:uid="{35EA323A-2929-4280-A9CD-C9BA5C80304A}"/>
    <cellStyle name="Normal 6 4 4 2 3 2 2" xfId="5218" xr:uid="{0423F0F5-3659-40C5-8768-A72B83645179}"/>
    <cellStyle name="Normal 6 4 4 2 3 2 2 2" xfId="9443" xr:uid="{236DE067-A965-4091-BF1D-44F0F2A19F9C}"/>
    <cellStyle name="Normal 6 4 4 2 3 2 3" xfId="3710" xr:uid="{67BEF30F-BDA7-4AC8-B915-2E8E45400F39}"/>
    <cellStyle name="Normal 6 4 4 2 3 2 3 2" xfId="8177" xr:uid="{57652CDA-A571-42DC-9629-8436574F7C91}"/>
    <cellStyle name="Normal 6 4 4 2 3 2 4" xfId="7086" xr:uid="{1BCCA4B7-D99F-4BBB-AF20-8CE3DCE4D9FE}"/>
    <cellStyle name="Normal 6 4 4 2 3 3" xfId="4116" xr:uid="{63B6D7B6-EC52-4330-B77F-65CBA3B6DA79}"/>
    <cellStyle name="Normal 6 4 4 2 3 3 2" xfId="8565" xr:uid="{04473F39-89D3-4FF2-BEA3-D1F02921699C}"/>
    <cellStyle name="Normal 6 4 4 2 3 4" xfId="4809" xr:uid="{355E85E0-D390-4D11-9EAB-78D228E35F4C}"/>
    <cellStyle name="Normal 6 4 4 2 3 4 2" xfId="9055" xr:uid="{CD1AF2F0-A225-4385-879E-53D7E4991350}"/>
    <cellStyle name="Normal 6 4 4 2 3 5" xfId="3296" xr:uid="{AF28B9FE-705A-4999-97B0-6E8E9BBCE9D7}"/>
    <cellStyle name="Normal 6 4 4 2 3 5 2" xfId="7789" xr:uid="{9BE92903-8878-4B77-86A2-DECE4D6006BD}"/>
    <cellStyle name="Normal 6 4 4 2 3 6" xfId="6107" xr:uid="{8845B393-F478-4CF7-BE38-B55229427532}"/>
    <cellStyle name="Normal 6 4 4 2 4" xfId="1775" xr:uid="{3938A7B6-2867-41FA-91E8-E71A5BA75BBF}"/>
    <cellStyle name="Normal 6 4 4 2 4 2" xfId="2754" xr:uid="{AAC19AE4-7182-45DA-AF2B-E5398C5BAD57}"/>
    <cellStyle name="Normal 6 4 4 2 4 2 2" xfId="5012" xr:uid="{C1BF6E2D-3980-4FD5-8A93-84A36975CB2A}"/>
    <cellStyle name="Normal 6 4 4 2 4 2 2 2" xfId="9238" xr:uid="{8AEF2F50-E9F5-4825-B294-03CCED1B9D54}"/>
    <cellStyle name="Normal 6 4 4 2 4 2 3" xfId="3500" xr:uid="{1813576F-1EB6-4817-AE94-622F160AD685}"/>
    <cellStyle name="Normal 6 4 4 2 4 2 3 2" xfId="7967" xr:uid="{48B2FDE6-BF2B-4E78-9F27-0E603685A961}"/>
    <cellStyle name="Normal 6 4 4 2 4 2 4" xfId="7319" xr:uid="{D11D8964-24AF-4929-9327-DAD7E92B2C39}"/>
    <cellStyle name="Normal 6 4 4 2 4 3" xfId="3906" xr:uid="{72780FD5-C845-4931-9A1D-E21EFBB1E615}"/>
    <cellStyle name="Normal 6 4 4 2 4 3 2" xfId="8355" xr:uid="{543B8BAC-EEE6-4CAB-A6B1-35E3092E09BC}"/>
    <cellStyle name="Normal 6 4 4 2 4 4" xfId="4652" xr:uid="{563D6787-29A9-4718-BE91-3552B036B1C7}"/>
    <cellStyle name="Normal 6 4 4 2 4 4 2" xfId="8898" xr:uid="{2F7C2676-CF9C-434F-80F0-5B04D0D9D928}"/>
    <cellStyle name="Normal 6 4 4 2 4 5" xfId="3069" xr:uid="{204547DB-2938-4987-AC8B-10C98E11C35F}"/>
    <cellStyle name="Normal 6 4 4 2 4 5 2" xfId="7579" xr:uid="{5482AC83-8F44-4DD9-BBD2-4CC6104FE891}"/>
    <cellStyle name="Normal 6 4 4 2 4 6" xfId="6340" xr:uid="{7E6447F7-99F0-43FB-8E96-8D1D294D5433}"/>
    <cellStyle name="Normal 6 4 4 2 5" xfId="2012" xr:uid="{626A3535-306C-4C3D-B3F9-E671F4EA223F}"/>
    <cellStyle name="Normal 6 4 4 2 5 2" xfId="4494" xr:uid="{670FD2E0-BB9C-4084-86CE-ACFC2511260F}"/>
    <cellStyle name="Normal 6 4 4 2 5 2 2" xfId="8766" xr:uid="{BC64A503-5171-446C-B36F-F67C1D17675F}"/>
    <cellStyle name="Normal 6 4 4 2 5 3" xfId="3426" xr:uid="{15A2534E-5E1A-4739-AEE2-CA0413503754}"/>
    <cellStyle name="Normal 6 4 4 2 5 3 2" xfId="7894" xr:uid="{80FF2240-ECEE-473B-B376-F9BC0F3D6681}"/>
    <cellStyle name="Normal 6 4 4 2 5 4" xfId="6577" xr:uid="{4E7EDBA6-EFDA-4723-AC55-A642DAE8D190}"/>
    <cellStyle name="Normal 6 4 4 2 6" xfId="3833" xr:uid="{775398CE-B0C1-4FC7-861B-D0C9F9B2F2CD}"/>
    <cellStyle name="Normal 6 4 4 2 6 2" xfId="4999" xr:uid="{F4871DA0-10BD-4A40-9561-4FF8B851FC86}"/>
    <cellStyle name="Normal 6 4 4 2 6 2 2" xfId="9226" xr:uid="{73902858-1043-43A9-B387-67AB0ABEB758}"/>
    <cellStyle name="Normal 6 4 4 2 6 3" xfId="8282" xr:uid="{8E3F0BE7-2FCB-4CD9-83FB-930682EFCA7D}"/>
    <cellStyle name="Normal 6 4 4 2 7" xfId="4452" xr:uid="{F3D1FA15-6A59-4505-9D35-154767BB8760}"/>
    <cellStyle name="Normal 6 4 4 2 7 2" xfId="8729" xr:uid="{4890065D-E402-4EA7-A34D-24A4DAF79247}"/>
    <cellStyle name="Normal 6 4 4 2 8" xfId="2944" xr:uid="{415A0545-D059-42C8-93F3-4032E5FA4ECA}"/>
    <cellStyle name="Normal 6 4 4 2 8 2" xfId="7506" xr:uid="{CFA4978B-ABBD-4062-AAE8-601CFA605E92}"/>
    <cellStyle name="Normal 6 4 4 2 9" xfId="5598" xr:uid="{5444219A-AA34-469D-B4FF-FF4C9AB33DF7}"/>
    <cellStyle name="Normal 6 4 4 3" xfId="1016" xr:uid="{E68E69F0-A078-4A4F-82D6-618BDAD9C516}"/>
    <cellStyle name="Normal 6 4 4 3 2" xfId="1384" xr:uid="{B4D2A804-3828-4E66-9F32-6DAAFAAE9569}"/>
    <cellStyle name="Normal 6 4 4 3 2 2" xfId="2364" xr:uid="{86CD8DBD-9E7E-42F4-9B31-6EA62DE772CB}"/>
    <cellStyle name="Normal 6 4 4 3 2 2 2" xfId="5147" xr:uid="{68F415B4-9F90-4C37-9824-CDBDF70BBD07}"/>
    <cellStyle name="Normal 6 4 4 3 2 2 2 2" xfId="9372" xr:uid="{21EC18DB-1B38-4AA7-B0CB-21D8F53695B3}"/>
    <cellStyle name="Normal 6 4 4 3 2 2 3" xfId="3639" xr:uid="{7D7713B9-EE9C-40AE-A3F3-B3425E0B4499}"/>
    <cellStyle name="Normal 6 4 4 3 2 2 3 2" xfId="8106" xr:uid="{71CA7CD8-946C-4C43-8D22-8C5B4863A4F4}"/>
    <cellStyle name="Normal 6 4 4 3 2 2 4" xfId="6929" xr:uid="{26C289F2-29E9-4706-8ECB-C58CFD6C724C}"/>
    <cellStyle name="Normal 6 4 4 3 2 3" xfId="4045" xr:uid="{4FC9EEB1-CFC2-4E1B-92E2-84369C692A81}"/>
    <cellStyle name="Normal 6 4 4 3 2 3 2" xfId="8494" xr:uid="{45512FC2-84C8-4ED1-8C08-9F0C810D0251}"/>
    <cellStyle name="Normal 6 4 4 3 2 4" xfId="4763" xr:uid="{CED6E549-2611-4025-9A05-4671845B9724}"/>
    <cellStyle name="Normal 6 4 4 3 2 4 2" xfId="9009" xr:uid="{1A42DF29-87EE-4CA9-9864-7BD623D880D6}"/>
    <cellStyle name="Normal 6 4 4 3 2 5" xfId="3223" xr:uid="{B64BC17F-4D82-4D12-8210-F9ABD4D43F50}"/>
    <cellStyle name="Normal 6 4 4 3 2 5 2" xfId="7718" xr:uid="{A94F7114-9135-48EE-8FE7-EACB3049A8A5}"/>
    <cellStyle name="Normal 6 4 4 3 2 6" xfId="5950" xr:uid="{73525718-A5EA-40AD-85FE-E2E06318EADB}"/>
    <cellStyle name="Normal 6 4 4 3 3" xfId="1618" xr:uid="{824FC1E9-7938-40F2-A2A5-CF65A8C9B8C0}"/>
    <cellStyle name="Normal 6 4 4 3 3 2" xfId="2598" xr:uid="{E8D2D285-5388-4D90-BEE4-F43F3402432F}"/>
    <cellStyle name="Normal 6 4 4 3 3 2 2" xfId="5252" xr:uid="{0FF3E370-2522-402B-81FA-2C9E8FA05A21}"/>
    <cellStyle name="Normal 6 4 4 3 3 2 2 2" xfId="9477" xr:uid="{EF281DBF-798F-43EA-ACEC-1DC0ED4C2A1E}"/>
    <cellStyle name="Normal 6 4 4 3 3 2 3" xfId="3744" xr:uid="{D5CB07FC-A05C-4943-9326-FDAA1E1D18A6}"/>
    <cellStyle name="Normal 6 4 4 3 3 2 3 2" xfId="8211" xr:uid="{4FF82E76-F2EE-41FF-8B7E-677FEA7F3734}"/>
    <cellStyle name="Normal 6 4 4 3 3 2 4" xfId="7163" xr:uid="{7CF4E105-5D96-43D4-851E-12016C121986}"/>
    <cellStyle name="Normal 6 4 4 3 3 3" xfId="4150" xr:uid="{3C0941C7-C915-4E29-84BC-7945515B0C09}"/>
    <cellStyle name="Normal 6 4 4 3 3 3 2" xfId="8599" xr:uid="{50C7C998-8D1F-434D-8B6C-7DD210FE93E3}"/>
    <cellStyle name="Normal 6 4 4 3 3 4" xfId="4839" xr:uid="{8B7F0B2C-4BF0-49E4-9DB8-D4E4203A8AD8}"/>
    <cellStyle name="Normal 6 4 4 3 3 4 2" xfId="9085" xr:uid="{77343C7C-2B90-47D0-8125-87EA4EDDD510}"/>
    <cellStyle name="Normal 6 4 4 3 3 5" xfId="3334" xr:uid="{236092A6-AE84-4ACB-BDF1-3778107A4E89}"/>
    <cellStyle name="Normal 6 4 4 3 3 5 2" xfId="7823" xr:uid="{E4C46741-2873-410B-9E82-B47CA42EEE13}"/>
    <cellStyle name="Normal 6 4 4 3 3 6" xfId="6184" xr:uid="{94AB567D-51C7-4E2B-A497-B3A3267617E9}"/>
    <cellStyle name="Normal 6 4 4 3 4" xfId="1852" xr:uid="{E9141517-D434-4327-B952-58D5104BDF5C}"/>
    <cellStyle name="Normal 6 4 4 3 4 2" xfId="2831" xr:uid="{D7B61BBB-66D4-4481-A105-E11435F384EA}"/>
    <cellStyle name="Normal 6 4 4 3 4 2 2" xfId="5043" xr:uid="{9AEC0E0C-EFAB-4843-9304-CCF92DE30CB9}"/>
    <cellStyle name="Normal 6 4 4 3 4 2 2 2" xfId="9269" xr:uid="{C4DBDB87-0D82-4340-B26D-5BB8218CC76C}"/>
    <cellStyle name="Normal 6 4 4 3 4 2 3" xfId="7396" xr:uid="{5111583C-C2FE-4EC5-9107-B51B43F2DA11}"/>
    <cellStyle name="Normal 6 4 4 3 4 3" xfId="3534" xr:uid="{66DB92D8-BCC5-42A6-8E16-2AC70E68338A}"/>
    <cellStyle name="Normal 6 4 4 3 4 3 2" xfId="8001" xr:uid="{90797432-9BFA-402D-A20A-1792BB2FA8CD}"/>
    <cellStyle name="Normal 6 4 4 3 4 4" xfId="6417" xr:uid="{B6609B94-E2A3-4C10-BD66-218D87280A74}"/>
    <cellStyle name="Normal 6 4 4 3 5" xfId="2089" xr:uid="{D40DD9B5-0537-493A-B6D7-C6574D8D1E49}"/>
    <cellStyle name="Normal 6 4 4 3 5 2" xfId="3940" xr:uid="{9CB4B4CA-97B8-4895-ADA9-43CF7142D69F}"/>
    <cellStyle name="Normal 6 4 4 3 5 2 2" xfId="8389" xr:uid="{88E2E807-4899-4568-8030-0A7AD5772ADC}"/>
    <cellStyle name="Normal 6 4 4 3 5 3" xfId="6654" xr:uid="{ACB9555D-0F72-4C99-9840-F61C89C6F2A7}"/>
    <cellStyle name="Normal 6 4 4 3 6" xfId="4586" xr:uid="{2EA868DE-4A77-4F23-A187-E57100B19503}"/>
    <cellStyle name="Normal 6 4 4 3 6 2" xfId="8841" xr:uid="{31812837-68AD-405F-9D7F-5411BADAE6E1}"/>
    <cellStyle name="Normal 6 4 4 3 7" xfId="3107" xr:uid="{A8C0658E-6B2D-4BC7-82AE-033BE58681E3}"/>
    <cellStyle name="Normal 6 4 4 3 7 2" xfId="7613" xr:uid="{C1FCA328-7F3F-4136-8929-8F83EDA5ED85}"/>
    <cellStyle name="Normal 6 4 4 3 8" xfId="5675" xr:uid="{D3D69D20-5FBD-4B9E-8808-18913843506C}"/>
    <cellStyle name="Normal 6 4 4 4" xfId="1160" xr:uid="{077B8BBB-5500-4B9D-B3D2-2659D6B180FE}"/>
    <cellStyle name="Normal 6 4 4 4 2" xfId="2164" xr:uid="{148A47C9-41E0-4B6B-94C3-97E19F58E8E1}"/>
    <cellStyle name="Normal 6 4 4 4 2 2" xfId="5078" xr:uid="{621E3405-F1B4-45B9-8A49-5C596254AF31}"/>
    <cellStyle name="Normal 6 4 4 4 2 2 2" xfId="9304" xr:uid="{73D55C79-ACD8-4680-A6F5-060D7D250974}"/>
    <cellStyle name="Normal 6 4 4 4 2 3" xfId="3570" xr:uid="{02F5C0C1-6C0B-4C54-8DFF-7B74E7559883}"/>
    <cellStyle name="Normal 6 4 4 4 2 3 2" xfId="8037" xr:uid="{218D6E39-FADB-46F9-9587-B62D2E44498C}"/>
    <cellStyle name="Normal 6 4 4 4 2 4" xfId="6729" xr:uid="{937C9581-2F2E-4ADC-ADF5-2DE26B8D6330}"/>
    <cellStyle name="Normal 6 4 4 4 3" xfId="3976" xr:uid="{FDA91DED-1AE1-4E93-86BC-8AC22BA59FAE}"/>
    <cellStyle name="Normal 6 4 4 4 3 2" xfId="8425" xr:uid="{1036CDEA-A1CC-4D74-9952-B5B633D3B440}"/>
    <cellStyle name="Normal 6 4 4 4 4" xfId="4696" xr:uid="{3278B70E-6EF1-4189-A754-DE59FD0041BA}"/>
    <cellStyle name="Normal 6 4 4 4 4 2" xfId="8942" xr:uid="{585B4267-CE00-496E-86D1-8ED9961BD899}"/>
    <cellStyle name="Normal 6 4 4 4 5" xfId="3154" xr:uid="{AD879299-B3FB-4D13-AF68-81016650AE02}"/>
    <cellStyle name="Normal 6 4 4 4 5 2" xfId="7649" xr:uid="{E634979E-62CD-46D6-ACD8-E22FD07ABA46}"/>
    <cellStyle name="Normal 6 4 4 4 6" xfId="5750" xr:uid="{B04B879F-07BC-4F06-9E43-B7A8C70D6642}"/>
    <cellStyle name="Normal 6 4 4 5" xfId="1227" xr:uid="{A340FDA5-2557-48F4-BD94-F4576327F01D}"/>
    <cellStyle name="Normal 6 4 4 5 2" xfId="2210" xr:uid="{24D717E0-F2FE-4253-BA47-D4FDB9328656}"/>
    <cellStyle name="Normal 6 4 4 5 2 2" xfId="5183" xr:uid="{E4FEC6F2-8ECB-4A16-9797-AB76022A4AB1}"/>
    <cellStyle name="Normal 6 4 4 5 2 2 2" xfId="9408" xr:uid="{FD488108-A484-4141-A358-3BB59822475E}"/>
    <cellStyle name="Normal 6 4 4 5 2 3" xfId="3675" xr:uid="{2BC0E90F-7F84-476F-939B-F3FA701D3B16}"/>
    <cellStyle name="Normal 6 4 4 5 2 3 2" xfId="8142" xr:uid="{B1304EEA-94E7-45BD-83E4-BEF506B16088}"/>
    <cellStyle name="Normal 6 4 4 5 2 4" xfId="6775" xr:uid="{629F2BC7-90A9-4592-834B-391E640912C8}"/>
    <cellStyle name="Normal 6 4 4 5 3" xfId="4081" xr:uid="{ACDA6369-C398-49FB-9812-BCE5D81035F6}"/>
    <cellStyle name="Normal 6 4 4 5 3 2" xfId="8530" xr:uid="{60D4259F-D4E7-47F2-A3A9-AA60118669E5}"/>
    <cellStyle name="Normal 6 4 4 5 4" xfId="4798" xr:uid="{0937F14B-69C3-47FF-9F9B-F526A143836A}"/>
    <cellStyle name="Normal 6 4 4 5 4 2" xfId="9044" xr:uid="{BE1F13D8-C141-4231-9260-658973DF0A3C}"/>
    <cellStyle name="Normal 6 4 4 5 5" xfId="3260" xr:uid="{806C4AAC-DD83-4132-A5FD-E573419B420D}"/>
    <cellStyle name="Normal 6 4 4 5 5 2" xfId="7754" xr:uid="{11E6A410-E58B-4F60-A4A4-DC277C8FA05C}"/>
    <cellStyle name="Normal 6 4 4 5 6" xfId="5796" xr:uid="{3841ABEE-4FE0-44B6-B0E7-EBE19D2F5B33}"/>
    <cellStyle name="Normal 6 4 4 6" xfId="1464" xr:uid="{9F6F5B3F-DA70-483E-8CFB-FEEA20BD8A07}"/>
    <cellStyle name="Normal 6 4 4 6 2" xfId="2444" xr:uid="{2A84D000-F998-45EF-AD12-9FDA88F8E2CB}"/>
    <cellStyle name="Normal 6 4 4 6 2 2" xfId="4998" xr:uid="{9942F15F-2286-4A0A-AE40-5D68BDE346D6}"/>
    <cellStyle name="Normal 6 4 4 6 2 2 2" xfId="9225" xr:uid="{9335395B-193D-4704-B991-88E55B5BD4C6}"/>
    <cellStyle name="Normal 6 4 4 6 2 3" xfId="3465" xr:uid="{E36526FD-54EE-4E35-9ABB-91619B68DDC3}"/>
    <cellStyle name="Normal 6 4 4 6 2 3 2" xfId="7932" xr:uid="{17AB5F9D-6B60-4C03-BB1E-1691B3070B11}"/>
    <cellStyle name="Normal 6 4 4 6 2 4" xfId="7009" xr:uid="{112B90E5-6BB3-425A-B8F3-A69DE108D236}"/>
    <cellStyle name="Normal 6 4 4 6 3" xfId="3871" xr:uid="{E886C1B6-4AE3-48D1-B18B-C4BAAD512FAB}"/>
    <cellStyle name="Normal 6 4 4 6 3 2" xfId="8320" xr:uid="{355D0DED-F753-4A87-9B7D-E20B6EC749EC}"/>
    <cellStyle name="Normal 6 4 4 6 4" xfId="4504" xr:uid="{6486501A-5B70-4216-976F-8C410CCE5524}"/>
    <cellStyle name="Normal 6 4 4 6 4 2" xfId="8774" xr:uid="{7FA45DA3-34EF-4939-BC07-FE23BB171B51}"/>
    <cellStyle name="Normal 6 4 4 6 5" xfId="3027" xr:uid="{8A542295-8FFF-4F64-AE74-E54E65993183}"/>
    <cellStyle name="Normal 6 4 4 6 5 2" xfId="7544" xr:uid="{5EE0E359-90A6-4054-BA6A-1E1DF62ED9CD}"/>
    <cellStyle name="Normal 6 4 4 6 6" xfId="6030" xr:uid="{C538E051-434F-43A7-A581-71BD7F05EAA2}"/>
    <cellStyle name="Normal 6 4 4 7" xfId="1715" xr:uid="{4C5846AC-61D2-430E-920B-3CA54EAA044D}"/>
    <cellStyle name="Normal 6 4 4 7 2" xfId="2694" xr:uid="{A6C2A575-023B-4C33-B8A6-058A8DE58735}"/>
    <cellStyle name="Normal 6 4 4 7 2 2" xfId="4951" xr:uid="{274938D5-0D3F-4CFC-A301-4E3A7DD5614E}"/>
    <cellStyle name="Normal 6 4 4 7 2 2 2" xfId="9181" xr:uid="{9C8F24F9-22FF-4D29-8AE9-54EEA770B89B}"/>
    <cellStyle name="Normal 6 4 4 7 2 3" xfId="7259" xr:uid="{62253C62-3DEF-4C3B-89A6-3E77CFA93FF3}"/>
    <cellStyle name="Normal 6 4 4 7 3" xfId="3391" xr:uid="{900FCF3C-24DE-4F9C-A9A0-7AA11D8110DD}"/>
    <cellStyle name="Normal 6 4 4 7 3 2" xfId="7860" xr:uid="{49DE4211-D701-4EE3-B264-5035E1DBE203}"/>
    <cellStyle name="Normal 6 4 4 7 4" xfId="6280" xr:uid="{F2D44DC9-1F7E-4BBF-9F48-9490FFAF9D53}"/>
    <cellStyle name="Normal 6 4 4 8" xfId="1935" xr:uid="{0D856A63-3915-4FF5-8032-2DFDDE543458}"/>
    <cellStyle name="Normal 6 4 4 8 2" xfId="3799" xr:uid="{D97169CD-0138-4BD8-B873-FC8BB925FAB1}"/>
    <cellStyle name="Normal 6 4 4 8 2 2" xfId="8248" xr:uid="{4EA7D07D-AE9C-43A9-AB59-20BEFCEE18F4}"/>
    <cellStyle name="Normal 6 4 4 8 3" xfId="6500" xr:uid="{C1E051F1-DC7F-41CB-B1F5-AB46A69C8D8F}"/>
    <cellStyle name="Normal 6 4 4 9" xfId="4304" xr:uid="{2CECAC3E-C657-45E5-A61F-75FA88B7CC6E}"/>
    <cellStyle name="Normal 6 4 4 9 2" xfId="8657" xr:uid="{F81BC8EE-88B6-4A54-893C-5079424A8574}"/>
    <cellStyle name="Normal 6 4 5" xfId="796" xr:uid="{6E0406B1-4407-485B-86FD-F1AB144D6CB0}"/>
    <cellStyle name="Normal 6 4 6" xfId="860" xr:uid="{A0DE3FD7-D3D7-4CCC-831A-9E20F22EA975}"/>
    <cellStyle name="Normal 6 4 6 2" xfId="966" xr:uid="{899D6733-D18C-44CE-86E8-3D8ED53BFCA1}"/>
    <cellStyle name="Normal 6 4 6 2 2" xfId="1339" xr:uid="{48F78DA4-F64F-432B-90A6-930DC1B6CA16}"/>
    <cellStyle name="Normal 6 4 6 2 2 2" xfId="2319" xr:uid="{09EDA32A-5611-49CD-A697-BDAEB215E59B}"/>
    <cellStyle name="Normal 6 4 6 2 2 2 2" xfId="6884" xr:uid="{F3CEA155-B507-4467-9421-CDC28D9F33E0}"/>
    <cellStyle name="Normal 6 4 6 2 2 3" xfId="5356" xr:uid="{2649EFE1-5312-477B-92B8-F61D7A6F7BD9}"/>
    <cellStyle name="Normal 6 4 6 2 2 3 2" xfId="9534" xr:uid="{58BDF85A-C4DF-41BC-8718-81B34B4B888E}"/>
    <cellStyle name="Normal 6 4 6 2 2 4" xfId="5905" xr:uid="{1A062BEA-3B0B-42C1-8D4D-60EE14479B6D}"/>
    <cellStyle name="Normal 6 4 6 2 3" xfId="1573" xr:uid="{1D5D85AD-0573-48B0-9CAE-6D876CC6BA5A}"/>
    <cellStyle name="Normal 6 4 6 2 3 2" xfId="2553" xr:uid="{A393E3F9-FDDD-4142-815C-6F29B37FEFA0}"/>
    <cellStyle name="Normal 6 4 6 2 3 2 2" xfId="7118" xr:uid="{E7522C78-04B0-45CC-90D9-507AFAFDCA57}"/>
    <cellStyle name="Normal 6 4 6 2 3 3" xfId="5396" xr:uid="{CFA1E99A-EF46-4F6C-B2FF-3F2960C5092B}"/>
    <cellStyle name="Normal 6 4 6 2 3 3 2" xfId="9573" xr:uid="{743DC726-1582-46B4-8A16-4C2C39B1EF3B}"/>
    <cellStyle name="Normal 6 4 6 2 3 4" xfId="6139" xr:uid="{4C489EC5-A99A-4195-8077-EDB41132F03B}"/>
    <cellStyle name="Normal 6 4 6 2 4" xfId="1807" xr:uid="{1B010425-6D7F-4433-B8A9-538E4DA5A262}"/>
    <cellStyle name="Normal 6 4 6 2 4 2" xfId="2786" xr:uid="{D3A4C9DA-39FE-400B-B7B0-178434C1618E}"/>
    <cellStyle name="Normal 6 4 6 2 4 2 2" xfId="7351" xr:uid="{C00FEA6C-810B-4D5F-9E64-554634B9B066}"/>
    <cellStyle name="Normal 6 4 6 2 4 3" xfId="5446" xr:uid="{D43818FC-C7A8-4479-959B-CB52851A1A05}"/>
    <cellStyle name="Normal 6 4 6 2 4 3 2" xfId="9622" xr:uid="{7446971A-AAE3-428C-806B-6859CC773055}"/>
    <cellStyle name="Normal 6 4 6 2 4 4" xfId="6372" xr:uid="{C921AD10-A9F6-4679-9DC1-E5AF013D144D}"/>
    <cellStyle name="Normal 6 4 6 2 5" xfId="2044" xr:uid="{B056370A-5524-473F-B1CF-960341846BC4}"/>
    <cellStyle name="Normal 6 4 6 2 5 2" xfId="6609" xr:uid="{6EC4CD26-BB46-4918-8B27-791C7B117B1C}"/>
    <cellStyle name="Normal 6 4 6 2 6" xfId="5268" xr:uid="{46EB684F-EAC1-4E90-8E18-D12A0126DB29}"/>
    <cellStyle name="Normal 6 4 6 2 6 2" xfId="9490" xr:uid="{8EBF509D-374F-4AEE-9B91-7F0B617820B1}"/>
    <cellStyle name="Normal 6 4 6 2 7" xfId="5630" xr:uid="{AE4FB99A-A16F-4053-B346-805B7D8897DD}"/>
    <cellStyle name="Normal 6 4 6 3" xfId="1048" xr:uid="{BFB22B79-311A-4C15-AB89-1532F252DCFE}"/>
    <cellStyle name="Normal 6 4 6 3 2" xfId="1416" xr:uid="{2A8A6762-8F81-4CDC-AC15-17585DF602DC}"/>
    <cellStyle name="Normal 6 4 6 3 2 2" xfId="2396" xr:uid="{81CE170A-90F9-43AC-B704-8E2210D4B331}"/>
    <cellStyle name="Normal 6 4 6 3 2 2 2" xfId="6961" xr:uid="{F622F408-3589-467B-B217-593579317D60}"/>
    <cellStyle name="Normal 6 4 6 3 2 3" xfId="5370" xr:uid="{D849F86C-3CCE-4FC7-B6E8-43540D376168}"/>
    <cellStyle name="Normal 6 4 6 3 2 3 2" xfId="9548" xr:uid="{9943392D-A958-4758-B590-8851E517CB38}"/>
    <cellStyle name="Normal 6 4 6 3 2 4" xfId="5982" xr:uid="{0CE7B3B3-C2BC-420B-9B1B-176E21D1D16A}"/>
    <cellStyle name="Normal 6 4 6 3 3" xfId="1650" xr:uid="{FF6435E1-B7B0-4601-A720-95883B126F22}"/>
    <cellStyle name="Normal 6 4 6 3 3 2" xfId="2630" xr:uid="{4FA34E91-654C-4A66-8C13-BDF37FFC6ACB}"/>
    <cellStyle name="Normal 6 4 6 3 3 2 2" xfId="7195" xr:uid="{21F3EDBD-B8A9-4CB0-B936-20363B21EB1D}"/>
    <cellStyle name="Normal 6 4 6 3 3 3" xfId="5411" xr:uid="{D0D862E8-D992-4ADD-9307-2AA2967E449B}"/>
    <cellStyle name="Normal 6 4 6 3 3 3 2" xfId="9588" xr:uid="{74785F5B-440A-44D8-9228-B0997EC4A201}"/>
    <cellStyle name="Normal 6 4 6 3 3 4" xfId="6216" xr:uid="{B302A084-3546-4186-83F1-6341DFD4E0C9}"/>
    <cellStyle name="Normal 6 4 6 3 4" xfId="1884" xr:uid="{B57E6662-24C8-4AEB-9297-17D86C30DBE9}"/>
    <cellStyle name="Normal 6 4 6 3 4 2" xfId="2863" xr:uid="{FDEBE88E-0A0A-48C2-A984-28E395846CFC}"/>
    <cellStyle name="Normal 6 4 6 3 4 2 2" xfId="7428" xr:uid="{2EFD9514-2906-4DE0-9DAA-7ADF15683DF6}"/>
    <cellStyle name="Normal 6 4 6 3 4 3" xfId="5467" xr:uid="{74D4D1E6-098E-4720-B8F2-4EB65D831C3B}"/>
    <cellStyle name="Normal 6 4 6 3 4 3 2" xfId="9643" xr:uid="{E6A8F08D-0395-4348-9667-71B4A9BC484A}"/>
    <cellStyle name="Normal 6 4 6 3 4 4" xfId="6449" xr:uid="{B290B08C-763A-4258-868A-59E983A990DE}"/>
    <cellStyle name="Normal 6 4 6 3 5" xfId="2121" xr:uid="{B61E1000-0D95-47DD-BE97-9087D647580B}"/>
    <cellStyle name="Normal 6 4 6 3 5 2" xfId="6686" xr:uid="{B71C7B8A-BD62-4B8C-A530-C715E284B692}"/>
    <cellStyle name="Normal 6 4 6 3 6" xfId="5280" xr:uid="{735DA408-93F6-4C4E-BD13-AB4A3D28F7A0}"/>
    <cellStyle name="Normal 6 4 6 3 6 2" xfId="9502" xr:uid="{D8188BC7-E2CA-45CB-9F6A-42D4FAF61E50}"/>
    <cellStyle name="Normal 6 4 6 3 7" xfId="5707" xr:uid="{B9901D20-21EA-454F-847B-A5B04C99B407}"/>
    <cellStyle name="Normal 6 4 6 4" xfId="1260" xr:uid="{F046C75E-4F04-418E-B65B-77E971CADA00}"/>
    <cellStyle name="Normal 6 4 6 4 2" xfId="2242" xr:uid="{697CF13A-5919-49BF-84C4-83F7B8B614FF}"/>
    <cellStyle name="Normal 6 4 6 4 2 2" xfId="6807" xr:uid="{1EF10F78-F8C9-4C53-AF5F-75C4F13A9B5C}"/>
    <cellStyle name="Normal 6 4 6 4 3" xfId="5341" xr:uid="{BADAC2EF-48FA-4C8D-A0FF-D7C39DF80A95}"/>
    <cellStyle name="Normal 6 4 6 4 3 2" xfId="9522" xr:uid="{87F53A63-271B-463B-BFCE-EE98C2268DAE}"/>
    <cellStyle name="Normal 6 4 6 4 4" xfId="5828" xr:uid="{BB6A8913-1F56-44A3-A030-B4BED72741CE}"/>
    <cellStyle name="Normal 6 4 6 5" xfId="1496" xr:uid="{0B3C56A1-7229-4A22-9CEB-E994823160BA}"/>
    <cellStyle name="Normal 6 4 6 5 2" xfId="2476" xr:uid="{DA371A4B-CE8D-4B09-8F7B-12F2FF5E3A6D}"/>
    <cellStyle name="Normal 6 4 6 5 2 2" xfId="7041" xr:uid="{EE0034D0-3C31-42E4-AAD4-D2573B25E393}"/>
    <cellStyle name="Normal 6 4 6 5 3" xfId="5383" xr:uid="{5B3DDE97-818B-41A6-BBEB-99B8F68EB97D}"/>
    <cellStyle name="Normal 6 4 6 5 3 2" xfId="9561" xr:uid="{B270D2F7-93AD-427A-ADA7-AB9A15CF686D}"/>
    <cellStyle name="Normal 6 4 6 5 4" xfId="6062" xr:uid="{8EE53458-39EF-43B5-8F12-CEBC233C2F8A}"/>
    <cellStyle name="Normal 6 4 6 6" xfId="1730" xr:uid="{6BB458F1-1ADF-40EB-B6C2-E5FF6AA48232}"/>
    <cellStyle name="Normal 6 4 6 6 2" xfId="2709" xr:uid="{49D1A660-395C-42C0-B67B-866514D910C4}"/>
    <cellStyle name="Normal 6 4 6 6 2 2" xfId="7274" xr:uid="{DA1DED8F-90DD-42D1-9251-B575DAC2B60A}"/>
    <cellStyle name="Normal 6 4 6 6 3" xfId="5431" xr:uid="{AEE3A382-87F3-48A5-BB68-8096F8E74BF0}"/>
    <cellStyle name="Normal 6 4 6 6 3 2" xfId="9607" xr:uid="{4B05F16F-E4D7-4FBF-822C-5327C963A425}"/>
    <cellStyle name="Normal 6 4 6 6 4" xfId="6295" xr:uid="{AB1A6C8A-0965-4BE4-A335-CD84EE2E0DA5}"/>
    <cellStyle name="Normal 6 4 6 7" xfId="1967" xr:uid="{2CE5C93A-F6A7-44D0-BB25-B91AD95CD38A}"/>
    <cellStyle name="Normal 6 4 6 7 2" xfId="6532" xr:uid="{D01E7C14-6147-4EBF-B20E-A1C0F57C6576}"/>
    <cellStyle name="Normal 6 4 6 8" xfId="4424" xr:uid="{BB2B1255-D27C-4B42-B41A-F4631D32EA31}"/>
    <cellStyle name="Normal 6 4 6 8 2" xfId="8701" xr:uid="{CCC4ECCD-531A-47B1-A5B4-4C93C5662BA1}"/>
    <cellStyle name="Normal 6 4 6 9" xfId="5553" xr:uid="{40F14674-3C87-401F-897D-A78D810A859F}"/>
    <cellStyle name="Normal 6 4 7" xfId="910" xr:uid="{09158AE9-810F-4494-ADCE-3DFA795F8F17}"/>
    <cellStyle name="Normal 6 4 7 2" xfId="1295" xr:uid="{FDDF4564-A898-4FAA-BC7D-F57F15E32885}"/>
    <cellStyle name="Normal 6 4 7 2 2" xfId="2277" xr:uid="{3BD969B1-582F-4D88-8B20-01AA251D33E2}"/>
    <cellStyle name="Normal 6 4 7 2 2 2" xfId="6842" xr:uid="{46DECBEF-0E9E-4DC4-B3EA-09796F501603}"/>
    <cellStyle name="Normal 6 4 7 2 3" xfId="5349" xr:uid="{5C5254CA-8930-4224-9F88-45E1F68AAA00}"/>
    <cellStyle name="Normal 6 4 7 2 3 2" xfId="9529" xr:uid="{0DD23D78-5536-4A78-9558-8AD2CBA4BAAC}"/>
    <cellStyle name="Normal 6 4 7 2 4" xfId="5863" xr:uid="{0EFECEE1-E8AA-4F21-913A-55C357369C36}"/>
    <cellStyle name="Normal 6 4 7 3" xfId="1531" xr:uid="{2279C895-96F9-480B-B157-B4A2A944451C}"/>
    <cellStyle name="Normal 6 4 7 3 2" xfId="2511" xr:uid="{DBD793A9-B2F1-48D1-B173-433B9952DFF9}"/>
    <cellStyle name="Normal 6 4 7 3 2 2" xfId="7076" xr:uid="{81986CF2-F1DE-4EAA-A5C5-556870B003AE}"/>
    <cellStyle name="Normal 6 4 7 3 3" xfId="5390" xr:uid="{ABD7E9CD-382F-46B4-9A53-9F422FA60F5E}"/>
    <cellStyle name="Normal 6 4 7 3 3 2" xfId="9567" xr:uid="{123F5509-1C74-4A22-BA96-84E0282B8B0C}"/>
    <cellStyle name="Normal 6 4 7 3 4" xfId="6097" xr:uid="{791A18C0-EFF7-47A6-8D82-44220A8E98E8}"/>
    <cellStyle name="Normal 6 4 7 4" xfId="1765" xr:uid="{ADBA44E1-D041-4884-8794-6550D191424A}"/>
    <cellStyle name="Normal 6 4 7 4 2" xfId="2744" xr:uid="{15399E2D-4BE3-49C3-ACF7-3BDE3654781F}"/>
    <cellStyle name="Normal 6 4 7 4 2 2" xfId="7309" xr:uid="{AB7603F8-4A71-47D4-B2F2-0020A31228A9}"/>
    <cellStyle name="Normal 6 4 7 4 3" xfId="5437" xr:uid="{A18BFDE8-A922-4549-BB15-4E038AD1B463}"/>
    <cellStyle name="Normal 6 4 7 4 3 2" xfId="9613" xr:uid="{8BAF4F18-A764-4E44-A4F0-72100AF49C6E}"/>
    <cellStyle name="Normal 6 4 7 4 4" xfId="6330" xr:uid="{1D049D12-3F7A-4AD6-92C4-C8CE68267119}"/>
    <cellStyle name="Normal 6 4 7 5" xfId="2002" xr:uid="{14B4142D-896F-43D8-BA2A-3EC26651352F}"/>
    <cellStyle name="Normal 6 4 7 5 2" xfId="6567" xr:uid="{455D4615-C5AD-4F61-BD30-833F6B6346CF}"/>
    <cellStyle name="Normal 6 4 7 6" xfId="4533" xr:uid="{A4AFA63E-8C52-4B09-958B-53E887C869BC}"/>
    <cellStyle name="Normal 6 4 7 6 2" xfId="8795" xr:uid="{65E097BB-3746-4DFE-8424-5895DA5AD257}"/>
    <cellStyle name="Normal 6 4 7 7" xfId="5588" xr:uid="{19D3B81C-3146-4C55-AAA4-0B88311687E0}"/>
    <cellStyle name="Normal 6 4 8" xfId="1006" xr:uid="{54EFF463-C052-4CB2-B667-0E5A472D23AA}"/>
    <cellStyle name="Normal 6 4 8 2" xfId="1374" xr:uid="{6DDCA03B-F02E-4E10-B25B-C13E8AEB63D3}"/>
    <cellStyle name="Normal 6 4 8 2 2" xfId="2354" xr:uid="{C47CAF24-3A40-4480-9B9C-DACD7AEC624B}"/>
    <cellStyle name="Normal 6 4 8 2 2 2" xfId="6919" xr:uid="{54884EEC-4CCE-4C42-8383-88E4ADF6A715}"/>
    <cellStyle name="Normal 6 4 8 2 3" xfId="5363" xr:uid="{37EAF090-0423-49E8-9ED4-C51E06AF7DF5}"/>
    <cellStyle name="Normal 6 4 8 2 3 2" xfId="9541" xr:uid="{30EB7A75-392D-4EE5-89CB-ADC4EEBFFD23}"/>
    <cellStyle name="Normal 6 4 8 2 4" xfId="5940" xr:uid="{01C81C3D-E7E5-4D4C-93C6-B1B6F06A9468}"/>
    <cellStyle name="Normal 6 4 8 3" xfId="1608" xr:uid="{326A287F-7098-4E4D-9030-85872FF002FF}"/>
    <cellStyle name="Normal 6 4 8 3 2" xfId="2588" xr:uid="{5518FDB8-A9F7-4375-9693-8F3D3D51B638}"/>
    <cellStyle name="Normal 6 4 8 3 2 2" xfId="7153" xr:uid="{B73EFFA1-CD6A-4FA0-86A7-6AD02D676ADC}"/>
    <cellStyle name="Normal 6 4 8 3 3" xfId="5403" xr:uid="{57E98380-731A-487E-98E2-2E04D240D7FD}"/>
    <cellStyle name="Normal 6 4 8 3 3 2" xfId="9580" xr:uid="{2A802BE9-352D-4054-97F4-4249C275D62D}"/>
    <cellStyle name="Normal 6 4 8 3 4" xfId="6174" xr:uid="{9325BC6D-B12E-4318-BF1C-64FA3A222D23}"/>
    <cellStyle name="Normal 6 4 8 4" xfId="1842" xr:uid="{AFA67EC1-22BF-401D-B8C2-80FE2EE699DC}"/>
    <cellStyle name="Normal 6 4 8 4 2" xfId="2821" xr:uid="{E990E25F-7E40-4DAF-8D28-E0F9C6F78E17}"/>
    <cellStyle name="Normal 6 4 8 4 2 2" xfId="7386" xr:uid="{17F20611-8F13-44D3-B749-40C5437BA9F5}"/>
    <cellStyle name="Normal 6 4 8 4 3" xfId="5456" xr:uid="{3ABBDA8E-3CE1-4C53-8773-2A29843490B8}"/>
    <cellStyle name="Normal 6 4 8 4 3 2" xfId="9632" xr:uid="{13BF441A-485C-443F-ADD0-DDA2E8349955}"/>
    <cellStyle name="Normal 6 4 8 4 4" xfId="6407" xr:uid="{0DDAB8AC-C264-4DDA-9007-ECDF547A94F5}"/>
    <cellStyle name="Normal 6 4 8 5" xfId="2079" xr:uid="{625E5C50-062A-4DD5-BD9D-079F4DE554B1}"/>
    <cellStyle name="Normal 6 4 8 5 2" xfId="6644" xr:uid="{DC3419F0-41B5-44FC-A961-46E626D80B8A}"/>
    <cellStyle name="Normal 6 4 8 6" xfId="4917" xr:uid="{5AAA924A-243F-4A52-8484-51B73E9562A9}"/>
    <cellStyle name="Normal 6 4 8 6 2" xfId="9147" xr:uid="{3B68D0A2-D71D-44A4-8EC6-15FA9BDAE67F}"/>
    <cellStyle name="Normal 6 4 8 7" xfId="5665" xr:uid="{B42BD868-3D4F-4C66-972B-DA835ECAE47F}"/>
    <cellStyle name="Normal 6 4 9" xfId="1158" xr:uid="{ECACAB19-7C9C-4B6B-8E93-27CB6DC82CF0}"/>
    <cellStyle name="Normal 6 4 9 2" xfId="2162" xr:uid="{A4BAD032-357F-42B4-92A5-7F5D3B198937}"/>
    <cellStyle name="Normal 6 4 9 2 2" xfId="6727" xr:uid="{22CE3525-D0F6-4EBB-B9E2-994194289E2D}"/>
    <cellStyle name="Normal 6 4 9 3" xfId="4260" xr:uid="{813AF852-85E5-49DE-AFC6-8538CA213F0A}"/>
    <cellStyle name="Normal 6 4 9 3 2" xfId="8629" xr:uid="{39D6F86D-30C4-48B2-8023-849C9B0DCF56}"/>
    <cellStyle name="Normal 6 4 9 4" xfId="5748" xr:uid="{49EABA1C-EB06-4E2B-B420-283EF0D3B2AA}"/>
    <cellStyle name="Normal 6 5" xfId="503" xr:uid="{C78BABC3-DBA6-4315-9353-2A78372497D4}"/>
    <cellStyle name="Normal 6 6" xfId="504" xr:uid="{31D4748B-6DDB-4CBE-A6EF-4EB4E1904340}"/>
    <cellStyle name="Normal 6_Sheet2" xfId="2957" xr:uid="{2657BE1E-9DEE-49EE-BBA9-0454F4B329A1}"/>
    <cellStyle name="Normal 60" xfId="505" xr:uid="{8A652278-B5E7-42A1-89F9-61EF1C1034A2}"/>
    <cellStyle name="Normal 61" xfId="506" xr:uid="{0BF25409-A415-4958-A68F-414A2B278818}"/>
    <cellStyle name="Normal 62" xfId="507" xr:uid="{3B4EACBE-68F2-44B6-BAB7-31CE35318977}"/>
    <cellStyle name="Normal 62 2" xfId="797" xr:uid="{D13D7A02-3E78-4732-8E15-B188F5707C7A}"/>
    <cellStyle name="Normal 62 2 2" xfId="3297" xr:uid="{CD971085-AB13-4CD7-9CFE-45927D4F8A65}"/>
    <cellStyle name="Normal 62 2 3" xfId="3070" xr:uid="{6B81E16D-1FCF-426F-AD1A-40AD8A32EFF5}"/>
    <cellStyle name="Normal 62 3" xfId="908" xr:uid="{687906CC-93FA-460D-938E-4F1FCB9F9A26}"/>
    <cellStyle name="Normal 62 3 2" xfId="878" xr:uid="{79D83DBB-8DC0-48C0-AB81-CDB8B89EF1A3}"/>
    <cellStyle name="Normal 62 3 3" xfId="1161" xr:uid="{02DE99A6-F624-4998-8D41-4B8644686CAF}"/>
    <cellStyle name="Normal 62 3 3 2" xfId="5316" xr:uid="{5D84D3DC-6658-427C-9A5F-C89DF2C67F7F}"/>
    <cellStyle name="Normal 62 4" xfId="3238" xr:uid="{3F85F5AD-572D-4669-A319-179FF5920D9F}"/>
    <cellStyle name="Normal 62 5" xfId="2992" xr:uid="{A304A5DD-6D6C-4329-8DA0-0D1A54F4E3DE}"/>
    <cellStyle name="Normal 63" xfId="508" xr:uid="{A3AFA76D-6F15-4EE1-8107-0297192ABB1C}"/>
    <cellStyle name="Normal 64" xfId="762" xr:uid="{B7F9B8DC-CEA7-4DF7-8FCC-F27FED12ED8E}"/>
    <cellStyle name="Normal 64 2" xfId="932" xr:uid="{D6B8B6D2-82CC-4D67-8261-D4D959532A9A}"/>
    <cellStyle name="Normal 64 3" xfId="1226" xr:uid="{26ED4256-9FE2-4ED0-B4ED-93B47D58736A}"/>
    <cellStyle name="Normal 64 3 2" xfId="5334" xr:uid="{3B71DFFB-4697-4184-8533-F0CB27B0F783}"/>
    <cellStyle name="Normal 65" xfId="1051" xr:uid="{2AE662B5-3509-42F3-9C92-D04722003D82}"/>
    <cellStyle name="Normal 65 2" xfId="1419" xr:uid="{67D42A0C-FC72-41AA-B531-40B12667AD33}"/>
    <cellStyle name="Normal 65 2 2" xfId="2399" xr:uid="{583708A9-CC6A-4465-A6D9-13D3DA45DAD2}"/>
    <cellStyle name="Normal 65 2 2 2" xfId="6964" xr:uid="{5D2FF550-A9E3-467E-A7C2-BA9AA4703FAA}"/>
    <cellStyle name="Normal 65 2 3" xfId="5371" xr:uid="{559398C7-5937-4062-A643-50137587C034}"/>
    <cellStyle name="Normal 65 2 3 2" xfId="9549" xr:uid="{EAB53FD1-D238-41CC-83FE-4B12F42D0045}"/>
    <cellStyle name="Normal 65 2 4" xfId="5985" xr:uid="{D70531EF-3684-4E94-8733-F378158F1631}"/>
    <cellStyle name="Normal 65 3" xfId="1653" xr:uid="{759678C4-CE23-431B-87FE-044BEE657D36}"/>
    <cellStyle name="Normal 65 3 2" xfId="2633" xr:uid="{61F3D620-CA91-4600-B140-E7073940A465}"/>
    <cellStyle name="Normal 65 3 2 2" xfId="7198" xr:uid="{C4E366EB-2B0B-4E5F-BE46-A7FE38AAE499}"/>
    <cellStyle name="Normal 65 3 3" xfId="5412" xr:uid="{4F236ECB-4367-4C99-B2F5-4828644775FA}"/>
    <cellStyle name="Normal 65 3 3 2" xfId="9589" xr:uid="{07CC5895-8009-43D0-995A-808DC83DB898}"/>
    <cellStyle name="Normal 65 3 4" xfId="6219" xr:uid="{E1867A01-9EB4-49C1-A215-212DB1E251B7}"/>
    <cellStyle name="Normal 65 4" xfId="1887" xr:uid="{C98600BA-0CF6-4C4C-91EF-193DEF97AB9F}"/>
    <cellStyle name="Normal 65 4 2" xfId="2866" xr:uid="{2DAB6465-4671-4BF9-998C-75AF5425E281}"/>
    <cellStyle name="Normal 65 4 2 2" xfId="7431" xr:uid="{22622C1C-E578-4041-93D8-F8AEE5A83F21}"/>
    <cellStyle name="Normal 65 4 3" xfId="5468" xr:uid="{707E9B0B-BA2C-47A4-9C19-08B30F4DE68C}"/>
    <cellStyle name="Normal 65 4 3 2" xfId="9644" xr:uid="{BF88ECE8-5951-49E3-9E24-756C079471D2}"/>
    <cellStyle name="Normal 65 4 4" xfId="6452" xr:uid="{C0A76779-6DFF-48DC-9881-67512DD81595}"/>
    <cellStyle name="Normal 65 5" xfId="2124" xr:uid="{5D7C9E73-BBD2-4BBF-81E1-930A267314D2}"/>
    <cellStyle name="Normal 65 5 2" xfId="6689" xr:uid="{B197A25B-DFF8-4501-83A4-BF70C03DD925}"/>
    <cellStyle name="Normal 65 6" xfId="3031" xr:uid="{6713B740-F2F7-4140-8001-CF1670A92B3A}"/>
    <cellStyle name="Normal 65 7" xfId="5281" xr:uid="{063C4F28-CFB8-4A1C-BC0A-F1F011657517}"/>
    <cellStyle name="Normal 65 7 2" xfId="9503" xr:uid="{98EA0600-1700-4D97-B856-531C5F408E84}"/>
    <cellStyle name="Normal 65 8" xfId="5710" xr:uid="{E0352E4C-C357-4CDA-8388-005E2121D105}"/>
    <cellStyle name="Normal 66" xfId="1053" xr:uid="{20E310B9-9213-450F-AB80-A40BAB7312A5}"/>
    <cellStyle name="Normal 66 2" xfId="3032" xr:uid="{03AF2092-30F9-4C01-830F-4853AA9FF0CD}"/>
    <cellStyle name="Normal 67" xfId="3033" xr:uid="{E51B8AD0-D905-4B59-AC47-4B77BBA35360}"/>
    <cellStyle name="Normal 68" xfId="3034" xr:uid="{1F4885FE-12B9-40E0-8E83-3C3CF916C7F6}"/>
    <cellStyle name="Normal 69" xfId="3036" xr:uid="{80EF626A-376C-465D-9892-95D2DF200119}"/>
    <cellStyle name="Normal 69 2" xfId="3263" xr:uid="{4B436FA0-50AD-49BA-BEC6-0F91ADE99C4B}"/>
    <cellStyle name="Normal 7" xfId="509" xr:uid="{B871C9EF-1820-40BE-83D3-96F8EA72239B}"/>
    <cellStyle name="Normal 7 10" xfId="798" xr:uid="{0E4AE6FF-C225-41D0-ABE8-CE1670D098A8}"/>
    <cellStyle name="Normal 7 10 2" xfId="930" xr:uid="{3C29C57A-08D8-4BE3-A1F2-8372EE2D65E2}"/>
    <cellStyle name="Normal 7 10 2 2" xfId="4530" xr:uid="{2762A1E8-FBAE-4FEB-BFBD-EF34A8DACFCD}"/>
    <cellStyle name="Normal 7 10 3" xfId="4385" xr:uid="{9E71A3DC-E892-4FAD-8929-D838DAE0AE01}"/>
    <cellStyle name="Normal 7 2" xfId="510" xr:uid="{69A75FD1-D93B-445B-89D2-6CBFFB8E8DEA}"/>
    <cellStyle name="Normal 7 2 2" xfId="511" xr:uid="{A8E5A2BF-3D87-4A5A-A2A2-ECB0CB80839B}"/>
    <cellStyle name="Normal 7 2 2 2" xfId="800" xr:uid="{DE1C9579-2585-4056-8145-5827CB74AB0F}"/>
    <cellStyle name="Normal 7 2 3" xfId="512" xr:uid="{51D5C4E1-CA92-444E-B225-46E6EF9B178D}"/>
    <cellStyle name="Normal 7 2 3 2" xfId="513" xr:uid="{08D0D53A-DB62-4123-B173-583556F377F5}"/>
    <cellStyle name="Normal 7 2 3 2 2" xfId="514" xr:uid="{D0588A28-6A09-4238-BB25-23751527B9DB}"/>
    <cellStyle name="Normal 7 2 3 2 3" xfId="515" xr:uid="{0177A783-9F74-4F97-B2E3-442A141CA991}"/>
    <cellStyle name="Normal 7 2 3 2 3 2" xfId="516" xr:uid="{567B7C66-7BC5-4FA4-8C79-5FB6DFC4FD3E}"/>
    <cellStyle name="Normal 7 2 3 2 4" xfId="517" xr:uid="{5C406EF9-966D-46E0-8C5E-1F4825020915}"/>
    <cellStyle name="Normal 7 2 3 2 5" xfId="518" xr:uid="{4D480528-DF7F-4DDD-92CD-B925A8DB4991}"/>
    <cellStyle name="Normal 7 2 3 2 6" xfId="801" xr:uid="{374242B8-362E-49BD-940E-528F349363EF}"/>
    <cellStyle name="Normal 7 2 3 2 6 2" xfId="877" xr:uid="{65C2BE3A-E04F-4E79-8DE5-79C168C7C00F}"/>
    <cellStyle name="Normal 7 2 3 2 6 2 2" xfId="4595" xr:uid="{4F528009-25A9-4BCD-9B56-7A874FC23687}"/>
    <cellStyle name="Normal 7 2 3 2 6 3" xfId="4386" xr:uid="{91BDC46B-3C49-4A67-9C44-41DC6577D3CA}"/>
    <cellStyle name="Normal 7 2 3 2 7" xfId="1162" xr:uid="{32000D36-85B4-4367-BC2E-98146AAC02DE}"/>
    <cellStyle name="Normal 7 2 3 3" xfId="519" xr:uid="{8397A7F1-8B75-47BF-B4CB-12F280DD7B41}"/>
    <cellStyle name="Normal 7 2 4" xfId="520" xr:uid="{F3EEE64E-3276-40E6-B84C-35A61FF45716}"/>
    <cellStyle name="Normal 7 2 4 2" xfId="521" xr:uid="{4349DB6B-89C4-47F3-B9FE-E94A030CC93A}"/>
    <cellStyle name="Normal 7 2 5" xfId="522" xr:uid="{D02FE540-2C33-4B8F-9A9E-2281E62B59EC}"/>
    <cellStyle name="Normal 7 2 6" xfId="799" xr:uid="{DC348776-7AE5-4424-B136-38763C15024A}"/>
    <cellStyle name="Normal 7 2 6 2" xfId="913" xr:uid="{2AF9F8FF-8396-448C-9F04-2B2ECE183589}"/>
    <cellStyle name="Normal 7 2 6 2 2" xfId="4532" xr:uid="{5FA6921F-ABF2-4C75-8CFF-4C00AFEE418F}"/>
    <cellStyle name="Normal 7 2 6 3" xfId="4387" xr:uid="{3C94A9D7-5E51-4001-AD30-3E1F8729B5CA}"/>
    <cellStyle name="Normal 7 3" xfId="523" xr:uid="{43A40F17-38CB-472D-A8F7-76DC1B27DE79}"/>
    <cellStyle name="Normal 7 3 2" xfId="524" xr:uid="{188E675D-2DFD-4952-AACD-BF98987AE777}"/>
    <cellStyle name="Normal 7 3 2 2" xfId="525" xr:uid="{1122CE7B-C23D-47F3-AC30-FCDDFC8F32E9}"/>
    <cellStyle name="Normal 7 3 3" xfId="526" xr:uid="{D8A6F1CE-8194-4B9B-9477-55F96BA05803}"/>
    <cellStyle name="Normal 7 4" xfId="527" xr:uid="{68F9F6C1-A9CB-434F-A1B7-78872401E050}"/>
    <cellStyle name="Normal 7 4 2" xfId="528" xr:uid="{A40A592B-3323-4AE8-8E65-BFB5B8B989EA}"/>
    <cellStyle name="Normal 7 4 3" xfId="529" xr:uid="{A3E6BD77-6D5D-4143-B1C6-F0B418730312}"/>
    <cellStyle name="Normal 7 5" xfId="530" xr:uid="{D116F8CA-E1B7-49A4-BD18-AC0D6DE166D9}"/>
    <cellStyle name="Normal 7 5 2" xfId="531" xr:uid="{F12BDB25-927A-4E5E-9CD1-90F330850544}"/>
    <cellStyle name="Normal 7 5 3" xfId="532" xr:uid="{5A8F9480-439E-4BF4-A3BB-A2170E60CCAA}"/>
    <cellStyle name="Normal 7 6" xfId="533" xr:uid="{F2F3560D-5DD6-4F70-B7EB-EB56ECE4560D}"/>
    <cellStyle name="Normal 7 6 2" xfId="534" xr:uid="{5443FCAC-4F6B-4F0A-9E11-7A6D7DBB2F13}"/>
    <cellStyle name="Normal 7 6 2 2" xfId="3028" xr:uid="{19C438B9-71B5-468B-9D90-11819B46C422}"/>
    <cellStyle name="Normal 7 6 2 3" xfId="2986" xr:uid="{298349D5-B684-4096-B738-35A54858742E}"/>
    <cellStyle name="Normal 7 6 3" xfId="535" xr:uid="{0F8C3D2B-2999-4E72-A32B-D4D260E1E1BF}"/>
    <cellStyle name="Normal 7 6 4" xfId="802" xr:uid="{2158D450-BD04-498C-9F06-62CA71151940}"/>
    <cellStyle name="Normal 7 6 4 2" xfId="880" xr:uid="{52CE727A-CD82-40F4-A027-FFCE9B6529E2}"/>
    <cellStyle name="Normal 7 6 4 2 2" xfId="4164" xr:uid="{75F71452-5953-49F2-B60A-2AE143D253FD}"/>
    <cellStyle name="Normal 7 6 4 3" xfId="1164" xr:uid="{3955C844-8521-43AD-921E-8739BC376F66}"/>
    <cellStyle name="Normal 7 6 4 3 2" xfId="5318" xr:uid="{3DE5C350-0D0C-4456-A4F8-40DE40D6D6DA}"/>
    <cellStyle name="Normal 7 6 5" xfId="1165" xr:uid="{F1DA9A2A-EACD-445A-9B76-36CE5FF18C0A}"/>
    <cellStyle name="Normal 7 6 6" xfId="1163" xr:uid="{2128666E-F129-430C-A4C4-697495491FB3}"/>
    <cellStyle name="Normal 7 6 6 2" xfId="5317" xr:uid="{C6A41C3F-FC61-493A-99E0-BF7FCD9378D7}"/>
    <cellStyle name="Normal 7 7" xfId="536" xr:uid="{F0A1E0F4-F2EB-4E93-B188-2E4EA184DF0C}"/>
    <cellStyle name="Normal 7 7 2" xfId="803" xr:uid="{3DDC81A8-DA12-4D40-B28E-436FA1A179F4}"/>
    <cellStyle name="Normal 7 7 3" xfId="804" xr:uid="{533DF91C-9F24-44BB-BD07-83430E43FB0C}"/>
    <cellStyle name="Normal 7 8" xfId="537" xr:uid="{5955C0ED-CA64-448B-BD3B-FD4F8676EF12}"/>
    <cellStyle name="Normal 7 9" xfId="538" xr:uid="{315E60CB-FE83-4603-84F8-3D1ECBF453F5}"/>
    <cellStyle name="Normal 70" xfId="3072" xr:uid="{5D860FAB-3AB2-41C2-ABA1-6AACBB83C2FA}"/>
    <cellStyle name="Normal 70 2" xfId="3299" xr:uid="{784EB012-9129-4773-AECB-6E7DE5878F8E}"/>
    <cellStyle name="Normal 71" xfId="3073" xr:uid="{02BFF333-6F36-4532-9A76-60D1220C7113}"/>
    <cellStyle name="Normal 71 2" xfId="3300" xr:uid="{0DC82840-DE8A-4972-B1EE-A4C851A79D17}"/>
    <cellStyle name="Normal 72" xfId="3074" xr:uid="{2D17CDB7-596E-4EA0-A336-5BE927977C96}"/>
    <cellStyle name="Normal 72 2" xfId="3301" xr:uid="{097DD318-1FC6-4370-AF70-13AC1E028269}"/>
    <cellStyle name="Normal 73" xfId="3109" xr:uid="{5496AE93-E4CC-46D0-90A9-5B6CBAD8E5FB}"/>
    <cellStyle name="Normal 74" xfId="3110" xr:uid="{EF697DCE-8D13-46CC-B395-D107D71725D5}"/>
    <cellStyle name="Normal 75" xfId="3111" xr:uid="{096BA5C9-AD3F-439E-B736-07A08416A76B}"/>
    <cellStyle name="Normal 76" xfId="3112" xr:uid="{23F0FA71-2347-480E-AAAC-2BFD9E0A3AD5}"/>
    <cellStyle name="Normal 77" xfId="3113" xr:uid="{0B14C28B-C433-4D53-BCCE-01BDFF210DCE}"/>
    <cellStyle name="Normal 78" xfId="3114" xr:uid="{16B83786-07DD-4C5C-B4EA-9CC0CDB6E3BA}"/>
    <cellStyle name="Normal 79" xfId="3115" xr:uid="{25AD0EA1-8616-4B0F-B9C9-CA6208527013}"/>
    <cellStyle name="Normal 8" xfId="539" xr:uid="{BF073188-3D9C-42B6-9D83-E3D6252416E3}"/>
    <cellStyle name="Normal 8 2" xfId="540" xr:uid="{E5C768B9-0FB6-4756-8D95-A726671E0157}"/>
    <cellStyle name="Normal 8 2 2" xfId="541" xr:uid="{1BB09A15-DE3F-43D8-8520-413EA53CBF87}"/>
    <cellStyle name="Normal 8 2 3" xfId="542" xr:uid="{A410EE75-8739-4314-B057-3F6CEC6525B6}"/>
    <cellStyle name="Normal 8 2 3 2" xfId="4388" xr:uid="{665939FC-B5F5-49C1-B632-5EACE772FF84}"/>
    <cellStyle name="Normal 8 3" xfId="543" xr:uid="{47FE76FF-11D4-407C-BD70-D7A4DE5E3425}"/>
    <cellStyle name="Normal 8 3 2" xfId="544" xr:uid="{FD6946F8-66CD-4CF3-ACAA-7F6E17E3A851}"/>
    <cellStyle name="Normal 8 3 2 2" xfId="545" xr:uid="{FD21F22A-B50F-4B05-A48A-733448F85452}"/>
    <cellStyle name="Normal 8 3 2 3" xfId="805" xr:uid="{374482B0-282D-4E58-9E5B-711AA43D7683}"/>
    <cellStyle name="Normal 8 3 2 3 2" xfId="916" xr:uid="{EDA7432D-673D-486F-A882-B32966D84529}"/>
    <cellStyle name="Normal 8 3 2 3 2 2" xfId="4165" xr:uid="{0C66C5BD-BE6F-408D-BB46-036DCC75266B}"/>
    <cellStyle name="Normal 8 3 2 3 3" xfId="1167" xr:uid="{033DC4C3-282A-4808-B8A9-6D09587A7D26}"/>
    <cellStyle name="Normal 8 3 2 3 3 2" xfId="5320" xr:uid="{4EEB108D-80EA-4FD2-AB5A-2511AEAF4792}"/>
    <cellStyle name="Normal 8 3 2 4" xfId="1168" xr:uid="{E175D553-537C-4942-82DE-D8F0095010C4}"/>
    <cellStyle name="Normal 8 3 2 5" xfId="1166" xr:uid="{1192DABD-65C6-4E5A-9433-7E3FBC1C7B1A}"/>
    <cellStyle name="Normal 8 3 2 5 2" xfId="5319" xr:uid="{B573B1AB-AC97-4095-BB6A-90E7794D47F0}"/>
    <cellStyle name="Normal 8 4" xfId="546" xr:uid="{C9AF6CE5-7FCE-48F0-B2DC-D1EABC64534F}"/>
    <cellStyle name="Normal 8 4 2" xfId="547" xr:uid="{D70EFEFB-4B19-4445-BBE5-A894BAF58082}"/>
    <cellStyle name="Normal 8 4 3" xfId="806" xr:uid="{51252B2C-D9C5-4CCC-9F6D-23CD78355823}"/>
    <cellStyle name="Normal 8 4 3 2" xfId="896" xr:uid="{1B367AC6-E0F2-4D25-AE3D-822B5084116D}"/>
    <cellStyle name="Normal 8 4 3 2 2" xfId="4166" xr:uid="{C04133CE-FAFE-4028-B10F-F1B70A6F39F1}"/>
    <cellStyle name="Normal 8 4 3 3" xfId="1170" xr:uid="{05C748CC-BBE5-43F1-B6E3-0B1BC2F53A16}"/>
    <cellStyle name="Normal 8 4 3 3 2" xfId="5322" xr:uid="{1AFC1D35-A32B-4CB5-9DD7-6BDF471AC308}"/>
    <cellStyle name="Normal 8 4 4" xfId="1171" xr:uid="{80ECA63E-E9D6-4DD4-9B34-848CD56A21A2}"/>
    <cellStyle name="Normal 8 4 5" xfId="1169" xr:uid="{1053DF88-73A5-47AA-B50D-C73A58FA6EF6}"/>
    <cellStyle name="Normal 8 4 5 2" xfId="5321" xr:uid="{1DD9D409-7836-478B-854C-40349DB0CE19}"/>
    <cellStyle name="Normal 8 5" xfId="807" xr:uid="{CDE8F717-C136-4F6A-8E1A-7784D536A295}"/>
    <cellStyle name="Normal 80" xfId="3116" xr:uid="{4F3CA752-603D-480D-BB4E-74B06D77318E}"/>
    <cellStyle name="Normal 81" xfId="3117" xr:uid="{825BDC6D-3B36-42B6-8CEA-9F88AADCB13A}"/>
    <cellStyle name="Normal 82" xfId="3118" xr:uid="{C9F45FB7-649B-4BCD-BD21-EF8B67CBBC24}"/>
    <cellStyle name="Normal 83" xfId="3123" xr:uid="{EC6DD2E8-0A43-4322-96D2-D6050D2297D0}"/>
    <cellStyle name="Normal 84" xfId="4492" xr:uid="{E9E55A53-79E5-45A5-80B2-4067AFDB7B97}"/>
    <cellStyle name="Normal 85" xfId="4630" xr:uid="{4D1BCAED-B2AC-4C0A-8086-6527080076E2}"/>
    <cellStyle name="Normal 86" xfId="4841" xr:uid="{F35E126E-C22C-4F58-8BF8-9186A5EAB94B}"/>
    <cellStyle name="Normal 87" xfId="4842" xr:uid="{9A309BC9-88CA-4361-913C-2A452D12FF66}"/>
    <cellStyle name="Normal 88" xfId="4843" xr:uid="{1A29B9A5-FE79-4B13-BF17-63078F1CA47E}"/>
    <cellStyle name="Normal 89" xfId="4529" xr:uid="{977C6516-EF60-4832-B1CB-BA65D9A24FCA}"/>
    <cellStyle name="Normal 9" xfId="548" xr:uid="{E56AF26E-252B-43D6-97A4-9DFBBA6DC346}"/>
    <cellStyle name="Normal 9 2" xfId="549" xr:uid="{5808F813-5864-4073-BB46-BF3DBDEA2805}"/>
    <cellStyle name="Normal 9 2 2" xfId="550" xr:uid="{FFC3AAD2-A36C-4089-81C2-223335CF9292}"/>
    <cellStyle name="Normal 9 2 3" xfId="551" xr:uid="{77AB222E-A061-444D-BBB0-109F1A9293C8}"/>
    <cellStyle name="Normal 9 3" xfId="552" xr:uid="{35197736-2951-4416-93F7-16D8D77A4CB5}"/>
    <cellStyle name="Normal 9 4" xfId="553" xr:uid="{FDB69CE2-E8AD-412A-836A-6D6DF697952B}"/>
    <cellStyle name="Normal 9 5" xfId="554" xr:uid="{70A079D0-C348-4832-BDFA-2D4FC0D4F7F7}"/>
    <cellStyle name="Normal 9 5 2" xfId="808" xr:uid="{CEA7CC5C-222E-4A0B-B1DB-2BDDAD470F85}"/>
    <cellStyle name="Normal 9 5 3" xfId="809" xr:uid="{74A046AA-21A1-4529-9C14-80354394EC38}"/>
    <cellStyle name="Normal 90" xfId="4479" xr:uid="{ECF167C4-39AE-4DF1-9470-10F36177926D}"/>
    <cellStyle name="Normal 91" xfId="4845" xr:uid="{2F72D2B4-20CB-4C79-B69D-A40B9A1BC3E8}"/>
    <cellStyle name="Normal 92" xfId="4844" xr:uid="{2C7D1F68-2980-4167-BA73-90CD362E4057}"/>
    <cellStyle name="Normal 93" xfId="4615" xr:uid="{7B3AD6E4-125A-4BD8-95A6-4061C360B3C9}"/>
    <cellStyle name="Normal 94" xfId="4484" xr:uid="{79EA0C2B-ED67-4138-B052-9C1F11BF3547}"/>
    <cellStyle name="Normal 95" xfId="4847" xr:uid="{6462FACA-B2F5-4209-B863-DE963FF92327}"/>
    <cellStyle name="Normal 96" xfId="4848" xr:uid="{DBAA533A-8257-44C0-8F70-047F4480FC39}"/>
    <cellStyle name="Normal 97" xfId="4523" xr:uid="{EABF046B-8430-4086-A08D-430F1932C2C7}"/>
    <cellStyle name="Normal 98" xfId="4614" xr:uid="{858DEC5F-4BBC-456A-8CF6-9958294CE734}"/>
    <cellStyle name="Normal 99" xfId="4849" xr:uid="{6CCE46DC-B3DF-4F8A-A361-19D47C45A9F8}"/>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2" xfId="558" xr:uid="{7336CCD1-0AF6-42E5-9870-75AB29878AD4}"/>
    <cellStyle name="Note 2 2" xfId="559" xr:uid="{889124CA-01E6-4A4E-82BA-2428091D6AB8}"/>
    <cellStyle name="Note 2 2 2" xfId="3029" xr:uid="{CF6602A5-BA1D-403A-97EC-964A636546DD}"/>
    <cellStyle name="Note 2 2 3" xfId="2989" xr:uid="{676804A2-F896-4144-BE5A-18EB8FE075D5}"/>
    <cellStyle name="Note 2 3" xfId="560" xr:uid="{0D19C5F0-6430-4275-9BA2-A16208173375}"/>
    <cellStyle name="Note 2 3 10" xfId="2911" xr:uid="{1E038B60-CDC8-4093-BA3A-9BDDBE6450A5}"/>
    <cellStyle name="Note 2 3 10 2" xfId="7473" xr:uid="{22474963-B9E2-4121-8E84-E63BB86AD3FD}"/>
    <cellStyle name="Note 2 3 11" xfId="5513" xr:uid="{DFC79F60-DC18-4509-8F52-5798FDAF6ECA}"/>
    <cellStyle name="Note 2 3 2" xfId="862" xr:uid="{F8E3F5CD-8952-408F-B193-EC01AB21717C}"/>
    <cellStyle name="Note 2 3 2 2" xfId="968" xr:uid="{94984BB8-2BE3-487E-A4DF-72B34CCB22F7}"/>
    <cellStyle name="Note 2 3 2 2 2" xfId="1341" xr:uid="{0252A758-CA7B-4A52-A536-71817C7A8E97}"/>
    <cellStyle name="Note 2 3 2 2 2 2" xfId="2321" xr:uid="{67C778B4-AC7A-4CFD-9F99-0796E6DC6155}"/>
    <cellStyle name="Note 2 3 2 2 2 2 2" xfId="4730" xr:uid="{F7E2545E-EA91-43DA-BBE1-66C4AD84C5A8}"/>
    <cellStyle name="Note 2 3 2 2 2 2 2 2" xfId="8976" xr:uid="{D56C54AA-D482-48EC-9964-09177E3F53F6}"/>
    <cellStyle name="Note 2 3 2 2 2 2 3" xfId="6886" xr:uid="{3BF715C3-9944-44A3-86C0-F97D821A7061}"/>
    <cellStyle name="Note 2 3 2 2 2 3" xfId="3606" xr:uid="{4B5BA446-25A8-4310-9C98-61897A8481E7}"/>
    <cellStyle name="Note 2 3 2 2 2 3 2" xfId="8073" xr:uid="{3E97C076-2480-4E60-9D43-F41F0093BE71}"/>
    <cellStyle name="Note 2 3 2 2 2 4" xfId="5907" xr:uid="{67B8F4A5-652D-4C72-8209-BBF715C8389F}"/>
    <cellStyle name="Note 2 3 2 2 3" xfId="1575" xr:uid="{17537D26-49A8-4BCA-85CA-70194C9D02AF}"/>
    <cellStyle name="Note 2 3 2 2 3 2" xfId="2555" xr:uid="{128080A0-2F5A-4511-B33B-2500904FAF5E}"/>
    <cellStyle name="Note 2 3 2 2 3 2 2" xfId="5114" xr:uid="{EA230227-A1B2-476C-9C14-FF470F5605BB}"/>
    <cellStyle name="Note 2 3 2 2 3 2 2 2" xfId="9339" xr:uid="{5B1D3F61-845D-4F8F-9B4B-1719DA8CF38B}"/>
    <cellStyle name="Note 2 3 2 2 3 2 3" xfId="7120" xr:uid="{55F1A89F-2B4F-4086-87D5-0326514FD0AD}"/>
    <cellStyle name="Note 2 3 2 2 3 3" xfId="4012" xr:uid="{D340E268-044C-426D-87DB-80CCFF204215}"/>
    <cellStyle name="Note 2 3 2 2 3 3 2" xfId="8461" xr:uid="{FFEFE4A0-943B-46E7-9758-4538A2CBF35D}"/>
    <cellStyle name="Note 2 3 2 2 3 4" xfId="6141" xr:uid="{85D3EBF0-D483-42D1-853C-6C3C2B1143C7}"/>
    <cellStyle name="Note 2 3 2 2 4" xfId="1809" xr:uid="{FD3130C1-A0CE-4EDC-A5A1-828834CC69D9}"/>
    <cellStyle name="Note 2 3 2 2 4 2" xfId="2788" xr:uid="{A5CCB067-DD7F-43D3-B160-BE1FDA7A895A}"/>
    <cellStyle name="Note 2 3 2 2 4 2 2" xfId="7353" xr:uid="{AFBD6152-864D-403F-9921-F5330CF47CA0}"/>
    <cellStyle name="Note 2 3 2 2 4 3" xfId="4470" xr:uid="{CBBEE067-9BF2-450A-82AE-535EB19DCAE6}"/>
    <cellStyle name="Note 2 3 2 2 4 3 2" xfId="8747" xr:uid="{FE9531AD-99D2-43F2-AEF0-6165FEA0ABE4}"/>
    <cellStyle name="Note 2 3 2 2 4 4" xfId="6374" xr:uid="{94B5B9B0-953B-4CE9-902F-0784CB00AD2B}"/>
    <cellStyle name="Note 2 3 2 2 5" xfId="2046" xr:uid="{57E4A890-041D-4A3D-8487-10F9D545F42B}"/>
    <cellStyle name="Note 2 3 2 2 5 2" xfId="6611" xr:uid="{E939BD5F-6D5F-44EB-863E-E5F6AF51EF52}"/>
    <cellStyle name="Note 2 3 2 2 6" xfId="3190" xr:uid="{D830C5CA-640C-4A45-8948-0EEF11761580}"/>
    <cellStyle name="Note 2 3 2 2 6 2" xfId="7685" xr:uid="{E77D1054-5A56-47DF-91B1-4EC27899041A}"/>
    <cellStyle name="Note 2 3 2 2 7" xfId="5632" xr:uid="{FDBAFF4D-440A-456E-B111-BD31FE1457CA}"/>
    <cellStyle name="Note 2 3 2 3" xfId="1050" xr:uid="{C9767E0E-FACA-4BDF-8521-44782D6E0A36}"/>
    <cellStyle name="Note 2 3 2 3 2" xfId="1418" xr:uid="{14784449-5AC3-4C85-875F-09C090D2D85E}"/>
    <cellStyle name="Note 2 3 2 3 2 2" xfId="2398" xr:uid="{A267DC1D-4FC2-4BB3-8EB0-0CC89886C986}"/>
    <cellStyle name="Note 2 3 2 3 2 2 2" xfId="5219" xr:uid="{FBECA020-BB13-4905-8E1B-73E4EB0FF4AC}"/>
    <cellStyle name="Note 2 3 2 3 2 2 2 2" xfId="9444" xr:uid="{FC0B79CA-16F4-4DA4-BD83-CB5AF85A8083}"/>
    <cellStyle name="Note 2 3 2 3 2 2 3" xfId="6963" xr:uid="{37C0FE1D-6788-4657-AA41-58097661F84C}"/>
    <cellStyle name="Note 2 3 2 3 2 3" xfId="3711" xr:uid="{4BC75C99-FBA1-43A2-9E43-2414BDC7F9F0}"/>
    <cellStyle name="Note 2 3 2 3 2 3 2" xfId="8178" xr:uid="{94F3C877-1433-4FF6-8031-3E46260DF606}"/>
    <cellStyle name="Note 2 3 2 3 2 4" xfId="5984" xr:uid="{35D46136-8A5F-470F-915F-406961428AE9}"/>
    <cellStyle name="Note 2 3 2 3 3" xfId="1652" xr:uid="{764AE203-EB32-4A7A-AC73-2FFCF1395B11}"/>
    <cellStyle name="Note 2 3 2 3 3 2" xfId="2632" xr:uid="{AEFF02E5-59B8-4DD8-8F12-44B7E330B8DF}"/>
    <cellStyle name="Note 2 3 2 3 3 2 2" xfId="7197" xr:uid="{05083157-202D-406E-9FE5-F681E497E185}"/>
    <cellStyle name="Note 2 3 2 3 3 3" xfId="4117" xr:uid="{7E4E4EEE-D2FC-4641-AE13-02138BA9E9E1}"/>
    <cellStyle name="Note 2 3 2 3 3 3 2" xfId="8566" xr:uid="{F88874B6-99C1-4472-A898-B5F51D7CC609}"/>
    <cellStyle name="Note 2 3 2 3 3 4" xfId="6218" xr:uid="{17691CDC-4CC6-49AD-A73D-1292653D7182}"/>
    <cellStyle name="Note 2 3 2 3 4" xfId="1886" xr:uid="{E853BD57-C248-4B64-A220-95C9ABDDD9BB}"/>
    <cellStyle name="Note 2 3 2 3 4 2" xfId="2865" xr:uid="{AB03DD23-D82C-4562-ABAB-1B615CEEB173}"/>
    <cellStyle name="Note 2 3 2 3 4 2 2" xfId="7430" xr:uid="{06DF9D6F-04AA-417A-A03E-BB6C18FA8B5C}"/>
    <cellStyle name="Note 2 3 2 3 4 3" xfId="4617" xr:uid="{BFD12957-F12E-4931-906E-C68BE6080966}"/>
    <cellStyle name="Note 2 3 2 3 4 3 2" xfId="8865" xr:uid="{EED97752-C4F4-475A-BFBA-46ACB04ACA6F}"/>
    <cellStyle name="Note 2 3 2 3 4 4" xfId="6451" xr:uid="{DA49BF34-546B-48A5-8962-9EF74DF6FCEE}"/>
    <cellStyle name="Note 2 3 2 3 5" xfId="2123" xr:uid="{8B624A50-0E82-43F4-A1AC-F6653E9600D9}"/>
    <cellStyle name="Note 2 3 2 3 5 2" xfId="6688" xr:uid="{AB900C1B-D9F5-40DF-A2CA-5B64F7217101}"/>
    <cellStyle name="Note 2 3 2 3 6" xfId="3298" xr:uid="{5796B4B5-B524-4D4C-A10E-B1D9D9109952}"/>
    <cellStyle name="Note 2 3 2 3 6 2" xfId="7790" xr:uid="{D8F26680-41CE-4FC5-96E9-40286DA469BB}"/>
    <cellStyle name="Note 2 3 2 3 7" xfId="5709" xr:uid="{90C8A2CA-74BB-4B0B-AD01-1EF853A42E76}"/>
    <cellStyle name="Note 2 3 2 4" xfId="1262" xr:uid="{A245F875-DDCF-49D8-8D9A-6C7C1B5A144B}"/>
    <cellStyle name="Note 2 3 2 4 2" xfId="2244" xr:uid="{6FEA790E-B674-47A9-8747-0191435BD43A}"/>
    <cellStyle name="Note 2 3 2 4 2 2" xfId="5013" xr:uid="{FC7FB474-87FD-40EF-95CA-D0FD9E64422E}"/>
    <cellStyle name="Note 2 3 2 4 2 2 2" xfId="9239" xr:uid="{F8189F17-563F-414E-AFEF-9AD307465B00}"/>
    <cellStyle name="Note 2 3 2 4 2 3" xfId="3501" xr:uid="{4AFA8D71-4822-4E5A-A763-BA0915B1F5FD}"/>
    <cellStyle name="Note 2 3 2 4 2 3 2" xfId="7968" xr:uid="{5E6084DB-D328-4EFE-9B21-A76C7F98CC62}"/>
    <cellStyle name="Note 2 3 2 4 2 4" xfId="6809" xr:uid="{CAEEF185-C74B-472C-A7D3-A1659BB1BF47}"/>
    <cellStyle name="Note 2 3 2 4 3" xfId="3907" xr:uid="{D0F52743-AD90-4FC7-8D1F-B834B765208D}"/>
    <cellStyle name="Note 2 3 2 4 3 2" xfId="8356" xr:uid="{1ECE4656-0C6A-4951-A654-25F7E29C0055}"/>
    <cellStyle name="Note 2 3 2 4 4" xfId="4653" xr:uid="{553FF616-77C5-493F-80C3-5BC000B7F361}"/>
    <cellStyle name="Note 2 3 2 4 4 2" xfId="8899" xr:uid="{898F1ED4-F0B7-42CC-9917-461DD5BE16F0}"/>
    <cellStyle name="Note 2 3 2 4 5" xfId="3071" xr:uid="{25B8DFE8-1A26-4386-93F7-6DDED268C6E9}"/>
    <cellStyle name="Note 2 3 2 4 5 2" xfId="7580" xr:uid="{1F2BB2CE-05E5-4D74-B6A4-265E537F86A6}"/>
    <cellStyle name="Note 2 3 2 4 6" xfId="5830" xr:uid="{736881E2-4162-4DE7-9E92-95E55DC05F4A}"/>
    <cellStyle name="Note 2 3 2 5" xfId="1498" xr:uid="{5B58BA20-EC25-40C0-AB0F-C2F77603E2E7}"/>
    <cellStyle name="Note 2 3 2 5 2" xfId="2478" xr:uid="{29D5D342-5835-4022-870F-DCEAA4D7DE0C}"/>
    <cellStyle name="Note 2 3 2 5 2 2" xfId="4995" xr:uid="{FA022F20-6F4D-4786-8391-F7FEAAB7A2D0}"/>
    <cellStyle name="Note 2 3 2 5 2 2 2" xfId="9222" xr:uid="{5A9AD984-909D-4B4F-9C84-65B1B95437F3}"/>
    <cellStyle name="Note 2 3 2 5 2 3" xfId="7043" xr:uid="{51051BD4-FF0F-4844-8177-927BC283D881}"/>
    <cellStyle name="Note 2 3 2 5 3" xfId="3427" xr:uid="{EC1F96E4-BBC4-4795-AABF-58EA0C7C7C67}"/>
    <cellStyle name="Note 2 3 2 5 3 2" xfId="7895" xr:uid="{3596BCF6-7C29-43FD-8787-30F57868F18A}"/>
    <cellStyle name="Note 2 3 2 5 4" xfId="6064" xr:uid="{345AD279-4C6E-4C61-AD73-D2E565D39DA1}"/>
    <cellStyle name="Note 2 3 2 6" xfId="1732" xr:uid="{FD5F80BD-FED3-441E-9F56-094E2DC78B87}"/>
    <cellStyle name="Note 2 3 2 6 2" xfId="2711" xr:uid="{38A15796-DCB1-4A24-992A-E3B1A5EDF3B6}"/>
    <cellStyle name="Note 2 3 2 6 2 2" xfId="7276" xr:uid="{6FDDBFF1-93C5-488B-AE87-E494734D485E}"/>
    <cellStyle name="Note 2 3 2 6 3" xfId="3834" xr:uid="{AC06D36A-ABA0-470C-9AE1-58692D947F53}"/>
    <cellStyle name="Note 2 3 2 6 3 2" xfId="8283" xr:uid="{7AFF16E5-44A0-4387-824D-9AF2CA369B16}"/>
    <cellStyle name="Note 2 3 2 6 4" xfId="6297" xr:uid="{116EF898-16AD-4040-B853-E6F034CE1A96}"/>
    <cellStyle name="Note 2 3 2 7" xfId="1969" xr:uid="{15D0EEDA-AFE6-4617-8B73-8843BB16EC66}"/>
    <cellStyle name="Note 2 3 2 7 2" xfId="4389" xr:uid="{54C885F8-09DF-4FCF-BC13-8904CD09C024}"/>
    <cellStyle name="Note 2 3 2 7 2 2" xfId="8675" xr:uid="{2667923E-8C38-48EA-AEB8-295BB8EC7930}"/>
    <cellStyle name="Note 2 3 2 7 3" xfId="6534" xr:uid="{1FDBF2E4-EC06-494F-986C-A297F023B874}"/>
    <cellStyle name="Note 2 3 2 8" xfId="2945" xr:uid="{EC69CC06-6BA3-4CD4-A3A1-C6E7DA40603D}"/>
    <cellStyle name="Note 2 3 2 8 2" xfId="7507" xr:uid="{E11E1AE2-F518-4DFD-B6D8-6B003DCA0791}"/>
    <cellStyle name="Note 2 3 2 9" xfId="5555" xr:uid="{F34E3F8C-816D-4E61-BB70-7EDB110B40DF}"/>
    <cellStyle name="Note 2 3 3" xfId="914" xr:uid="{986102E1-CA5D-4D80-9450-21DE942452BF}"/>
    <cellStyle name="Note 2 3 3 2" xfId="1297" xr:uid="{AFE1C738-B9E2-42FC-AF08-18E1B1DDB657}"/>
    <cellStyle name="Note 2 3 3 2 2" xfId="2279" xr:uid="{8618828B-D5CF-4701-BA63-CA8F57C1EDAD}"/>
    <cellStyle name="Note 2 3 3 2 2 2" xfId="5148" xr:uid="{9A7DF986-9603-48B8-8EDC-D662B491C623}"/>
    <cellStyle name="Note 2 3 3 2 2 2 2" xfId="9373" xr:uid="{8DADAC5A-94DF-4C8C-BF90-B15CB718017B}"/>
    <cellStyle name="Note 2 3 3 2 2 3" xfId="3640" xr:uid="{A4308AD3-A2DE-49C6-BA70-FAFF3B3E5667}"/>
    <cellStyle name="Note 2 3 3 2 2 3 2" xfId="8107" xr:uid="{2CF9983C-3F35-4D8E-B9BE-DBDBF17C4EBB}"/>
    <cellStyle name="Note 2 3 3 2 2 4" xfId="6844" xr:uid="{6AC64336-CAA0-4EE0-96E9-B31CB762BF18}"/>
    <cellStyle name="Note 2 3 3 2 3" xfId="4046" xr:uid="{D11F9A11-2C78-4154-9C34-033E3AA03BA2}"/>
    <cellStyle name="Note 2 3 3 2 3 2" xfId="8495" xr:uid="{6BB73B88-AEFF-4524-9249-501CC9C160F3}"/>
    <cellStyle name="Note 2 3 3 2 4" xfId="4764" xr:uid="{783EF227-C2D3-4B11-8321-3A086DEF95AD}"/>
    <cellStyle name="Note 2 3 3 2 4 2" xfId="9010" xr:uid="{F16484FC-5CA2-4443-9A35-1088975C1478}"/>
    <cellStyle name="Note 2 3 3 2 5" xfId="3224" xr:uid="{6AB7C7F1-DC07-4A40-9085-18D2CD8A5FCA}"/>
    <cellStyle name="Note 2 3 3 2 5 2" xfId="7719" xr:uid="{AC2919DF-FE0A-4ED6-B596-46600A6BE3FA}"/>
    <cellStyle name="Note 2 3 3 2 6" xfId="5865" xr:uid="{ABD7DA71-C218-4068-975A-34489A953AA9}"/>
    <cellStyle name="Note 2 3 3 3" xfId="1533" xr:uid="{9196ED5A-1D68-4811-BB91-9BD8FAEC43BE}"/>
    <cellStyle name="Note 2 3 3 3 2" xfId="2513" xr:uid="{6B8C857F-3F41-4984-890D-0A7F6631ABF7}"/>
    <cellStyle name="Note 2 3 3 3 2 2" xfId="5253" xr:uid="{9F5070B9-2859-4E40-A4C0-F7EAC1FDB664}"/>
    <cellStyle name="Note 2 3 3 3 2 2 2" xfId="9478" xr:uid="{15CDAA88-6DE2-4A1A-A2EC-01CA56EA0B48}"/>
    <cellStyle name="Note 2 3 3 3 2 3" xfId="3745" xr:uid="{6CF3756B-4D3B-4578-B41D-34DECAB96E8D}"/>
    <cellStyle name="Note 2 3 3 3 2 3 2" xfId="8212" xr:uid="{E57518C6-2090-48A6-A828-32CBF87E3ECA}"/>
    <cellStyle name="Note 2 3 3 3 2 4" xfId="7078" xr:uid="{3FF8D6D7-5C60-4D5E-A5D0-01F3C85A1E03}"/>
    <cellStyle name="Note 2 3 3 3 3" xfId="4151" xr:uid="{70CEC200-DDED-4C38-B072-F4ED10879950}"/>
    <cellStyle name="Note 2 3 3 3 3 2" xfId="8600" xr:uid="{5DEAB098-58AE-4B47-8110-278FCBCE5711}"/>
    <cellStyle name="Note 2 3 3 3 4" xfId="4840" xr:uid="{A23B881F-6C95-41C4-8785-AF257435ADA2}"/>
    <cellStyle name="Note 2 3 3 3 4 2" xfId="9086" xr:uid="{7404E7A1-FCF3-47F2-AC8E-880DFBB85116}"/>
    <cellStyle name="Note 2 3 3 3 5" xfId="3335" xr:uid="{94BB7E69-4C7E-4836-906D-5AAA24EE88A8}"/>
    <cellStyle name="Note 2 3 3 3 5 2" xfId="7824" xr:uid="{FC17272D-5946-4379-9700-F6F8F8D3EB6C}"/>
    <cellStyle name="Note 2 3 3 3 6" xfId="6099" xr:uid="{70B74098-420C-4751-BF82-DF71BFF47B0C}"/>
    <cellStyle name="Note 2 3 3 4" xfId="1767" xr:uid="{DD56F7DE-9152-4A50-A4BF-49DD2E992ADC}"/>
    <cellStyle name="Note 2 3 3 4 2" xfId="2746" xr:uid="{8D1AB79D-4D51-42FF-8F46-EC74A18E46E1}"/>
    <cellStyle name="Note 2 3 3 4 2 2" xfId="5044" xr:uid="{BAC59CB7-89F5-479B-8477-55A638B490FA}"/>
    <cellStyle name="Note 2 3 3 4 2 2 2" xfId="9270" xr:uid="{C0BC518D-2A24-4387-9671-3E3F85735A59}"/>
    <cellStyle name="Note 2 3 3 4 2 3" xfId="7311" xr:uid="{3AB7378A-4957-4A55-8C76-033724C2EBC2}"/>
    <cellStyle name="Note 2 3 3 4 3" xfId="3535" xr:uid="{B6D055DD-9EE2-455F-941C-A37056AF5FB5}"/>
    <cellStyle name="Note 2 3 3 4 3 2" xfId="8002" xr:uid="{B88FECF1-2194-476D-A8D5-52437479CB3F}"/>
    <cellStyle name="Note 2 3 3 4 4" xfId="6332" xr:uid="{8A157FB0-F967-4427-BE6E-F9594C750675}"/>
    <cellStyle name="Note 2 3 3 5" xfId="2004" xr:uid="{C6F6D347-AA2A-4ED1-ACB9-D3928403B6D8}"/>
    <cellStyle name="Note 2 3 3 5 2" xfId="3941" xr:uid="{5E804B06-D79C-46FD-A37F-672D02205099}"/>
    <cellStyle name="Note 2 3 3 5 2 2" xfId="8390" xr:uid="{281EC96D-24F4-4B11-AE72-AAB4F6D453A4}"/>
    <cellStyle name="Note 2 3 3 5 3" xfId="6569" xr:uid="{0A3BEA63-FD13-4C8D-8170-421F91B4D227}"/>
    <cellStyle name="Note 2 3 3 6" xfId="4680" xr:uid="{A7ADC997-D618-4E84-B5BF-2092BE5FBF0F}"/>
    <cellStyle name="Note 2 3 3 6 2" xfId="8926" xr:uid="{DE3E747B-3AAF-40F4-8549-3AFE24CB7BA0}"/>
    <cellStyle name="Note 2 3 3 7" xfId="3108" xr:uid="{9AF13CDC-F983-455E-AB96-3DEB9D7AF270}"/>
    <cellStyle name="Note 2 3 3 7 2" xfId="7614" xr:uid="{C6BB1720-2366-473B-B88F-8399AFDFFDAE}"/>
    <cellStyle name="Note 2 3 3 8" xfId="5590" xr:uid="{B194B085-F0D8-4590-8323-F107EEBAAE76}"/>
    <cellStyle name="Note 2 3 4" xfId="1008" xr:uid="{8C7A4878-F929-430C-A245-D69A150F107D}"/>
    <cellStyle name="Note 2 3 4 2" xfId="1376" xr:uid="{EEE18848-8F57-4A85-BA74-1F7DD1125DB2}"/>
    <cellStyle name="Note 2 3 4 2 2" xfId="2356" xr:uid="{B012EC88-2B8D-4D8E-882F-3BEDED701747}"/>
    <cellStyle name="Note 2 3 4 2 2 2" xfId="5079" xr:uid="{57C4A63F-BC82-4134-803B-8C85637D939B}"/>
    <cellStyle name="Note 2 3 4 2 2 2 2" xfId="9305" xr:uid="{EBCFCC3B-381C-4F0B-9E7E-D05965A95C9B}"/>
    <cellStyle name="Note 2 3 4 2 2 3" xfId="6921" xr:uid="{318D4BE3-F813-4737-B179-6B576B57B58F}"/>
    <cellStyle name="Note 2 3 4 2 3" xfId="3571" xr:uid="{0A5482BA-2D59-46E1-ABEB-F66AA2F002E6}"/>
    <cellStyle name="Note 2 3 4 2 3 2" xfId="8038" xr:uid="{D5A2742B-A5D8-40D4-9F1E-79B04247B7E1}"/>
    <cellStyle name="Note 2 3 4 2 4" xfId="5942" xr:uid="{A829A447-5B70-4F40-A949-DDF8F27DAFBF}"/>
    <cellStyle name="Note 2 3 4 3" xfId="1610" xr:uid="{7A6AE577-8A04-40E7-8F06-F64F5C46F803}"/>
    <cellStyle name="Note 2 3 4 3 2" xfId="2590" xr:uid="{06FF1195-7A92-4F07-9B33-C7D2980D4656}"/>
    <cellStyle name="Note 2 3 4 3 2 2" xfId="7155" xr:uid="{F9EEF707-EA18-4A1C-AACF-B090771D2602}"/>
    <cellStyle name="Note 2 3 4 3 3" xfId="3977" xr:uid="{AC658778-499A-458F-8A5B-4CE82871ADA4}"/>
    <cellStyle name="Note 2 3 4 3 3 2" xfId="8426" xr:uid="{F3C03C95-DDEC-4AC7-B305-8BF1CC769A10}"/>
    <cellStyle name="Note 2 3 4 3 4" xfId="6176" xr:uid="{10BC88EF-B982-4F94-B217-7ECC235C889E}"/>
    <cellStyle name="Note 2 3 4 4" xfId="1844" xr:uid="{A859023C-78B7-4899-B008-4E27E08176C1}"/>
    <cellStyle name="Note 2 3 4 4 2" xfId="2823" xr:uid="{6A796FB1-6F17-4F27-8C61-729298FB87D7}"/>
    <cellStyle name="Note 2 3 4 4 2 2" xfId="7388" xr:uid="{3A309EA5-1C04-4FCA-A590-2D12ED42AE03}"/>
    <cellStyle name="Note 2 3 4 4 3" xfId="4697" xr:uid="{415A3737-AFB0-4C50-9F12-E626FB5BC546}"/>
    <cellStyle name="Note 2 3 4 4 3 2" xfId="8943" xr:uid="{22F354D4-65E2-49AD-8EC0-5CBDA9771221}"/>
    <cellStyle name="Note 2 3 4 4 4" xfId="6409" xr:uid="{054FDD39-329B-488A-B1E5-8A3FB517A6F2}"/>
    <cellStyle name="Note 2 3 4 5" xfId="2081" xr:uid="{74385162-43DB-4D52-AA22-ED35EC65742E}"/>
    <cellStyle name="Note 2 3 4 5 2" xfId="6646" xr:uid="{DB82C3FC-E379-41F6-83CF-633AC1189986}"/>
    <cellStyle name="Note 2 3 4 6" xfId="3155" xr:uid="{0B5B799F-9039-4CBD-AD83-76900E2389D8}"/>
    <cellStyle name="Note 2 3 4 6 2" xfId="7650" xr:uid="{1A327E83-C6AE-4E78-9751-AC7E0E9BD52B}"/>
    <cellStyle name="Note 2 3 4 7" xfId="5667" xr:uid="{7140AA52-1545-468B-BD39-6EE0540C6689}"/>
    <cellStyle name="Note 2 3 5" xfId="1172" xr:uid="{F79FD692-172C-48AF-8DA5-4A3101EBC5A1}"/>
    <cellStyle name="Note 2 3 5 2" xfId="2165" xr:uid="{77336120-45BE-4890-8BD6-2D2B39D811EA}"/>
    <cellStyle name="Note 2 3 5 2 2" xfId="5184" xr:uid="{3FF51EC9-C16B-4DA4-9B80-AC56C92B1BA7}"/>
    <cellStyle name="Note 2 3 5 2 2 2" xfId="9409" xr:uid="{C2E51A8B-BB62-40D6-9722-6E68D634EA3A}"/>
    <cellStyle name="Note 2 3 5 2 3" xfId="3676" xr:uid="{4CEDA339-5212-405E-BAA0-9E6046BCCE40}"/>
    <cellStyle name="Note 2 3 5 2 3 2" xfId="8143" xr:uid="{2B7E1CDD-196C-4C7B-8A2A-AC7C7CA19F79}"/>
    <cellStyle name="Note 2 3 5 2 4" xfId="6730" xr:uid="{36F1FBFD-FA53-493A-A606-CFCFF89F6796}"/>
    <cellStyle name="Note 2 3 5 3" xfId="4082" xr:uid="{ED49EFA9-715B-4FDF-9FA7-76595929E2F5}"/>
    <cellStyle name="Note 2 3 5 3 2" xfId="8531" xr:uid="{A4EFE4F7-7C61-438D-A99F-CA3CCB5D1551}"/>
    <cellStyle name="Note 2 3 5 4" xfId="4799" xr:uid="{F540F944-CC88-4B8C-8BC6-B3C087E515CA}"/>
    <cellStyle name="Note 2 3 5 4 2" xfId="9045" xr:uid="{BB5FBEF0-FCE6-4B0A-B8EC-2737EB653D5E}"/>
    <cellStyle name="Note 2 3 5 5" xfId="3261" xr:uid="{C7AB9EBA-AC82-4DAF-9072-3257B54D44AF}"/>
    <cellStyle name="Note 2 3 5 5 2" xfId="7755" xr:uid="{7B164E79-4098-487E-8E64-72F6512A9FA4}"/>
    <cellStyle name="Note 2 3 5 6" xfId="5751" xr:uid="{BBFE720B-F206-4DC3-AB0B-545F21F4FAF8}"/>
    <cellStyle name="Note 2 3 6" xfId="1216" xr:uid="{24EA1553-A711-481C-8C20-4A8E2AD140F7}"/>
    <cellStyle name="Note 2 3 6 2" xfId="2202" xr:uid="{BF0B3C1C-C5EE-4AFE-9133-911AA8C46392}"/>
    <cellStyle name="Note 2 3 6 2 2" xfId="4858" xr:uid="{C715AB0B-EE90-4467-B22B-E6F78804C3FF}"/>
    <cellStyle name="Note 2 3 6 2 2 2" xfId="9093" xr:uid="{C68258E8-9155-4E20-9E1C-CDFAE9708089}"/>
    <cellStyle name="Note 2 3 6 2 3" xfId="3466" xr:uid="{F02D9DE0-075E-4252-A2DE-693BF80EB50D}"/>
    <cellStyle name="Note 2 3 6 2 3 2" xfId="7933" xr:uid="{7BC8EE32-D613-4810-B597-01685C9BA3D4}"/>
    <cellStyle name="Note 2 3 6 2 4" xfId="6767" xr:uid="{6C332490-5F02-42DD-BC86-17235003FA5F}"/>
    <cellStyle name="Note 2 3 6 3" xfId="3872" xr:uid="{70EF7422-57E2-4BD4-9C1B-C777A1AB93DE}"/>
    <cellStyle name="Note 2 3 6 3 2" xfId="8321" xr:uid="{7B8038E3-9262-4D78-8E05-4B6F49E10A30}"/>
    <cellStyle name="Note 2 3 6 4" xfId="4554" xr:uid="{593B68B3-3558-4E0F-939C-B47195F87980}"/>
    <cellStyle name="Note 2 3 6 4 2" xfId="8810" xr:uid="{BCE09D13-CF78-440D-9FB0-7F0D24189A04}"/>
    <cellStyle name="Note 2 3 6 5" xfId="3030" xr:uid="{2FE53893-BB87-45C1-8C44-53DB23E40BD7}"/>
    <cellStyle name="Note 2 3 6 5 2" xfId="7545" xr:uid="{C7E8189C-6836-48B7-8802-9D2748B61D96}"/>
    <cellStyle name="Note 2 3 6 6" xfId="5788" xr:uid="{E84D9B8C-D023-4A2B-A8CB-4BCE343A1838}"/>
    <cellStyle name="Note 2 3 7" xfId="1456" xr:uid="{38744CAF-21D9-46AF-8078-206874696BD2}"/>
    <cellStyle name="Note 2 3 7 2" xfId="2436" xr:uid="{D34B0975-28DB-4AB2-B50B-C39FC9C556EF}"/>
    <cellStyle name="Note 2 3 7 2 2" xfId="7001" xr:uid="{5E4152CF-2817-46CC-B3D2-1A909396B8D5}"/>
    <cellStyle name="Note 2 3 7 3" xfId="3393" xr:uid="{F8D66C9C-6287-4D59-BB82-FFF0FE6703CF}"/>
    <cellStyle name="Note 2 3 7 3 2" xfId="7861" xr:uid="{CBA6BB5E-3F23-4576-AAB9-416CA6D489C9}"/>
    <cellStyle name="Note 2 3 7 4" xfId="6022" xr:uid="{72E87F0E-E03D-4233-B23B-D0AA8711BD01}"/>
    <cellStyle name="Note 2 3 8" xfId="1716" xr:uid="{E47955AE-F582-4591-A992-266D6B6F6610}"/>
    <cellStyle name="Note 2 3 8 2" xfId="2695" xr:uid="{450813E1-7150-4C60-B53A-10372B7C8474}"/>
    <cellStyle name="Note 2 3 8 2 2" xfId="7260" xr:uid="{8C82C49D-75B3-44FB-9488-9BA9ED6BA5A9}"/>
    <cellStyle name="Note 2 3 8 3" xfId="3800" xr:uid="{8D8A78EF-AD9D-45A5-BC9B-23BDC54DA080}"/>
    <cellStyle name="Note 2 3 8 3 2" xfId="8249" xr:uid="{9FF11A27-688F-4BC7-AB30-8BA6500F2A8A}"/>
    <cellStyle name="Note 2 3 8 4" xfId="6281" xr:uid="{CD9ADB03-E08B-49E4-9BF7-AE42C6F4AF87}"/>
    <cellStyle name="Note 2 3 9" xfId="1927" xr:uid="{A22F49FF-6E5C-4BFB-95CA-B92F4D506C39}"/>
    <cellStyle name="Note 2 3 9 2" xfId="4262" xr:uid="{85F17F2C-B9AE-4D53-9BF8-57286D8FA007}"/>
    <cellStyle name="Note 2 3 9 3" xfId="6492" xr:uid="{9CCD0331-2376-4D73-A1A8-D6E05FDB7160}"/>
    <cellStyle name="Note 2 4" xfId="810" xr:uid="{22F79F5F-4AEC-4859-9B79-08ABBA84599D}"/>
    <cellStyle name="Note 2 4 2" xfId="4390" xr:uid="{42C87692-A047-47D7-A010-8F2F6353FC79}"/>
    <cellStyle name="Note 2 4 3" xfId="4263" xr:uid="{13E488CF-15A4-40DC-B52D-064526E525A1}"/>
    <cellStyle name="Note 2 5" xfId="811" xr:uid="{2FDA7291-6EE3-4468-99F8-E6D97A02DD73}"/>
    <cellStyle name="Note 2 6" xfId="1173" xr:uid="{EEACC14A-E816-4B16-A629-5B3C8764E7C3}"/>
    <cellStyle name="Note 2 6 2" xfId="4391" xr:uid="{1FD6541B-26D0-480B-A12E-585EC135B55F}"/>
    <cellStyle name="Note 2 6 3" xfId="4280" xr:uid="{8CBBEE19-03EB-4765-99AB-6E60D6DE88E4}"/>
    <cellStyle name="Note 3" xfId="561" xr:uid="{E74A76D5-FC41-4396-853C-F4CDF1ABD9BB}"/>
    <cellStyle name="Note 3 2" xfId="4392" xr:uid="{7E414FD5-0B7B-4611-96DF-C37690C2FA04}"/>
    <cellStyle name="Note 3 3" xfId="4264" xr:uid="{0FC4A83D-3E7A-4636-B51A-19A09B80586B}"/>
    <cellStyle name="Note 4" xfId="562" xr:uid="{D79B77CF-3BAE-4261-8B11-13A458FC7B05}"/>
    <cellStyle name="Note 4 2" xfId="4393" xr:uid="{51481750-0A10-4DB0-BF52-992BD0BB3748}"/>
    <cellStyle name="Note 4 3" xfId="4265" xr:uid="{240F8319-40FA-45F8-A7DC-75AF30700E5B}"/>
    <cellStyle name="Note 5" xfId="563" xr:uid="{B9D89BCB-52D7-47E4-B66F-C1B178CF2C41}"/>
    <cellStyle name="Note 5 2" xfId="4394" xr:uid="{DD43B459-93FE-4EDC-95C9-BB97472F1D72}"/>
    <cellStyle name="Note 5 3" xfId="4266" xr:uid="{14055FFE-5DA5-4A69-B01E-B2618DD82C81}"/>
    <cellStyle name="Note 6" xfId="564" xr:uid="{367C8083-B0BC-4D23-93E5-22BFB709BEC0}"/>
    <cellStyle name="Note 6 2" xfId="4395" xr:uid="{45CA8C68-54A8-4DF5-8451-60A4C863BD2B}"/>
    <cellStyle name="Note 6 3" xfId="4267" xr:uid="{B04343FB-0AB2-4E7E-B67A-877504FFCA30}"/>
    <cellStyle name="Output 2" xfId="565" xr:uid="{2C10030D-420B-49D6-916F-6D540C553BA6}"/>
    <cellStyle name="Output 2 2" xfId="566" xr:uid="{BD581380-049D-42D3-9CA1-7B80F13DD27F}"/>
    <cellStyle name="Output 2 3" xfId="567" xr:uid="{786D47C5-E127-47CD-9AD7-8E4796FADFCD}"/>
    <cellStyle name="Output 2 4" xfId="812" xr:uid="{D17A5491-647F-427A-A360-B92E3808A664}"/>
    <cellStyle name="Output 2 5" xfId="813" xr:uid="{2436D7F0-9EBD-411D-BD0D-7D34AC6C1171}"/>
    <cellStyle name="Output 2 6" xfId="1174" xr:uid="{502E5318-F1F6-4A1F-B818-B1DF71E873E7}"/>
    <cellStyle name="Output 3" xfId="568" xr:uid="{C5ABCA5B-4971-4566-9413-CCE9BF8D0703}"/>
    <cellStyle name="Output 4" xfId="569" xr:uid="{9AF927A3-9B40-4A37-8337-90C278B515A9}"/>
    <cellStyle name="Percent 10" xfId="570" xr:uid="{749D17CE-8B21-461A-952B-9A836F57680A}"/>
    <cellStyle name="Percent 2" xfId="571" xr:uid="{9451DA3A-9EA9-4B07-B389-E88BA30E7A18}"/>
    <cellStyle name="Percent 2 2" xfId="572" xr:uid="{439F92A8-6C4A-482C-BF02-E3A5D22EFDAC}"/>
    <cellStyle name="Percent 2 2 2" xfId="814" xr:uid="{B2B9AF64-9C96-45DB-85E1-C6AD1EB276E8}"/>
    <cellStyle name="Percent 2 3" xfId="573" xr:uid="{A62483F5-F0B8-49E2-8D47-2685168B2AB9}"/>
    <cellStyle name="Percent 3" xfId="574" xr:uid="{CB5FB03A-0960-47C7-B8E7-8BE4041392BA}"/>
    <cellStyle name="Percent 3 2" xfId="575" xr:uid="{20E9DC75-CEA2-42DD-9F3E-0FEC9D2841EA}"/>
    <cellStyle name="Percent 3 2 2" xfId="576" xr:uid="{5882B9F5-FDA5-41FE-9BCD-07E3C0305B15}"/>
    <cellStyle name="Percent 3 2 2 2" xfId="815" xr:uid="{BA0E3CF8-E7CE-4FDE-AC7C-7375CA6C9785}"/>
    <cellStyle name="Percent 3 2 3" xfId="577" xr:uid="{E132E7EB-49A9-4D49-8773-EDAC3128BBB6}"/>
    <cellStyle name="Percent 3 2 3 2" xfId="816" xr:uid="{E986CF33-3409-43BB-B03A-A776BC525B99}"/>
    <cellStyle name="Percent 3 2 4" xfId="817" xr:uid="{9677C5A4-9229-4641-ABC8-135E4CD5FB15}"/>
    <cellStyle name="Percent 3 3" xfId="578" xr:uid="{F4756284-45E8-4677-85B2-DBD5500C5D51}"/>
    <cellStyle name="Percent 3 3 2" xfId="818" xr:uid="{51A2744C-AE69-4229-94AF-70D69CB7E89E}"/>
    <cellStyle name="Percent 3 3 3" xfId="819" xr:uid="{F6962D0B-FA56-44F2-B802-4B9131746974}"/>
    <cellStyle name="Percent 3 4" xfId="579" xr:uid="{26FCF5AA-8DEB-480A-9585-511B587D4174}"/>
    <cellStyle name="Percent 4" xfId="580" xr:uid="{E726659E-DAB6-4730-8D9A-29245DB68E24}"/>
    <cellStyle name="Percent 4 2" xfId="581" xr:uid="{18F49203-29DF-4C42-9B7E-0C2BD31D4A15}"/>
    <cellStyle name="Percent 4 3" xfId="582" xr:uid="{35CAE960-F9F6-4EFC-A442-291DA836D143}"/>
    <cellStyle name="Percent 4 4" xfId="583" xr:uid="{6F4750F1-CB66-4CCA-8B53-AFE922D23090}"/>
    <cellStyle name="Percent 4 5" xfId="820" xr:uid="{1FAB081D-C9AF-400C-9C1C-51B8B5039EF7}"/>
    <cellStyle name="Percent 4 5 2" xfId="973" xr:uid="{3B77BBBE-ECFB-4EDB-9C2A-8CBB02BD11F6}"/>
    <cellStyle name="Percent 4 5 3" xfId="1228" xr:uid="{50A4CF28-D15B-4B63-BC90-6E78BA854307}"/>
    <cellStyle name="Percent 4 5 3 2" xfId="5335" xr:uid="{5735C86B-50AE-4539-9033-C6F87B0F69AA}"/>
    <cellStyle name="Percent 4 6" xfId="1175" xr:uid="{459484AA-A38B-4645-B147-D6E77D029549}"/>
    <cellStyle name="Percent 4 6 2" xfId="5323" xr:uid="{C999A0A2-760A-4663-B74B-28BC740554A5}"/>
    <cellStyle name="Percent 5" xfId="584" xr:uid="{C6FD344B-C7EF-4DED-8F2F-4CE491938CA1}"/>
    <cellStyle name="Percent 5 2" xfId="585" xr:uid="{1F194FD8-2A97-451B-BA17-527BC5F30AB4}"/>
    <cellStyle name="Percent 5 2 2" xfId="822" xr:uid="{48B783D4-2B71-4429-8AF7-F9E46ADD8646}"/>
    <cellStyle name="Percent 5 3" xfId="586" xr:uid="{AF5EF7B2-9DEF-44FA-A7C5-F33197B47ABA}"/>
    <cellStyle name="Percent 5 3 2" xfId="587" xr:uid="{9345F83E-26CB-44FF-9CD8-D70F2E07DE8C}"/>
    <cellStyle name="Percent 5 3 3" xfId="588" xr:uid="{009833A3-7343-46A7-A7E7-AE4B23A3DE27}"/>
    <cellStyle name="Percent 5 3 3 2" xfId="589" xr:uid="{58C9023E-7AED-4CCF-A5CD-2CB4427482EE}"/>
    <cellStyle name="Percent 5 3 4" xfId="590" xr:uid="{A6917392-83AB-4EBA-8423-D991BC7D4533}"/>
    <cellStyle name="Percent 5 3 5" xfId="591" xr:uid="{2E645ED8-24A5-40D3-BE3C-C33E86AFC093}"/>
    <cellStyle name="Percent 5 3 6" xfId="823" xr:uid="{785C1249-1C05-4FB6-A771-3D06CA453D7B}"/>
    <cellStyle name="Percent 5 3 6 2" xfId="971" xr:uid="{97E6CF98-1875-48F5-8F9B-72B3BBB07770}"/>
    <cellStyle name="Percent 5 3 6 2 2" xfId="4490" xr:uid="{B0CF3ADC-446E-49BD-AB46-3C189A5DF73A}"/>
    <cellStyle name="Percent 5 3 6 3" xfId="4396" xr:uid="{386BFD95-7B86-4353-AF9B-B156D513DA46}"/>
    <cellStyle name="Percent 5 3 7" xfId="1176" xr:uid="{F56B947B-91DE-4C9C-8696-8FC7A3F45F8D}"/>
    <cellStyle name="Percent 5 4" xfId="592" xr:uid="{28408F61-6E70-4965-95D8-8F2384DF39DB}"/>
    <cellStyle name="Percent 5 5" xfId="593" xr:uid="{1584142A-1550-40E6-8BEC-1BEE10FF94FD}"/>
    <cellStyle name="Percent 5 6" xfId="821" xr:uid="{18F03A1A-F575-45B0-B0B7-CE0296493F8B}"/>
    <cellStyle name="Percent 5 6 2" xfId="901" xr:uid="{D3FEF1C4-BC8B-41BE-8737-238477F40C96}"/>
    <cellStyle name="Percent 5 6 2 2" xfId="4491" xr:uid="{0FA363E6-9BEB-4E1C-93BF-ABB477441957}"/>
    <cellStyle name="Percent 5 6 3" xfId="4397" xr:uid="{29F5370D-0082-4542-A34C-9069BD921AFE}"/>
    <cellStyle name="Percent 6" xfId="594" xr:uid="{F92516CC-16E2-4DE2-9497-FCEC86F1887A}"/>
    <cellStyle name="Percent 6 2" xfId="595" xr:uid="{A10CAB64-D3B1-4B47-8B6F-97B9761EFBEA}"/>
    <cellStyle name="Percent 7" xfId="824" xr:uid="{3F61EE21-1556-41F5-92E4-097ADF551864}"/>
    <cellStyle name="Percent 7 2" xfId="918" xr:uid="{6A8AB3B9-B7A2-45EF-AA1A-1FA701C69A9F}"/>
    <cellStyle name="Percent 7 2 2" xfId="907" xr:uid="{3ACF7418-A7D8-4D37-A13C-18E873FB2536}"/>
    <cellStyle name="Percent 7 2 3" xfId="1177" xr:uid="{B393E68E-7364-4959-9209-7120DD33F478}"/>
    <cellStyle name="Percent 7 2 3 2" xfId="4538" xr:uid="{5884C351-ED00-45DB-8D6C-91CC9165C770}"/>
    <cellStyle name="Percent 7 3" xfId="4268" xr:uid="{B96079E9-6FDC-4089-8C91-C5634DA62645}"/>
    <cellStyle name="rf0" xfId="3377" xr:uid="{7C6E5767-173D-496A-AC95-E5F3A680F639}"/>
    <cellStyle name="rf1" xfId="3462" xr:uid="{02132D08-D267-4EB3-8DBB-C80903158075}"/>
    <cellStyle name="rf10" xfId="3386" xr:uid="{F3C13992-117D-4F60-A52F-38775A57DA22}"/>
    <cellStyle name="rf11" xfId="3383" xr:uid="{9BA8D5F7-32E5-4FDE-AC1F-32C821844C27}"/>
    <cellStyle name="rf12" xfId="3382" xr:uid="{32E9F459-9EFE-44D4-AEF6-48B780B0E9E2}"/>
    <cellStyle name="rf13" xfId="3381" xr:uid="{FDD54791-C50A-48BC-8061-A9AAFBFFD61A}"/>
    <cellStyle name="rf14" xfId="3378" xr:uid="{D409EFCC-5445-41FD-A538-AC6B378D5C20}"/>
    <cellStyle name="rf15" xfId="3380" xr:uid="{09D313D0-328C-4F83-857A-B167D32EDA9E}"/>
    <cellStyle name="rf16" xfId="3379" xr:uid="{89D95311-F538-419F-8496-1CB559A3C04F}"/>
    <cellStyle name="rf17" xfId="3392" xr:uid="{0D91311B-F231-455F-9DDE-9FFE72DE0E4C}"/>
    <cellStyle name="rf18" xfId="3748" xr:uid="{5FEB695E-EFAC-4761-BC5E-F8266AB5DC29}"/>
    <cellStyle name="rf19" xfId="3376" xr:uid="{CA0BC59E-8188-4CCF-A8FB-D30519A8B482}"/>
    <cellStyle name="rf2" xfId="3375" xr:uid="{89C3399D-286B-485C-9F55-8AA34F72BB20}"/>
    <cellStyle name="rf20" xfId="3749" xr:uid="{461C731D-4878-49BD-9D37-17D35F825E76}"/>
    <cellStyle name="rf21" xfId="3746" xr:uid="{BED3BE92-DBAF-4922-8F9C-D515816BD3CC}"/>
    <cellStyle name="rf22" xfId="3374" xr:uid="{10C7FDE4-C351-475F-944F-CD25266FC5FB}"/>
    <cellStyle name="rf23" xfId="3373" xr:uid="{624008A4-99A6-4E36-9492-53BE8174FBCF}"/>
    <cellStyle name="rf24" xfId="3347" xr:uid="{733DF0EA-2383-474A-B42A-2496B4E0A68B}"/>
    <cellStyle name="rf25" xfId="3372" xr:uid="{1428B08E-F018-4D1F-B1AE-EA167FB0F62E}"/>
    <cellStyle name="rf26" xfId="3371" xr:uid="{FC983D13-4EEF-410B-81A0-AC9BD3210B41}"/>
    <cellStyle name="rf27" xfId="3346" xr:uid="{E19BFE96-B2AB-4D13-8E83-6E686FA8C931}"/>
    <cellStyle name="rf28" xfId="3754" xr:uid="{ACA80525-354F-4D2F-A624-C2BAEFE7E5C2}"/>
    <cellStyle name="rf29" xfId="3757" xr:uid="{2167FEAD-1279-4A7D-A3BC-B233EBE39382}"/>
    <cellStyle name="rf3" xfId="3750" xr:uid="{876753CE-283B-47DC-936A-801778F40033}"/>
    <cellStyle name="rf30" xfId="3751" xr:uid="{753D2620-E798-402F-8E2E-E873F4C84EC0}"/>
    <cellStyle name="rf31" xfId="3755" xr:uid="{1E655625-8B02-486A-93DE-E4BFBAE06D4B}"/>
    <cellStyle name="rf4" xfId="3758" xr:uid="{8377AE9A-C5E7-4108-8005-521D4E502038}"/>
    <cellStyle name="rf5" xfId="3752" xr:uid="{A637737C-9EC3-41D3-A070-DA80736A073C}"/>
    <cellStyle name="rf6" xfId="3756" xr:uid="{B08F9064-BD54-465A-B562-9F1736338933}"/>
    <cellStyle name="rf7" xfId="3759" xr:uid="{68F4D72E-0BED-42EA-A196-3D378E7E2060}"/>
    <cellStyle name="rf8" xfId="3747" xr:uid="{72B9F3FE-9BEE-43F5-BC84-6E5D61D7E871}"/>
    <cellStyle name="rf9" xfId="3370" xr:uid="{D55DEAF1-FD7A-4CA9-A329-A2E725976AE9}"/>
    <cellStyle name="Title 2" xfId="825" xr:uid="{AEDAB08C-7821-4402-B923-639092CF9404}"/>
    <cellStyle name="Title 3" xfId="826" xr:uid="{B0BFFA9F-CEA7-46CD-8FDD-F0318E57E08D}"/>
    <cellStyle name="Title 4" xfId="29" xr:uid="{AE2A1F9D-3BC9-40F7-95F9-5D9B5433D88F}"/>
    <cellStyle name="Title 4 2" xfId="1178" xr:uid="{0B969434-CA20-496E-AE25-A82E9A3895BA}"/>
    <cellStyle name="Title 5" xfId="4176" xr:uid="{D79567E0-58C8-4564-8C78-9E4CB7E359AC}"/>
    <cellStyle name="Total 2" xfId="596" xr:uid="{78C7E2CD-C8C3-42E5-8E70-DAD0B4C8CE31}"/>
    <cellStyle name="Total 2 2" xfId="597" xr:uid="{04A11BBF-CF3F-48A4-A05F-7F211FC60531}"/>
    <cellStyle name="Total 2 3" xfId="598" xr:uid="{8594C47A-C5B3-4458-A5FA-C0540749BE52}"/>
    <cellStyle name="Total 2 4" xfId="827" xr:uid="{66EB8ADF-FEB5-46DE-94FC-DC1C5377EAE6}"/>
    <cellStyle name="Total 2 5" xfId="828" xr:uid="{30FA9A34-C193-4FFF-8300-8EF6120EBF43}"/>
    <cellStyle name="Total 2 5 2" xfId="1710" xr:uid="{89A69379-7D68-4EED-ACA6-9C9A61B5D287}"/>
    <cellStyle name="Total 2 5 2 2" xfId="3753" xr:uid="{CCE48AA4-5C85-4120-9D3A-EA374DB516F9}"/>
    <cellStyle name="Total 2 5 2 2 2" xfId="4990" xr:uid="{B79E763F-3AA2-48D7-9B12-FAA6592C9D8A}"/>
    <cellStyle name="Total 2 5 2 3" xfId="3786" xr:uid="{60402D77-6207-4488-A474-3679C0752C71}"/>
    <cellStyle name="Total 2 5 2 3 2" xfId="5254" xr:uid="{E45D9F47-2654-4F81-9A96-BF6664BFC467}"/>
    <cellStyle name="Total 2 5 2 4" xfId="4168" xr:uid="{0BC7329C-E3FB-4D28-A242-136B75FAD2D6}"/>
    <cellStyle name="Total 2 5 2 5" xfId="5426" xr:uid="{DB9387CA-159C-41F3-9E2C-92953AFFB871}"/>
    <cellStyle name="Total 2 5 2 6" xfId="5339" xr:uid="{2E68B5B7-8CAA-4C88-A422-9E8959C1C03F}"/>
    <cellStyle name="Total 2 5 3" xfId="3023" xr:uid="{E937CD60-4A75-4E14-97D4-92E7E1B5B19E}"/>
    <cellStyle name="Total 2 5 3 2" xfId="3388" xr:uid="{AE97C9C3-F7C9-4A0E-BDDB-17521087F19A}"/>
    <cellStyle name="Total 2 5 3 2 2" xfId="4871" xr:uid="{658AE479-F876-4083-94AB-D0669C10AD3A}"/>
    <cellStyle name="Total 2 5 3 3" xfId="4167" xr:uid="{A32508BD-689D-4F3B-9798-FDED4DBFD1B7}"/>
    <cellStyle name="Total 2 5 3 3 2" xfId="4895" xr:uid="{4082A816-A748-430F-9E55-B5BE7969D39C}"/>
    <cellStyle name="Total 2 5 3 4" xfId="3790" xr:uid="{5E30FA3A-8D21-459B-8236-DBA75648EC13}"/>
    <cellStyle name="Total 2 5 4" xfId="3384" xr:uid="{17EF7442-2CCD-4772-9137-EA03A34BC65D}"/>
    <cellStyle name="Total 2 5 4 2" xfId="4850" xr:uid="{ED7E2165-1767-4889-B85A-37CE3A1E3980}"/>
    <cellStyle name="Total 2 5 5" xfId="3775" xr:uid="{EC8BE674-D754-4B90-899F-6AFFE7B23F56}"/>
    <cellStyle name="Total 2 5 5 2" xfId="4970" xr:uid="{C3ECE572-5D2B-4977-94C2-72DF479D883E}"/>
    <cellStyle name="Total 2 5 6" xfId="4170" xr:uid="{1214DCFB-678A-4B99-9EA6-8CCA2B2E0982}"/>
    <cellStyle name="Total 2 5 7" xfId="5256" xr:uid="{66528628-6520-4A63-8E57-32D060CDCD25}"/>
    <cellStyle name="Total 2 5 8" xfId="5346" xr:uid="{49971855-14B8-4E5C-A2C4-47E8F68E5490}"/>
    <cellStyle name="Total 2 6" xfId="1179" xr:uid="{F265E915-53EA-42A8-B754-649767640159}"/>
    <cellStyle name="Total 2 6 2" xfId="4851" xr:uid="{6A744F18-4058-48B6-AC99-0DB6A34D4078}"/>
    <cellStyle name="Total 2 6 3" xfId="5255" xr:uid="{5540B847-6BCB-43C0-A906-87259E95E231}"/>
    <cellStyle name="Total 2 6 4" xfId="4398" xr:uid="{854A2289-9556-41A3-BE00-92B387DAD690}"/>
    <cellStyle name="Total 2 6 5" xfId="5324" xr:uid="{9231294F-9D13-4B88-B08D-1DA077D7E584}"/>
    <cellStyle name="Total 2 6 6" xfId="5384" xr:uid="{A85F5603-BB65-463B-A550-DC8D5BF46FFB}"/>
    <cellStyle name="Total 2 7" xfId="3795" xr:uid="{3D5181FA-C958-4199-A480-3FFB85D9457E}"/>
    <cellStyle name="Total 2 7 2" xfId="5080" xr:uid="{AAD80474-8BCD-4926-BE5D-57DAF415DD2D}"/>
    <cellStyle name="Total 2 8" xfId="4169" xr:uid="{CAD045C7-BDE4-4AE6-91D2-49EEE64F331B}"/>
    <cellStyle name="Total 3" xfId="599" xr:uid="{500E13B3-5222-4DBC-8B89-F73EC0FC3987}"/>
    <cellStyle name="Total 4" xfId="600" xr:uid="{1F608B98-4B5C-4873-9AA1-18E14174F390}"/>
    <cellStyle name="Warning Text 2" xfId="601" xr:uid="{4FAFDB35-0DF9-4D4E-9C66-20EF6C2F7D80}"/>
    <cellStyle name="Warning Text 2 2" xfId="602" xr:uid="{11B0B9C0-2CCF-48F5-8CF3-EA996C992B2D}"/>
    <cellStyle name="Warning Text 2 3" xfId="603" xr:uid="{10872B10-114C-41B0-A0B5-353A2E776511}"/>
    <cellStyle name="Warning Text 3" xfId="604" xr:uid="{2274646D-4EF7-426E-BA91-9E09CB750301}"/>
    <cellStyle name="Warning Text 4" xfId="605" xr:uid="{07A13046-5417-473D-81C9-BEF9FB7002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1</xdr:rowOff>
    </xdr:from>
    <xdr:to>
      <xdr:col>9</xdr:col>
      <xdr:colOff>571500</xdr:colOff>
      <xdr:row>48</xdr:row>
      <xdr:rowOff>65254</xdr:rowOff>
    </xdr:to>
    <xdr:pic>
      <xdr:nvPicPr>
        <xdr:cNvPr id="3" name="Picture 2">
          <a:extLst>
            <a:ext uri="{FF2B5EF4-FFF2-40B4-BE49-F238E27FC236}">
              <a16:creationId xmlns:a16="http://schemas.microsoft.com/office/drawing/2014/main" id="{2CEE2A83-862B-4622-8C87-1FBC6BFE80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1"/>
          <a:ext cx="6057898" cy="78376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5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6" zoomScale="110" zoomScaleNormal="110" workbookViewId="0">
      <selection activeCell="A18" sqref="A18"/>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1989</v>
      </c>
      <c r="B1" s="45"/>
      <c r="C1" s="45"/>
      <c r="D1" s="46"/>
      <c r="I1" s="2040" t="s">
        <v>405</v>
      </c>
      <c r="J1" s="2041"/>
      <c r="K1" s="2041"/>
      <c r="L1" s="2041"/>
      <c r="M1" s="2041"/>
      <c r="N1" s="2041"/>
      <c r="O1" s="2041"/>
      <c r="P1" s="2041"/>
      <c r="Q1" s="2041"/>
      <c r="R1" s="2041"/>
      <c r="S1" s="2041"/>
    </row>
    <row r="2" spans="1:28" ht="12" customHeight="1">
      <c r="A2" s="47" t="s">
        <v>1990</v>
      </c>
      <c r="D2" s="48"/>
      <c r="I2" s="2042" t="s">
        <v>979</v>
      </c>
      <c r="J2" s="2041"/>
      <c r="K2" s="2041"/>
      <c r="L2" s="2041"/>
      <c r="M2" s="2041"/>
      <c r="N2" s="2041"/>
      <c r="O2" s="2041"/>
      <c r="P2" s="2041"/>
      <c r="Q2" s="2041"/>
      <c r="R2" s="2041"/>
      <c r="S2" s="2041"/>
    </row>
    <row r="3" spans="1:28" ht="12" customHeight="1">
      <c r="A3" s="155" t="s">
        <v>1942</v>
      </c>
      <c r="B3" s="156"/>
      <c r="C3" s="156"/>
      <c r="D3" s="157"/>
      <c r="I3" s="2042" t="s">
        <v>52</v>
      </c>
      <c r="J3" s="2041"/>
      <c r="K3" s="2041"/>
      <c r="L3" s="2041"/>
      <c r="M3" s="2041"/>
      <c r="N3" s="2041"/>
      <c r="O3" s="2041"/>
      <c r="P3" s="2041"/>
      <c r="Q3" s="2041"/>
      <c r="R3" s="2041"/>
      <c r="S3" s="2041"/>
    </row>
    <row r="4" spans="1:28" ht="12" customHeight="1">
      <c r="A4" s="37"/>
      <c r="I4" s="2042" t="s">
        <v>524</v>
      </c>
      <c r="J4" s="2041"/>
      <c r="K4" s="2041"/>
      <c r="L4" s="2041"/>
      <c r="M4" s="2041"/>
      <c r="N4" s="2041"/>
      <c r="O4" s="2041"/>
      <c r="P4" s="2041"/>
      <c r="Q4" s="2041"/>
      <c r="R4" s="2041"/>
      <c r="S4" s="2041"/>
    </row>
    <row r="5" spans="1:28" ht="14.1" customHeight="1">
      <c r="B5" s="104" t="s">
        <v>2069</v>
      </c>
      <c r="C5" s="26" t="s">
        <v>910</v>
      </c>
      <c r="D5" s="84"/>
      <c r="E5" s="84"/>
      <c r="H5" s="38"/>
      <c r="I5" s="2050" t="s">
        <v>680</v>
      </c>
      <c r="J5" s="2049"/>
      <c r="K5" s="2049"/>
      <c r="L5" s="2049"/>
      <c r="M5" s="2049"/>
      <c r="N5" s="2049"/>
      <c r="O5" s="2049"/>
      <c r="P5" s="2049"/>
      <c r="Q5" s="2049"/>
      <c r="R5" s="2049"/>
      <c r="S5" s="2049"/>
    </row>
    <row r="6" spans="1:28" ht="14.1" customHeight="1">
      <c r="B6" s="104"/>
      <c r="C6" s="26" t="s">
        <v>911</v>
      </c>
      <c r="D6" s="84"/>
      <c r="E6" s="84"/>
      <c r="I6" s="2048" t="s">
        <v>883</v>
      </c>
      <c r="J6" s="2049"/>
      <c r="K6" s="2049"/>
      <c r="L6" s="2049"/>
      <c r="M6" s="2049"/>
      <c r="N6" s="2049"/>
      <c r="O6" s="2049"/>
      <c r="P6" s="2049"/>
      <c r="Q6" s="2049"/>
      <c r="R6" s="2049"/>
      <c r="S6" s="2049"/>
    </row>
    <row r="7" spans="1:28" ht="12.4" customHeight="1">
      <c r="I7" s="2043">
        <v>43646</v>
      </c>
      <c r="J7" s="2044"/>
      <c r="K7" s="2044"/>
      <c r="L7" s="2044"/>
      <c r="M7" s="2044"/>
      <c r="N7" s="2044"/>
      <c r="O7" s="2044"/>
      <c r="P7" s="2044"/>
      <c r="Q7" s="2044"/>
      <c r="R7" s="2044"/>
      <c r="S7" s="2044"/>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45" t="s">
        <v>674</v>
      </c>
      <c r="J9" s="2046"/>
      <c r="K9" s="2046"/>
      <c r="L9" s="2046"/>
      <c r="M9" s="2046"/>
      <c r="N9" s="2046"/>
      <c r="O9" s="2046"/>
      <c r="P9" s="2046"/>
      <c r="Q9" s="2046"/>
      <c r="R9" s="2046"/>
      <c r="S9" s="2047"/>
      <c r="T9" s="2061" t="s">
        <v>533</v>
      </c>
      <c r="U9" s="2062"/>
      <c r="V9" s="2062"/>
      <c r="W9" s="2062"/>
      <c r="X9" s="2062"/>
      <c r="Y9" s="2062"/>
      <c r="Z9" s="2062"/>
      <c r="AA9" s="2063"/>
    </row>
    <row r="10" spans="1:28" ht="13.5" customHeight="1">
      <c r="A10" s="2068" t="s">
        <v>675</v>
      </c>
      <c r="B10" s="2069"/>
      <c r="C10" s="2069"/>
      <c r="D10" s="2069"/>
      <c r="E10" s="2069"/>
      <c r="F10" s="2069"/>
      <c r="G10" s="2069"/>
      <c r="H10" s="2070"/>
      <c r="I10" s="29"/>
      <c r="J10" s="30"/>
      <c r="K10" s="28"/>
      <c r="R10" s="30"/>
      <c r="S10" s="30"/>
      <c r="T10" s="2064"/>
      <c r="U10" s="2049"/>
      <c r="V10" s="2049"/>
      <c r="W10" s="2049"/>
      <c r="X10" s="2049"/>
      <c r="Y10" s="2049"/>
      <c r="Z10" s="2049"/>
      <c r="AA10" s="2055"/>
    </row>
    <row r="11" spans="1:28" ht="14.25" customHeight="1">
      <c r="A11" s="2071" t="s">
        <v>955</v>
      </c>
      <c r="B11" s="2072"/>
      <c r="C11" s="2072"/>
      <c r="D11" s="2072"/>
      <c r="E11" s="2072"/>
      <c r="F11" s="2072"/>
      <c r="G11" s="2072"/>
      <c r="H11" s="2073"/>
      <c r="I11" s="27"/>
      <c r="J11" s="74"/>
      <c r="K11" s="27"/>
      <c r="O11" s="148" t="s">
        <v>2069</v>
      </c>
      <c r="P11" s="100" t="s">
        <v>201</v>
      </c>
      <c r="Q11" s="30"/>
      <c r="R11" s="28"/>
      <c r="S11" s="27"/>
      <c r="T11" s="2065"/>
      <c r="U11" s="2066"/>
      <c r="V11" s="2066"/>
      <c r="W11" s="2066"/>
      <c r="X11" s="2066"/>
      <c r="Y11" s="2066"/>
      <c r="Z11" s="2066"/>
      <c r="AA11" s="2067"/>
    </row>
    <row r="12" spans="1:28" ht="13.5" customHeight="1">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c r="A13" s="2091">
        <v>49081037002</v>
      </c>
      <c r="B13" s="2092"/>
      <c r="C13" s="2092"/>
      <c r="D13" s="2092"/>
      <c r="E13" s="2092"/>
      <c r="F13" s="2092"/>
      <c r="G13" s="2092"/>
      <c r="H13" s="2093"/>
      <c r="I13" s="31"/>
      <c r="J13" s="30"/>
      <c r="K13" s="28"/>
      <c r="L13" s="30"/>
      <c r="M13" s="30"/>
      <c r="N13" s="30"/>
      <c r="O13" s="30"/>
      <c r="P13" s="30"/>
      <c r="Q13" s="30"/>
      <c r="R13" s="30"/>
      <c r="S13" s="30"/>
      <c r="T13" s="2077" t="s">
        <v>2061</v>
      </c>
      <c r="U13" s="2078"/>
      <c r="V13" s="2078"/>
      <c r="W13" s="2078"/>
      <c r="X13" s="2078"/>
      <c r="Y13" s="2079"/>
      <c r="Z13" s="2079"/>
      <c r="AA13" s="2080"/>
    </row>
    <row r="14" spans="1:28" ht="14.1" customHeight="1">
      <c r="A14" s="85" t="s">
        <v>713</v>
      </c>
      <c r="B14" s="76"/>
      <c r="C14" s="76"/>
      <c r="D14" s="76"/>
      <c r="E14" s="76"/>
      <c r="F14" s="76"/>
      <c r="G14" s="76"/>
      <c r="H14" s="53"/>
      <c r="I14" s="116"/>
      <c r="S14" s="48"/>
      <c r="T14" s="85" t="s">
        <v>1329</v>
      </c>
      <c r="U14" s="51"/>
      <c r="V14" s="51"/>
      <c r="W14" s="51"/>
      <c r="X14" s="51"/>
      <c r="Y14" s="45"/>
      <c r="Z14" s="45"/>
      <c r="AA14" s="46"/>
    </row>
    <row r="15" spans="1:28" ht="13.5" customHeight="1">
      <c r="A15" s="2074" t="s">
        <v>2071</v>
      </c>
      <c r="B15" s="2075"/>
      <c r="C15" s="2075"/>
      <c r="D15" s="2075"/>
      <c r="E15" s="2075"/>
      <c r="F15" s="2075"/>
      <c r="G15" s="2075"/>
      <c r="H15" s="2076"/>
      <c r="T15" s="2081" t="s">
        <v>2078</v>
      </c>
      <c r="U15" s="2028"/>
      <c r="V15" s="2028"/>
      <c r="W15" s="2028"/>
      <c r="X15" s="2028"/>
      <c r="Y15" s="2082"/>
      <c r="Z15" s="2082"/>
      <c r="AA15" s="2083"/>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2034" t="s">
        <v>2230</v>
      </c>
      <c r="B17" s="2035"/>
      <c r="C17" s="2035"/>
      <c r="D17" s="2035"/>
      <c r="E17" s="2035"/>
      <c r="F17" s="2035"/>
      <c r="G17" s="2035"/>
      <c r="H17" s="2060"/>
      <c r="T17" s="2088" t="s">
        <v>2062</v>
      </c>
      <c r="U17" s="2089"/>
      <c r="V17" s="2089"/>
      <c r="W17" s="2089"/>
      <c r="X17" s="2089"/>
      <c r="Y17" s="2089"/>
      <c r="Z17" s="2089"/>
      <c r="AA17" s="2090"/>
    </row>
    <row r="18" spans="1:27" ht="13.5" customHeight="1">
      <c r="A18" s="85" t="s">
        <v>530</v>
      </c>
      <c r="B18" s="76"/>
      <c r="C18" s="72"/>
      <c r="D18" s="76"/>
      <c r="E18" s="76"/>
      <c r="F18" s="76"/>
      <c r="G18" s="76"/>
      <c r="H18" s="56"/>
      <c r="I18" s="2059" t="s">
        <v>676</v>
      </c>
      <c r="J18" s="2010"/>
      <c r="K18" s="2010"/>
      <c r="L18" s="2010"/>
      <c r="M18" s="2010"/>
      <c r="N18" s="2010"/>
      <c r="O18" s="2010"/>
      <c r="P18" s="2010"/>
      <c r="Q18" s="2010"/>
      <c r="R18" s="2010"/>
      <c r="S18" s="2011"/>
      <c r="T18" s="85" t="s">
        <v>711</v>
      </c>
      <c r="U18" s="51"/>
      <c r="V18" s="72"/>
      <c r="W18" s="50"/>
      <c r="X18" s="85" t="s">
        <v>266</v>
      </c>
      <c r="Y18" s="81"/>
      <c r="Z18" s="159" t="s">
        <v>677</v>
      </c>
      <c r="AA18" s="46"/>
    </row>
    <row r="19" spans="1:27" ht="13.5" customHeight="1">
      <c r="A19" s="2074" t="s">
        <v>2072</v>
      </c>
      <c r="B19" s="2020"/>
      <c r="C19" s="2020"/>
      <c r="D19" s="2020"/>
      <c r="E19" s="2020"/>
      <c r="F19" s="2020"/>
      <c r="G19" s="2020"/>
      <c r="H19" s="2000"/>
      <c r="I19" s="30"/>
      <c r="J19" s="99"/>
      <c r="K19" s="40"/>
      <c r="L19" s="38"/>
      <c r="M19" s="112" t="s">
        <v>315</v>
      </c>
      <c r="P19" s="27"/>
      <c r="Q19" s="27"/>
      <c r="R19" s="27"/>
      <c r="S19" s="31"/>
      <c r="T19" s="2074" t="s">
        <v>2063</v>
      </c>
      <c r="U19" s="1999"/>
      <c r="V19" s="1999"/>
      <c r="W19" s="2000"/>
      <c r="X19" s="2086" t="s">
        <v>2064</v>
      </c>
      <c r="Y19" s="2087"/>
      <c r="Z19" s="2084">
        <v>61081</v>
      </c>
      <c r="AA19" s="2085"/>
    </row>
    <row r="20" spans="1:27" ht="13.5" customHeight="1">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c r="A21" s="1998" t="s">
        <v>2073</v>
      </c>
      <c r="B21" s="1999"/>
      <c r="C21" s="1999"/>
      <c r="D21" s="1999"/>
      <c r="E21" s="1999"/>
      <c r="F21" s="1999"/>
      <c r="G21" s="1999"/>
      <c r="H21" s="2000"/>
      <c r="I21" s="2054" t="s">
        <v>678</v>
      </c>
      <c r="J21" s="2049"/>
      <c r="K21" s="2049"/>
      <c r="L21" s="2049"/>
      <c r="M21" s="2049"/>
      <c r="N21" s="2049"/>
      <c r="O21" s="2049"/>
      <c r="P21" s="2049"/>
      <c r="Q21" s="2049"/>
      <c r="R21" s="2049"/>
      <c r="S21" s="2055"/>
      <c r="T21" s="2098" t="s">
        <v>2065</v>
      </c>
      <c r="U21" s="2099"/>
      <c r="V21" s="2099"/>
      <c r="W21" s="2099"/>
      <c r="X21" s="2104" t="s">
        <v>2066</v>
      </c>
      <c r="Y21" s="2105"/>
      <c r="Z21" s="2105"/>
      <c r="AA21" s="2106"/>
    </row>
    <row r="22" spans="1:27" ht="13.5" customHeight="1">
      <c r="A22" s="87" t="s">
        <v>531</v>
      </c>
      <c r="B22" s="59"/>
      <c r="C22" s="59"/>
      <c r="D22" s="59"/>
      <c r="E22" s="59"/>
      <c r="F22" s="59"/>
      <c r="G22" s="59"/>
      <c r="H22" s="60"/>
      <c r="I22" s="2056" t="s">
        <v>1429</v>
      </c>
      <c r="J22" s="2057"/>
      <c r="K22" s="2057"/>
      <c r="L22" s="2057"/>
      <c r="M22" s="2057"/>
      <c r="N22" s="2057"/>
      <c r="O22" s="2057"/>
      <c r="P22" s="2057"/>
      <c r="Q22" s="2057"/>
      <c r="R22" s="2057"/>
      <c r="S22" s="2058"/>
      <c r="T22" s="85" t="s">
        <v>1516</v>
      </c>
      <c r="U22" s="51"/>
      <c r="V22" s="72"/>
      <c r="W22" s="51"/>
      <c r="X22" s="160" t="s">
        <v>1318</v>
      </c>
      <c r="Z22" s="45"/>
      <c r="AA22" s="46"/>
    </row>
    <row r="23" spans="1:27" ht="13.5" customHeight="1">
      <c r="A23" s="2051" t="s">
        <v>2074</v>
      </c>
      <c r="B23" s="2052"/>
      <c r="C23" s="2052"/>
      <c r="D23" s="2052"/>
      <c r="E23" s="2052"/>
      <c r="F23" s="2052"/>
      <c r="G23" s="2052"/>
      <c r="H23" s="2053"/>
      <c r="T23" s="2034" t="s">
        <v>2067</v>
      </c>
      <c r="U23" s="2097"/>
      <c r="V23" s="2097"/>
      <c r="W23" s="2097"/>
      <c r="X23" s="2101">
        <v>44530</v>
      </c>
      <c r="Y23" s="2102"/>
      <c r="Z23" s="2102"/>
      <c r="AA23" s="2103"/>
    </row>
    <row r="24" spans="1:27" ht="14.1" customHeight="1">
      <c r="A24" s="88" t="s">
        <v>677</v>
      </c>
      <c r="B24" s="49"/>
      <c r="C24" s="49"/>
      <c r="D24" s="49"/>
      <c r="E24" s="49"/>
      <c r="F24" s="49"/>
      <c r="G24" s="49"/>
      <c r="H24" s="61"/>
      <c r="J24" s="2021">
        <f>IF(B5="x",IF(AUDITCHECK!D29="AFR form Incomplete.","",IF(AUDITCHECK!D29="Deficit reduction plan is required.","School District must complete a deficit reduction plan in the 2019-2020 Budget",)),"")</f>
        <v>0</v>
      </c>
      <c r="K24" s="2021"/>
      <c r="L24" s="2021"/>
      <c r="M24" s="2021"/>
      <c r="N24" s="2021"/>
      <c r="O24" s="2021"/>
      <c r="P24" s="2021"/>
      <c r="Q24" s="2021"/>
      <c r="R24" s="2021"/>
      <c r="S24" s="2022"/>
      <c r="T24" s="105" t="s">
        <v>531</v>
      </c>
      <c r="U24" s="106"/>
      <c r="V24" s="106"/>
      <c r="W24" s="106"/>
      <c r="X24" s="107"/>
      <c r="Y24" s="107"/>
      <c r="Z24" s="107"/>
      <c r="AA24" s="108"/>
    </row>
    <row r="25" spans="1:27" ht="14.1" customHeight="1">
      <c r="A25" s="1998">
        <v>61244</v>
      </c>
      <c r="B25" s="1999"/>
      <c r="C25" s="1999"/>
      <c r="D25" s="1999"/>
      <c r="E25" s="1999"/>
      <c r="F25" s="1999"/>
      <c r="G25" s="1999"/>
      <c r="H25" s="2000"/>
      <c r="I25" s="113"/>
      <c r="J25" s="2023"/>
      <c r="K25" s="2023"/>
      <c r="L25" s="2023"/>
      <c r="M25" s="2023"/>
      <c r="N25" s="2023"/>
      <c r="O25" s="2023"/>
      <c r="P25" s="2023"/>
      <c r="Q25" s="2023"/>
      <c r="R25" s="2023"/>
      <c r="S25" s="2024"/>
      <c r="T25" s="2094" t="s">
        <v>2068</v>
      </c>
      <c r="U25" s="2095"/>
      <c r="V25" s="2095"/>
      <c r="W25" s="2095"/>
      <c r="X25" s="2095"/>
      <c r="Y25" s="2095"/>
      <c r="Z25" s="2095"/>
      <c r="AA25" s="2096"/>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1162</v>
      </c>
      <c r="D27" s="119"/>
      <c r="E27" s="119"/>
      <c r="I27" s="2009" t="s">
        <v>1511</v>
      </c>
      <c r="J27" s="2010"/>
      <c r="K27" s="2010"/>
      <c r="L27" s="2010"/>
      <c r="M27" s="2010"/>
      <c r="N27" s="2010"/>
      <c r="O27" s="2010"/>
      <c r="P27" s="2010"/>
      <c r="Q27" s="2010"/>
      <c r="R27" s="2010"/>
      <c r="S27" s="2011"/>
      <c r="T27" s="130"/>
      <c r="U27" s="131"/>
      <c r="V27" s="131"/>
      <c r="W27" s="131"/>
      <c r="X27" s="131"/>
      <c r="Y27" s="131"/>
      <c r="Z27" s="131"/>
      <c r="AA27" s="132"/>
    </row>
    <row r="28" spans="1:27" ht="14.1" customHeight="1">
      <c r="A28" s="152"/>
      <c r="B28" s="114"/>
      <c r="C28" s="118" t="s">
        <v>1163</v>
      </c>
      <c r="D28" s="114"/>
      <c r="E28" s="114"/>
      <c r="F28" s="114"/>
      <c r="G28" s="114"/>
      <c r="I28" s="116"/>
      <c r="S28" s="48"/>
      <c r="T28" s="130"/>
      <c r="U28" s="131"/>
      <c r="V28" s="131"/>
      <c r="W28" s="133" t="s">
        <v>1048</v>
      </c>
      <c r="X28" s="131"/>
      <c r="Y28" s="131"/>
      <c r="Z28" s="131"/>
      <c r="AA28" s="132"/>
    </row>
    <row r="29" spans="1:27" ht="14.1" customHeight="1">
      <c r="A29" s="152"/>
      <c r="B29" s="136" t="s">
        <v>2069</v>
      </c>
      <c r="C29" s="124" t="s">
        <v>820</v>
      </c>
      <c r="D29" s="114"/>
      <c r="E29" s="136"/>
      <c r="F29" s="141" t="s">
        <v>1316</v>
      </c>
      <c r="G29" s="114"/>
      <c r="I29" s="54"/>
      <c r="J29" s="1937" t="s">
        <v>2069</v>
      </c>
      <c r="K29" s="28" t="s">
        <v>576</v>
      </c>
      <c r="L29" s="102"/>
      <c r="M29" s="40" t="s">
        <v>99</v>
      </c>
      <c r="N29" s="32" t="s">
        <v>1523</v>
      </c>
      <c r="O29" s="32"/>
      <c r="P29" s="32"/>
      <c r="Q29" s="32"/>
      <c r="R29" s="32"/>
      <c r="S29" s="123"/>
      <c r="T29" s="6"/>
      <c r="U29" s="6"/>
      <c r="V29" s="6"/>
      <c r="W29" s="6"/>
      <c r="X29" s="6"/>
      <c r="Y29" s="6"/>
      <c r="Z29" s="6"/>
      <c r="AA29" s="132"/>
    </row>
    <row r="30" spans="1:27" ht="13.5" customHeight="1">
      <c r="A30" s="153"/>
      <c r="B30" s="136" t="s">
        <v>2069</v>
      </c>
      <c r="C30" s="124" t="s">
        <v>1164</v>
      </c>
      <c r="D30" s="28"/>
      <c r="E30" s="28"/>
      <c r="F30" s="140"/>
      <c r="G30" s="114"/>
      <c r="H30" s="114"/>
      <c r="I30" s="54"/>
      <c r="J30" s="1937" t="s">
        <v>2069</v>
      </c>
      <c r="K30" s="28" t="s">
        <v>576</v>
      </c>
      <c r="L30" s="102"/>
      <c r="M30" s="40" t="s">
        <v>99</v>
      </c>
      <c r="N30" s="32" t="s">
        <v>1512</v>
      </c>
      <c r="O30" s="32"/>
      <c r="P30" s="32"/>
      <c r="Q30" s="32"/>
      <c r="R30" s="32"/>
      <c r="S30" s="55"/>
      <c r="T30" s="6"/>
      <c r="U30" s="6"/>
      <c r="V30" s="6"/>
      <c r="W30" s="6"/>
      <c r="X30" s="6"/>
      <c r="Y30" s="6"/>
      <c r="Z30" s="6"/>
      <c r="AA30" s="48"/>
    </row>
    <row r="31" spans="1:27" ht="13.5" customHeight="1">
      <c r="A31" s="153"/>
      <c r="B31" s="136"/>
      <c r="C31" s="124" t="s">
        <v>1165</v>
      </c>
      <c r="D31" s="28"/>
      <c r="E31" s="28"/>
      <c r="F31" s="28"/>
      <c r="G31" s="28"/>
      <c r="H31" s="28"/>
      <c r="I31" s="54"/>
      <c r="J31" s="1937" t="s">
        <v>2069</v>
      </c>
      <c r="K31" s="40" t="s">
        <v>885</v>
      </c>
      <c r="L31" s="102"/>
      <c r="M31" s="40" t="s">
        <v>99</v>
      </c>
      <c r="N31" s="32" t="s">
        <v>1600</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c r="A35" s="54"/>
      <c r="B35" s="30"/>
      <c r="C35" s="30"/>
      <c r="D35" s="34"/>
      <c r="E35" s="34"/>
      <c r="F35" s="34"/>
      <c r="G35" s="34"/>
      <c r="H35" s="34"/>
      <c r="I35" s="54"/>
      <c r="J35" s="33"/>
      <c r="L35" s="32" t="s">
        <v>708</v>
      </c>
      <c r="N35" s="33"/>
      <c r="O35" s="33"/>
      <c r="P35" s="2020"/>
      <c r="Q35" s="1999"/>
      <c r="R35" s="1999"/>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c r="A38" s="2034" t="s">
        <v>2075</v>
      </c>
      <c r="B38" s="2035"/>
      <c r="C38" s="2035"/>
      <c r="D38" s="2035"/>
      <c r="E38" s="2035"/>
      <c r="F38" s="1999"/>
      <c r="G38" s="1999"/>
      <c r="H38" s="2000"/>
      <c r="I38" s="2027"/>
      <c r="J38" s="2028"/>
      <c r="K38" s="2028"/>
      <c r="L38" s="2028"/>
      <c r="M38" s="2028"/>
      <c r="N38" s="2028"/>
      <c r="O38" s="2028"/>
      <c r="P38" s="2029"/>
      <c r="Q38" s="2029"/>
      <c r="R38" s="2029"/>
      <c r="S38" s="2030"/>
      <c r="T38" s="2081"/>
      <c r="U38" s="2028"/>
      <c r="V38" s="2028"/>
      <c r="W38" s="2028"/>
      <c r="X38" s="2029"/>
      <c r="Y38" s="2029"/>
      <c r="Z38" s="2029"/>
      <c r="AA38" s="2030"/>
    </row>
    <row r="39" spans="1:27" ht="12" customHeight="1">
      <c r="A39" s="2004" t="s">
        <v>531</v>
      </c>
      <c r="B39" s="2005"/>
      <c r="C39" s="72"/>
      <c r="D39" s="69"/>
      <c r="E39" s="69"/>
      <c r="F39" s="79"/>
      <c r="G39" s="69"/>
      <c r="H39" s="56"/>
      <c r="I39" s="2004" t="s">
        <v>531</v>
      </c>
      <c r="J39" s="2005"/>
      <c r="K39" s="2005"/>
      <c r="L39" s="2005"/>
      <c r="M39" s="2005"/>
      <c r="N39" s="67"/>
      <c r="O39" s="72"/>
      <c r="P39" s="72"/>
      <c r="Q39" s="78"/>
      <c r="R39" s="72"/>
      <c r="S39" s="56"/>
      <c r="T39" s="72" t="s">
        <v>531</v>
      </c>
      <c r="U39" s="51"/>
      <c r="V39" s="72"/>
      <c r="W39" s="50"/>
      <c r="X39" s="78"/>
      <c r="Y39" s="45"/>
      <c r="Z39" s="45"/>
      <c r="AA39" s="46"/>
    </row>
    <row r="40" spans="1:27" ht="13.5" customHeight="1">
      <c r="A40" s="2012" t="s">
        <v>2074</v>
      </c>
      <c r="B40" s="2013"/>
      <c r="C40" s="2014"/>
      <c r="D40" s="2014"/>
      <c r="E40" s="2014"/>
      <c r="F40" s="2015"/>
      <c r="G40" s="2015"/>
      <c r="H40" s="2016"/>
      <c r="I40" s="2037"/>
      <c r="J40" s="2038"/>
      <c r="K40" s="2038"/>
      <c r="L40" s="2038"/>
      <c r="M40" s="2038"/>
      <c r="N40" s="2038"/>
      <c r="O40" s="2038"/>
      <c r="P40" s="2038"/>
      <c r="Q40" s="2038"/>
      <c r="R40" s="2038"/>
      <c r="S40" s="2039"/>
      <c r="T40" s="2037"/>
      <c r="U40" s="2100"/>
      <c r="V40" s="2038"/>
      <c r="W40" s="2038"/>
      <c r="X40" s="2038"/>
      <c r="Y40" s="2038"/>
      <c r="Z40" s="2038"/>
      <c r="AA40" s="2039"/>
    </row>
    <row r="41" spans="1:27" ht="11.6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2026" t="s">
        <v>2076</v>
      </c>
      <c r="B42" s="2018"/>
      <c r="C42" s="2019"/>
      <c r="D42" s="2017" t="s">
        <v>2077</v>
      </c>
      <c r="E42" s="2018"/>
      <c r="F42" s="2018"/>
      <c r="G42" s="2018"/>
      <c r="H42" s="2019"/>
      <c r="I42" s="2001"/>
      <c r="J42" s="2002"/>
      <c r="K42" s="2002"/>
      <c r="L42" s="2002"/>
      <c r="M42" s="2002"/>
      <c r="N42" s="2002"/>
      <c r="O42" s="2003"/>
      <c r="P42" s="2036"/>
      <c r="Q42" s="2002"/>
      <c r="R42" s="2002"/>
      <c r="S42" s="2003"/>
      <c r="T42" s="2001"/>
      <c r="U42" s="2002"/>
      <c r="V42" s="2002"/>
      <c r="W42" s="2003"/>
      <c r="X42" s="2036"/>
      <c r="Y42" s="2002"/>
      <c r="Z42" s="2002"/>
      <c r="AA42" s="2003"/>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2031"/>
      <c r="B44" s="2032"/>
      <c r="C44" s="2032"/>
      <c r="D44" s="2032"/>
      <c r="E44" s="2032"/>
      <c r="F44" s="2032"/>
      <c r="G44" s="2032"/>
      <c r="H44" s="2033"/>
      <c r="I44" s="2006"/>
      <c r="J44" s="2007"/>
      <c r="K44" s="2007"/>
      <c r="L44" s="2007"/>
      <c r="M44" s="2007"/>
      <c r="N44" s="2007"/>
      <c r="O44" s="2007"/>
      <c r="P44" s="2007"/>
      <c r="Q44" s="2007"/>
      <c r="R44" s="2007"/>
      <c r="S44" s="2008"/>
      <c r="T44" s="2006"/>
      <c r="U44" s="2025"/>
      <c r="V44" s="2025"/>
      <c r="W44" s="2025"/>
      <c r="X44" s="2025"/>
      <c r="Y44" s="2025"/>
      <c r="Z44" s="2007"/>
      <c r="AA44" s="2008"/>
    </row>
    <row r="45" spans="1:27" ht="13.5" customHeight="1">
      <c r="A45" s="41" t="s">
        <v>186</v>
      </c>
      <c r="Q45" s="41" t="s">
        <v>1419</v>
      </c>
      <c r="R45" s="41"/>
      <c r="S45" s="41"/>
      <c r="T45" s="147"/>
      <c r="U45" s="41"/>
      <c r="V45" s="41"/>
      <c r="W45" s="41"/>
      <c r="X45" s="41"/>
      <c r="Y45" s="41"/>
      <c r="Z45" s="41"/>
      <c r="AA45" s="41"/>
    </row>
    <row r="46" spans="1:27" ht="10.5" customHeight="1">
      <c r="A46" s="42" t="s">
        <v>1941</v>
      </c>
      <c r="D46" s="41"/>
      <c r="E46" s="41"/>
      <c r="F46" s="41"/>
      <c r="G46" s="41"/>
      <c r="Q46" s="29" t="s">
        <v>1420</v>
      </c>
      <c r="R46" s="41"/>
      <c r="S46" s="41"/>
      <c r="T46" s="41"/>
      <c r="U46" s="41"/>
      <c r="V46" s="41"/>
      <c r="W46" s="41"/>
      <c r="X46" s="41"/>
      <c r="Y46" s="41"/>
      <c r="Z46" s="41"/>
      <c r="AA46" s="41"/>
    </row>
    <row r="47" spans="1:27">
      <c r="A47" s="137"/>
      <c r="Q47" s="41" t="s">
        <v>1923</v>
      </c>
      <c r="R47" s="41"/>
      <c r="S47" s="41"/>
      <c r="T47" s="41"/>
      <c r="U47" s="41"/>
      <c r="V47" s="41"/>
      <c r="W47" s="41"/>
      <c r="X47" s="41"/>
      <c r="Y47" s="41"/>
      <c r="Z47" s="41"/>
      <c r="AA47" s="41"/>
    </row>
    <row r="48" spans="1:27">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5:H15"/>
    <mergeCell ref="T19:W19"/>
    <mergeCell ref="T13:AA13"/>
    <mergeCell ref="T15:AA15"/>
    <mergeCell ref="Z19:AA19"/>
    <mergeCell ref="X19:Y19"/>
    <mergeCell ref="T17:AA17"/>
    <mergeCell ref="A13:H13"/>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04" zoomScaleNormal="104" workbookViewId="0">
      <pane ySplit="2" topLeftCell="A3" activePane="bottomLeft" state="frozen"/>
      <selection activeCell="B49" sqref="B49"/>
      <selection pane="bottomLeft" activeCell="B49" sqref="B49"/>
    </sheetView>
  </sheetViews>
  <sheetFormatPr defaultColWidth="9.140625" defaultRowHeight="12.75"/>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c r="A1" s="2181"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c r="A2" s="221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c r="A3" s="2221" t="s">
        <v>297</v>
      </c>
      <c r="B3" s="2222"/>
      <c r="C3" s="1547"/>
      <c r="D3" s="1547"/>
      <c r="E3" s="1547"/>
      <c r="F3" s="1547"/>
      <c r="G3" s="1547"/>
      <c r="H3" s="1547"/>
      <c r="I3" s="1547"/>
      <c r="J3" s="1547"/>
      <c r="K3" s="1548"/>
      <c r="L3" s="1549"/>
      <c r="M3" s="609"/>
      <c r="N3" s="609"/>
    </row>
    <row r="4" spans="1:14" s="259" customFormat="1" ht="15.75" customHeight="1">
      <c r="A4" s="1605" t="s">
        <v>44</v>
      </c>
      <c r="B4" s="1606" t="s">
        <v>570</v>
      </c>
      <c r="C4" s="610"/>
      <c r="D4" s="610"/>
      <c r="E4" s="610"/>
      <c r="F4" s="610"/>
      <c r="G4" s="610"/>
      <c r="H4" s="610"/>
      <c r="I4" s="611"/>
      <c r="J4" s="610"/>
      <c r="K4" s="612"/>
      <c r="L4" s="610"/>
      <c r="M4" s="613"/>
      <c r="N4" s="613"/>
    </row>
    <row r="5" spans="1:14">
      <c r="A5" s="1503" t="s">
        <v>961</v>
      </c>
      <c r="B5" s="614">
        <v>1100</v>
      </c>
      <c r="C5" s="466">
        <v>9356783</v>
      </c>
      <c r="D5" s="466">
        <f>977030-62355</f>
        <v>914675</v>
      </c>
      <c r="E5" s="466">
        <v>65268</v>
      </c>
      <c r="F5" s="466">
        <f>181844-30</f>
        <v>181814</v>
      </c>
      <c r="G5" s="466">
        <v>20517</v>
      </c>
      <c r="H5" s="466">
        <v>3910</v>
      </c>
      <c r="I5" s="467"/>
      <c r="J5" s="467"/>
      <c r="K5" s="1670">
        <f>SUM(C5:J5)</f>
        <v>10542967</v>
      </c>
      <c r="L5" s="466">
        <v>11067257</v>
      </c>
    </row>
    <row r="6" spans="1:14">
      <c r="A6" s="1503" t="s">
        <v>1433</v>
      </c>
      <c r="B6" s="614" t="s">
        <v>1431</v>
      </c>
      <c r="C6" s="477"/>
      <c r="D6" s="477"/>
      <c r="E6" s="466"/>
      <c r="F6" s="477"/>
      <c r="G6" s="477"/>
      <c r="H6" s="477"/>
      <c r="I6" s="477"/>
      <c r="J6" s="477"/>
      <c r="K6" s="1670">
        <f>SUM(C6,E6)</f>
        <v>0</v>
      </c>
      <c r="L6" s="466">
        <v>0</v>
      </c>
    </row>
    <row r="7" spans="1:14">
      <c r="A7" s="1503" t="s">
        <v>163</v>
      </c>
      <c r="B7" s="614" t="s">
        <v>967</v>
      </c>
      <c r="C7" s="467">
        <v>361955</v>
      </c>
      <c r="D7" s="467">
        <v>53113</v>
      </c>
      <c r="E7" s="467">
        <v>7765</v>
      </c>
      <c r="F7" s="467">
        <v>43382</v>
      </c>
      <c r="G7" s="467"/>
      <c r="H7" s="467"/>
      <c r="I7" s="467"/>
      <c r="J7" s="467"/>
      <c r="K7" s="1670">
        <f t="shared" ref="K7:K32" si="0">SUM(C7:J7)</f>
        <v>466215</v>
      </c>
      <c r="L7" s="466">
        <v>562672</v>
      </c>
    </row>
    <row r="8" spans="1:14">
      <c r="A8" s="1503" t="s">
        <v>164</v>
      </c>
      <c r="B8" s="614">
        <v>1200</v>
      </c>
      <c r="C8" s="466">
        <v>2473721</v>
      </c>
      <c r="D8" s="466">
        <v>304623</v>
      </c>
      <c r="E8" s="466">
        <v>87286</v>
      </c>
      <c r="F8" s="466">
        <v>20438</v>
      </c>
      <c r="G8" s="466">
        <v>724</v>
      </c>
      <c r="H8" s="466">
        <v>180</v>
      </c>
      <c r="I8" s="467"/>
      <c r="J8" s="467"/>
      <c r="K8" s="1670">
        <f t="shared" si="0"/>
        <v>2886972</v>
      </c>
      <c r="L8" s="466">
        <v>3066677</v>
      </c>
    </row>
    <row r="9" spans="1:14">
      <c r="A9" s="1503" t="s">
        <v>721</v>
      </c>
      <c r="B9" s="614" t="s">
        <v>968</v>
      </c>
      <c r="C9" s="467"/>
      <c r="D9" s="467"/>
      <c r="E9" s="467"/>
      <c r="F9" s="467"/>
      <c r="G9" s="467"/>
      <c r="H9" s="467"/>
      <c r="I9" s="467"/>
      <c r="J9" s="467"/>
      <c r="K9" s="1670">
        <f t="shared" si="0"/>
        <v>0</v>
      </c>
      <c r="L9" s="466">
        <v>0</v>
      </c>
    </row>
    <row r="10" spans="1:14">
      <c r="A10" s="1503" t="s">
        <v>722</v>
      </c>
      <c r="B10" s="614">
        <v>1250</v>
      </c>
      <c r="C10" s="466">
        <v>289642</v>
      </c>
      <c r="D10" s="466">
        <v>70840</v>
      </c>
      <c r="E10" s="466">
        <v>58625</v>
      </c>
      <c r="F10" s="466">
        <v>147411</v>
      </c>
      <c r="G10" s="466">
        <v>876</v>
      </c>
      <c r="H10" s="466"/>
      <c r="I10" s="467"/>
      <c r="J10" s="467"/>
      <c r="K10" s="1670">
        <f t="shared" si="0"/>
        <v>567394</v>
      </c>
      <c r="L10" s="466">
        <v>1005103</v>
      </c>
    </row>
    <row r="11" spans="1:14">
      <c r="A11" s="1503" t="s">
        <v>1130</v>
      </c>
      <c r="B11" s="614" t="s">
        <v>161</v>
      </c>
      <c r="C11" s="467"/>
      <c r="D11" s="467"/>
      <c r="E11" s="467"/>
      <c r="F11" s="467"/>
      <c r="G11" s="467"/>
      <c r="H11" s="467"/>
      <c r="I11" s="467"/>
      <c r="J11" s="467"/>
      <c r="K11" s="1670">
        <f t="shared" si="0"/>
        <v>0</v>
      </c>
      <c r="L11" s="466">
        <v>0</v>
      </c>
    </row>
    <row r="12" spans="1:14">
      <c r="A12" s="1503" t="s">
        <v>962</v>
      </c>
      <c r="B12" s="614">
        <v>1300</v>
      </c>
      <c r="C12" s="466"/>
      <c r="D12" s="466"/>
      <c r="E12" s="466"/>
      <c r="F12" s="466"/>
      <c r="G12" s="466"/>
      <c r="H12" s="466"/>
      <c r="I12" s="467"/>
      <c r="J12" s="467"/>
      <c r="K12" s="1670">
        <f t="shared" si="0"/>
        <v>0</v>
      </c>
      <c r="L12" s="466">
        <v>0</v>
      </c>
    </row>
    <row r="13" spans="1:14">
      <c r="A13" s="1503" t="s">
        <v>723</v>
      </c>
      <c r="B13" s="614">
        <v>1400</v>
      </c>
      <c r="C13" s="466"/>
      <c r="D13" s="466"/>
      <c r="E13" s="466"/>
      <c r="F13" s="466"/>
      <c r="G13" s="466"/>
      <c r="H13" s="466"/>
      <c r="I13" s="467"/>
      <c r="J13" s="467"/>
      <c r="K13" s="1670">
        <f t="shared" si="0"/>
        <v>0</v>
      </c>
      <c r="L13" s="466">
        <v>0</v>
      </c>
    </row>
    <row r="14" spans="1:14">
      <c r="A14" s="1503" t="s">
        <v>963</v>
      </c>
      <c r="B14" s="614">
        <v>1500</v>
      </c>
      <c r="C14" s="466">
        <v>107322</v>
      </c>
      <c r="D14" s="466">
        <v>2376</v>
      </c>
      <c r="E14" s="466">
        <v>2707</v>
      </c>
      <c r="F14" s="466">
        <v>11567</v>
      </c>
      <c r="G14" s="466">
        <v>3112</v>
      </c>
      <c r="H14" s="466">
        <v>1880</v>
      </c>
      <c r="I14" s="467"/>
      <c r="J14" s="467"/>
      <c r="K14" s="1670">
        <f t="shared" si="0"/>
        <v>128964</v>
      </c>
      <c r="L14" s="466">
        <v>132138</v>
      </c>
    </row>
    <row r="15" spans="1:14">
      <c r="A15" s="1503" t="s">
        <v>964</v>
      </c>
      <c r="B15" s="614">
        <v>1600</v>
      </c>
      <c r="C15" s="466"/>
      <c r="D15" s="466"/>
      <c r="E15" s="466"/>
      <c r="F15" s="466"/>
      <c r="G15" s="466"/>
      <c r="H15" s="466"/>
      <c r="I15" s="467"/>
      <c r="J15" s="467"/>
      <c r="K15" s="1670">
        <f t="shared" si="0"/>
        <v>0</v>
      </c>
      <c r="L15" s="466">
        <v>0</v>
      </c>
    </row>
    <row r="16" spans="1:14">
      <c r="A16" s="1503" t="s">
        <v>987</v>
      </c>
      <c r="B16" s="614" t="s">
        <v>424</v>
      </c>
      <c r="C16" s="466"/>
      <c r="D16" s="466"/>
      <c r="E16" s="466">
        <v>1518</v>
      </c>
      <c r="F16" s="466">
        <v>2061</v>
      </c>
      <c r="G16" s="466">
        <v>770</v>
      </c>
      <c r="H16" s="466"/>
      <c r="I16" s="467"/>
      <c r="J16" s="467"/>
      <c r="K16" s="1670">
        <f t="shared" si="0"/>
        <v>4349</v>
      </c>
      <c r="L16" s="466">
        <v>11952</v>
      </c>
    </row>
    <row r="17" spans="1:12">
      <c r="A17" s="1503" t="s">
        <v>724</v>
      </c>
      <c r="B17" s="614" t="s">
        <v>162</v>
      </c>
      <c r="C17" s="467"/>
      <c r="D17" s="467"/>
      <c r="E17" s="467"/>
      <c r="F17" s="467"/>
      <c r="G17" s="467"/>
      <c r="H17" s="467"/>
      <c r="I17" s="467"/>
      <c r="J17" s="467"/>
      <c r="K17" s="1670">
        <f t="shared" si="0"/>
        <v>0</v>
      </c>
      <c r="L17" s="466">
        <v>0</v>
      </c>
    </row>
    <row r="18" spans="1:12">
      <c r="A18" s="1503" t="s">
        <v>1087</v>
      </c>
      <c r="B18" s="614">
        <v>1800</v>
      </c>
      <c r="C18" s="466">
        <v>842549</v>
      </c>
      <c r="D18" s="466">
        <v>92653</v>
      </c>
      <c r="E18" s="466">
        <v>1972</v>
      </c>
      <c r="F18" s="466">
        <v>9890</v>
      </c>
      <c r="G18" s="466"/>
      <c r="H18" s="466"/>
      <c r="I18" s="467"/>
      <c r="J18" s="467"/>
      <c r="K18" s="1670">
        <f t="shared" si="0"/>
        <v>947064</v>
      </c>
      <c r="L18" s="466">
        <v>1023790</v>
      </c>
    </row>
    <row r="19" spans="1:12">
      <c r="A19" s="1503" t="s">
        <v>134</v>
      </c>
      <c r="B19" s="614">
        <v>1900</v>
      </c>
      <c r="C19" s="466"/>
      <c r="D19" s="466"/>
      <c r="E19" s="466"/>
      <c r="F19" s="466"/>
      <c r="G19" s="466"/>
      <c r="H19" s="466"/>
      <c r="I19" s="467"/>
      <c r="J19" s="467"/>
      <c r="K19" s="1670">
        <f t="shared" si="0"/>
        <v>0</v>
      </c>
      <c r="L19" s="466">
        <v>0</v>
      </c>
    </row>
    <row r="20" spans="1:12">
      <c r="A20" s="1504" t="s">
        <v>738</v>
      </c>
      <c r="B20" s="602" t="s">
        <v>725</v>
      </c>
      <c r="C20" s="477"/>
      <c r="D20" s="477"/>
      <c r="E20" s="477"/>
      <c r="F20" s="477"/>
      <c r="G20" s="477"/>
      <c r="H20" s="474"/>
      <c r="I20" s="616"/>
      <c r="J20" s="475"/>
      <c r="K20" s="1670">
        <f t="shared" si="0"/>
        <v>0</v>
      </c>
      <c r="L20" s="471">
        <v>0</v>
      </c>
    </row>
    <row r="21" spans="1:12">
      <c r="A21" s="1504" t="s">
        <v>739</v>
      </c>
      <c r="B21" s="602" t="s">
        <v>726</v>
      </c>
      <c r="C21" s="477"/>
      <c r="D21" s="477"/>
      <c r="E21" s="477"/>
      <c r="F21" s="477"/>
      <c r="G21" s="477"/>
      <c r="H21" s="474"/>
      <c r="I21" s="616"/>
      <c r="J21" s="477"/>
      <c r="K21" s="1670">
        <f t="shared" si="0"/>
        <v>0</v>
      </c>
      <c r="L21" s="471">
        <v>0</v>
      </c>
    </row>
    <row r="22" spans="1:12">
      <c r="A22" s="1504" t="s">
        <v>740</v>
      </c>
      <c r="B22" s="602" t="s">
        <v>727</v>
      </c>
      <c r="C22" s="477"/>
      <c r="D22" s="477"/>
      <c r="E22" s="477"/>
      <c r="F22" s="477"/>
      <c r="G22" s="477"/>
      <c r="H22" s="474"/>
      <c r="I22" s="616"/>
      <c r="J22" s="477"/>
      <c r="K22" s="1670">
        <f t="shared" si="0"/>
        <v>0</v>
      </c>
      <c r="L22" s="471">
        <v>0</v>
      </c>
    </row>
    <row r="23" spans="1:12">
      <c r="A23" s="1504" t="s">
        <v>741</v>
      </c>
      <c r="B23" s="602" t="s">
        <v>728</v>
      </c>
      <c r="C23" s="477"/>
      <c r="D23" s="477"/>
      <c r="E23" s="477"/>
      <c r="F23" s="477"/>
      <c r="G23" s="477"/>
      <c r="H23" s="474"/>
      <c r="I23" s="616"/>
      <c r="J23" s="477"/>
      <c r="K23" s="1670">
        <f t="shared" si="0"/>
        <v>0</v>
      </c>
      <c r="L23" s="471">
        <v>0</v>
      </c>
    </row>
    <row r="24" spans="1:12" ht="13.15" customHeight="1">
      <c r="A24" s="1504" t="s">
        <v>742</v>
      </c>
      <c r="B24" s="602" t="s">
        <v>729</v>
      </c>
      <c r="C24" s="477"/>
      <c r="D24" s="477"/>
      <c r="E24" s="477"/>
      <c r="F24" s="477"/>
      <c r="G24" s="477"/>
      <c r="H24" s="474"/>
      <c r="I24" s="616"/>
      <c r="J24" s="477"/>
      <c r="K24" s="1670">
        <f t="shared" si="0"/>
        <v>0</v>
      </c>
      <c r="L24" s="471">
        <v>0</v>
      </c>
    </row>
    <row r="25" spans="1:12" ht="13.15" customHeight="1">
      <c r="A25" s="1504" t="s">
        <v>802</v>
      </c>
      <c r="B25" s="602" t="s">
        <v>730</v>
      </c>
      <c r="C25" s="477"/>
      <c r="D25" s="477"/>
      <c r="E25" s="477"/>
      <c r="F25" s="477"/>
      <c r="G25" s="477"/>
      <c r="H25" s="474"/>
      <c r="I25" s="616"/>
      <c r="J25" s="477"/>
      <c r="K25" s="1670">
        <f t="shared" si="0"/>
        <v>0</v>
      </c>
      <c r="L25" s="471">
        <v>0</v>
      </c>
    </row>
    <row r="26" spans="1:12">
      <c r="A26" s="1504" t="s">
        <v>622</v>
      </c>
      <c r="B26" s="602" t="s">
        <v>731</v>
      </c>
      <c r="C26" s="477"/>
      <c r="D26" s="477"/>
      <c r="E26" s="477"/>
      <c r="F26" s="477"/>
      <c r="G26" s="477"/>
      <c r="H26" s="474"/>
      <c r="I26" s="616"/>
      <c r="J26" s="477"/>
      <c r="K26" s="1670">
        <f t="shared" si="0"/>
        <v>0</v>
      </c>
      <c r="L26" s="471">
        <v>0</v>
      </c>
    </row>
    <row r="27" spans="1:12">
      <c r="A27" s="1504" t="s">
        <v>623</v>
      </c>
      <c r="B27" s="602" t="s">
        <v>732</v>
      </c>
      <c r="C27" s="477"/>
      <c r="D27" s="477"/>
      <c r="E27" s="477"/>
      <c r="F27" s="477"/>
      <c r="G27" s="477"/>
      <c r="H27" s="474"/>
      <c r="I27" s="616"/>
      <c r="J27" s="477"/>
      <c r="K27" s="1670">
        <f t="shared" si="0"/>
        <v>0</v>
      </c>
      <c r="L27" s="471">
        <v>0</v>
      </c>
    </row>
    <row r="28" spans="1:12">
      <c r="A28" s="1504" t="s">
        <v>150</v>
      </c>
      <c r="B28" s="602" t="s">
        <v>733</v>
      </c>
      <c r="C28" s="477"/>
      <c r="D28" s="477"/>
      <c r="E28" s="477"/>
      <c r="F28" s="477"/>
      <c r="G28" s="477"/>
      <c r="H28" s="474"/>
      <c r="I28" s="616"/>
      <c r="J28" s="477"/>
      <c r="K28" s="1670">
        <f t="shared" si="0"/>
        <v>0</v>
      </c>
      <c r="L28" s="471">
        <v>0</v>
      </c>
    </row>
    <row r="29" spans="1:12">
      <c r="A29" s="1504" t="s">
        <v>151</v>
      </c>
      <c r="B29" s="602" t="s">
        <v>734</v>
      </c>
      <c r="C29" s="477"/>
      <c r="D29" s="477"/>
      <c r="E29" s="477"/>
      <c r="F29" s="477"/>
      <c r="G29" s="477"/>
      <c r="H29" s="474"/>
      <c r="I29" s="616"/>
      <c r="J29" s="477"/>
      <c r="K29" s="1670">
        <f t="shared" si="0"/>
        <v>0</v>
      </c>
      <c r="L29" s="471">
        <v>0</v>
      </c>
    </row>
    <row r="30" spans="1:12">
      <c r="A30" s="1504" t="s">
        <v>152</v>
      </c>
      <c r="B30" s="602" t="s">
        <v>735</v>
      </c>
      <c r="C30" s="477"/>
      <c r="D30" s="477"/>
      <c r="E30" s="477"/>
      <c r="F30" s="477"/>
      <c r="G30" s="477"/>
      <c r="H30" s="474"/>
      <c r="I30" s="616"/>
      <c r="J30" s="477"/>
      <c r="K30" s="1670">
        <f t="shared" si="0"/>
        <v>0</v>
      </c>
      <c r="L30" s="471">
        <v>0</v>
      </c>
    </row>
    <row r="31" spans="1:12">
      <c r="A31" s="1504" t="s">
        <v>153</v>
      </c>
      <c r="B31" s="602" t="s">
        <v>736</v>
      </c>
      <c r="C31" s="477"/>
      <c r="D31" s="477"/>
      <c r="E31" s="477"/>
      <c r="F31" s="477"/>
      <c r="G31" s="477"/>
      <c r="H31" s="474"/>
      <c r="I31" s="616"/>
      <c r="J31" s="477"/>
      <c r="K31" s="1670">
        <f t="shared" si="0"/>
        <v>0</v>
      </c>
      <c r="L31" s="471">
        <v>0</v>
      </c>
    </row>
    <row r="32" spans="1:12">
      <c r="A32" s="1505" t="s">
        <v>1129</v>
      </c>
      <c r="B32" s="614" t="s">
        <v>737</v>
      </c>
      <c r="C32" s="477"/>
      <c r="D32" s="477"/>
      <c r="E32" s="477"/>
      <c r="F32" s="477"/>
      <c r="G32" s="477"/>
      <c r="H32" s="474"/>
      <c r="I32" s="616"/>
      <c r="J32" s="480"/>
      <c r="K32" s="1670">
        <f t="shared" si="0"/>
        <v>0</v>
      </c>
      <c r="L32" s="471">
        <v>0</v>
      </c>
    </row>
    <row r="33" spans="1:14" ht="13.15" customHeight="1" thickBot="1">
      <c r="A33" s="1667" t="s">
        <v>1668</v>
      </c>
      <c r="B33" s="1668" t="s">
        <v>570</v>
      </c>
      <c r="C33" s="1669">
        <f>SUM(C5:C32)</f>
        <v>13431972</v>
      </c>
      <c r="D33" s="1669">
        <f t="shared" ref="D33:L33" si="1">SUM(D5:D32)</f>
        <v>1438280</v>
      </c>
      <c r="E33" s="1669">
        <f t="shared" si="1"/>
        <v>225141</v>
      </c>
      <c r="F33" s="1669">
        <f t="shared" si="1"/>
        <v>416563</v>
      </c>
      <c r="G33" s="1669">
        <f t="shared" si="1"/>
        <v>25999</v>
      </c>
      <c r="H33" s="1669">
        <f t="shared" si="1"/>
        <v>5970</v>
      </c>
      <c r="I33" s="1669">
        <f t="shared" si="1"/>
        <v>0</v>
      </c>
      <c r="J33" s="1669">
        <f t="shared" si="1"/>
        <v>0</v>
      </c>
      <c r="K33" s="1669">
        <f t="shared" si="1"/>
        <v>15543925</v>
      </c>
      <c r="L33" s="1669">
        <f t="shared" si="1"/>
        <v>16869589</v>
      </c>
    </row>
    <row r="34" spans="1:14" s="620" customFormat="1" ht="15.75" customHeight="1" thickTop="1">
      <c r="A34" s="1607" t="s">
        <v>46</v>
      </c>
      <c r="B34" s="1608" t="s">
        <v>569</v>
      </c>
      <c r="C34" s="618"/>
      <c r="D34" s="618"/>
      <c r="E34" s="618"/>
      <c r="F34" s="618"/>
      <c r="G34" s="618"/>
      <c r="H34" s="618"/>
      <c r="I34" s="616"/>
      <c r="J34" s="616"/>
      <c r="K34" s="616"/>
      <c r="L34" s="616"/>
      <c r="M34" s="619"/>
      <c r="N34" s="619"/>
    </row>
    <row r="35" spans="1:14" s="620" customFormat="1" ht="15.75" customHeight="1">
      <c r="A35" s="621" t="s">
        <v>591</v>
      </c>
      <c r="B35" s="622"/>
      <c r="C35" s="623"/>
      <c r="D35" s="623"/>
      <c r="E35" s="623"/>
      <c r="F35" s="623"/>
      <c r="G35" s="623"/>
      <c r="H35" s="623"/>
      <c r="I35" s="616"/>
      <c r="J35" s="616"/>
      <c r="K35" s="616"/>
      <c r="L35" s="616"/>
      <c r="M35" s="619"/>
      <c r="N35" s="619"/>
    </row>
    <row r="36" spans="1:14">
      <c r="A36" s="1503" t="s">
        <v>1089</v>
      </c>
      <c r="B36" s="614">
        <v>2110</v>
      </c>
      <c r="C36" s="481">
        <v>196758</v>
      </c>
      <c r="D36" s="481">
        <f>19562-5101</f>
        <v>14461</v>
      </c>
      <c r="E36" s="481">
        <v>89461</v>
      </c>
      <c r="F36" s="481">
        <v>313</v>
      </c>
      <c r="G36" s="481"/>
      <c r="H36" s="481"/>
      <c r="I36" s="467"/>
      <c r="J36" s="467"/>
      <c r="K36" s="1670">
        <f t="shared" ref="K36:K41" si="2">SUM(C36:J36)</f>
        <v>300993</v>
      </c>
      <c r="L36" s="466">
        <v>321275</v>
      </c>
    </row>
    <row r="37" spans="1:14">
      <c r="A37" s="1503" t="s">
        <v>1090</v>
      </c>
      <c r="B37" s="614">
        <v>2120</v>
      </c>
      <c r="C37" s="466">
        <v>646742</v>
      </c>
      <c r="D37" s="466">
        <v>63060</v>
      </c>
      <c r="E37" s="466">
        <v>460</v>
      </c>
      <c r="F37" s="466">
        <v>362</v>
      </c>
      <c r="G37" s="466"/>
      <c r="H37" s="466"/>
      <c r="I37" s="467"/>
      <c r="J37" s="467"/>
      <c r="K37" s="1670">
        <f t="shared" si="2"/>
        <v>710624</v>
      </c>
      <c r="L37" s="466">
        <v>719777</v>
      </c>
    </row>
    <row r="38" spans="1:14">
      <c r="A38" s="1503" t="s">
        <v>198</v>
      </c>
      <c r="B38" s="614">
        <v>2130</v>
      </c>
      <c r="C38" s="466">
        <v>181953</v>
      </c>
      <c r="D38" s="466">
        <v>26531</v>
      </c>
      <c r="E38" s="466">
        <v>528</v>
      </c>
      <c r="F38" s="466">
        <v>5051</v>
      </c>
      <c r="G38" s="466"/>
      <c r="H38" s="466"/>
      <c r="I38" s="467"/>
      <c r="J38" s="467"/>
      <c r="K38" s="1670">
        <f t="shared" si="2"/>
        <v>214063</v>
      </c>
      <c r="L38" s="466">
        <v>224210</v>
      </c>
    </row>
    <row r="39" spans="1:14">
      <c r="A39" s="1503" t="s">
        <v>199</v>
      </c>
      <c r="B39" s="614">
        <v>2140</v>
      </c>
      <c r="C39" s="466">
        <v>103122</v>
      </c>
      <c r="D39" s="466">
        <v>11636</v>
      </c>
      <c r="E39" s="466">
        <v>91783</v>
      </c>
      <c r="F39" s="466">
        <v>297</v>
      </c>
      <c r="G39" s="466"/>
      <c r="H39" s="466"/>
      <c r="I39" s="467"/>
      <c r="J39" s="467"/>
      <c r="K39" s="1670">
        <f t="shared" si="2"/>
        <v>206838</v>
      </c>
      <c r="L39" s="466">
        <v>210059</v>
      </c>
    </row>
    <row r="40" spans="1:14">
      <c r="A40" s="1503" t="s">
        <v>200</v>
      </c>
      <c r="B40" s="614">
        <v>2150</v>
      </c>
      <c r="C40" s="466">
        <v>372215</v>
      </c>
      <c r="D40" s="466">
        <v>44287</v>
      </c>
      <c r="E40" s="466">
        <v>233</v>
      </c>
      <c r="F40" s="466">
        <v>501</v>
      </c>
      <c r="G40" s="466"/>
      <c r="H40" s="466"/>
      <c r="I40" s="467"/>
      <c r="J40" s="467"/>
      <c r="K40" s="1670">
        <f t="shared" si="2"/>
        <v>417236</v>
      </c>
      <c r="L40" s="466">
        <v>427573</v>
      </c>
    </row>
    <row r="41" spans="1:14">
      <c r="A41" s="1503" t="s">
        <v>1669</v>
      </c>
      <c r="B41" s="614">
        <v>2190</v>
      </c>
      <c r="C41" s="466">
        <v>186908</v>
      </c>
      <c r="D41" s="466">
        <v>6418</v>
      </c>
      <c r="E41" s="466"/>
      <c r="F41" s="466"/>
      <c r="G41" s="466"/>
      <c r="H41" s="466"/>
      <c r="I41" s="467"/>
      <c r="J41" s="467"/>
      <c r="K41" s="1670">
        <f t="shared" si="2"/>
        <v>193326</v>
      </c>
      <c r="L41" s="466">
        <v>228860</v>
      </c>
    </row>
    <row r="42" spans="1:14" ht="13.15" customHeight="1" thickBot="1">
      <c r="A42" s="1667" t="s">
        <v>560</v>
      </c>
      <c r="B42" s="1668" t="s">
        <v>716</v>
      </c>
      <c r="C42" s="1669">
        <f>SUM(C36:C41)</f>
        <v>1687698</v>
      </c>
      <c r="D42" s="1669">
        <f t="shared" ref="D42:L42" si="3">SUM(D36:D41)</f>
        <v>166393</v>
      </c>
      <c r="E42" s="1669">
        <f t="shared" si="3"/>
        <v>182465</v>
      </c>
      <c r="F42" s="1669">
        <f t="shared" si="3"/>
        <v>6524</v>
      </c>
      <c r="G42" s="1669">
        <f t="shared" si="3"/>
        <v>0</v>
      </c>
      <c r="H42" s="1669">
        <f t="shared" si="3"/>
        <v>0</v>
      </c>
      <c r="I42" s="1669">
        <f t="shared" si="3"/>
        <v>0</v>
      </c>
      <c r="J42" s="1669">
        <f t="shared" si="3"/>
        <v>0</v>
      </c>
      <c r="K42" s="1669">
        <f t="shared" si="3"/>
        <v>2043080</v>
      </c>
      <c r="L42" s="1669">
        <f t="shared" si="3"/>
        <v>2131754</v>
      </c>
    </row>
    <row r="43" spans="1:14" ht="15.75" customHeight="1" thickTop="1">
      <c r="A43" s="624" t="s">
        <v>592</v>
      </c>
      <c r="B43" s="625"/>
      <c r="C43" s="626"/>
      <c r="D43" s="626"/>
      <c r="E43" s="626"/>
      <c r="F43" s="626"/>
      <c r="G43" s="626"/>
      <c r="H43" s="626"/>
      <c r="I43" s="616"/>
      <c r="J43" s="616"/>
      <c r="K43" s="626"/>
      <c r="L43" s="626"/>
    </row>
    <row r="44" spans="1:14">
      <c r="A44" s="1503" t="s">
        <v>814</v>
      </c>
      <c r="B44" s="614">
        <v>2210</v>
      </c>
      <c r="C44" s="481">
        <v>481439</v>
      </c>
      <c r="D44" s="481">
        <f>44076-1316</f>
        <v>42760</v>
      </c>
      <c r="E44" s="481">
        <v>529716</v>
      </c>
      <c r="F44" s="481">
        <v>2855</v>
      </c>
      <c r="G44" s="481"/>
      <c r="H44" s="481"/>
      <c r="I44" s="467"/>
      <c r="J44" s="467"/>
      <c r="K44" s="1671">
        <f>SUM(C44:J44)</f>
        <v>1056770</v>
      </c>
      <c r="L44" s="481">
        <v>1664967</v>
      </c>
    </row>
    <row r="45" spans="1:14">
      <c r="A45" s="1503" t="s">
        <v>815</v>
      </c>
      <c r="B45" s="614">
        <v>2220</v>
      </c>
      <c r="C45" s="466">
        <v>22114</v>
      </c>
      <c r="D45" s="466">
        <v>35</v>
      </c>
      <c r="E45" s="466"/>
      <c r="F45" s="466">
        <v>30099</v>
      </c>
      <c r="G45" s="466">
        <v>2789</v>
      </c>
      <c r="H45" s="466"/>
      <c r="I45" s="467"/>
      <c r="J45" s="467"/>
      <c r="K45" s="1671">
        <f>SUM(C45:J45)</f>
        <v>55037</v>
      </c>
      <c r="L45" s="466">
        <v>62569</v>
      </c>
    </row>
    <row r="46" spans="1:14">
      <c r="A46" s="1503" t="s">
        <v>816</v>
      </c>
      <c r="B46" s="614">
        <v>2230</v>
      </c>
      <c r="C46" s="466">
        <v>48030</v>
      </c>
      <c r="D46" s="466">
        <v>129</v>
      </c>
      <c r="E46" s="466">
        <v>62659</v>
      </c>
      <c r="F46" s="466">
        <v>1379</v>
      </c>
      <c r="G46" s="466">
        <v>9988</v>
      </c>
      <c r="H46" s="466"/>
      <c r="I46" s="467"/>
      <c r="J46" s="467"/>
      <c r="K46" s="1671">
        <f>SUM(C46:J46)</f>
        <v>122185</v>
      </c>
      <c r="L46" s="466">
        <v>101785</v>
      </c>
    </row>
    <row r="47" spans="1:14" ht="13.15" customHeight="1" thickBot="1">
      <c r="A47" s="1667" t="s">
        <v>561</v>
      </c>
      <c r="B47" s="1668" t="s">
        <v>32</v>
      </c>
      <c r="C47" s="1669">
        <f>SUM(C44:C46)</f>
        <v>551583</v>
      </c>
      <c r="D47" s="1669">
        <f t="shared" ref="D47:K47" si="4">SUM(D44:D46)</f>
        <v>42924</v>
      </c>
      <c r="E47" s="1669">
        <f t="shared" si="4"/>
        <v>592375</v>
      </c>
      <c r="F47" s="1669">
        <f t="shared" si="4"/>
        <v>34333</v>
      </c>
      <c r="G47" s="1669">
        <f t="shared" si="4"/>
        <v>12777</v>
      </c>
      <c r="H47" s="1669">
        <f t="shared" si="4"/>
        <v>0</v>
      </c>
      <c r="I47" s="1669">
        <f t="shared" si="4"/>
        <v>0</v>
      </c>
      <c r="J47" s="1669">
        <f t="shared" si="4"/>
        <v>0</v>
      </c>
      <c r="K47" s="1669">
        <f t="shared" si="4"/>
        <v>1233992</v>
      </c>
      <c r="L47" s="1669">
        <f>SUM(L44:L46)</f>
        <v>1829321</v>
      </c>
    </row>
    <row r="48" spans="1:14" ht="15.75" customHeight="1" thickTop="1">
      <c r="A48" s="624" t="s">
        <v>610</v>
      </c>
      <c r="B48" s="625"/>
      <c r="C48" s="626"/>
      <c r="D48" s="626"/>
      <c r="E48" s="626"/>
      <c r="F48" s="626"/>
      <c r="G48" s="626"/>
      <c r="H48" s="626"/>
      <c r="I48" s="616"/>
      <c r="J48" s="616"/>
      <c r="K48" s="626"/>
      <c r="L48" s="626"/>
    </row>
    <row r="49" spans="1:14">
      <c r="A49" s="1503" t="s">
        <v>817</v>
      </c>
      <c r="B49" s="614">
        <v>2310</v>
      </c>
      <c r="C49" s="481">
        <v>71803</v>
      </c>
      <c r="D49" s="481">
        <f>6340-2468</f>
        <v>3872</v>
      </c>
      <c r="E49" s="481">
        <v>246545</v>
      </c>
      <c r="F49" s="481">
        <v>13601</v>
      </c>
      <c r="G49" s="481"/>
      <c r="H49" s="481">
        <v>18323</v>
      </c>
      <c r="I49" s="467"/>
      <c r="J49" s="467"/>
      <c r="K49" s="1671">
        <f>SUM(C49:J49)</f>
        <v>354144</v>
      </c>
      <c r="L49" s="481">
        <v>308474</v>
      </c>
    </row>
    <row r="50" spans="1:14">
      <c r="A50" s="1503" t="s">
        <v>818</v>
      </c>
      <c r="B50" s="614">
        <v>2320</v>
      </c>
      <c r="C50" s="466">
        <v>149505</v>
      </c>
      <c r="D50" s="466">
        <v>45708</v>
      </c>
      <c r="E50" s="466">
        <v>2664</v>
      </c>
      <c r="F50" s="466">
        <v>747</v>
      </c>
      <c r="G50" s="466">
        <v>3077</v>
      </c>
      <c r="H50" s="466">
        <v>2609</v>
      </c>
      <c r="I50" s="467"/>
      <c r="J50" s="467"/>
      <c r="K50" s="1671">
        <f>SUM(C50:J50)</f>
        <v>204310</v>
      </c>
      <c r="L50" s="466">
        <v>207315</v>
      </c>
    </row>
    <row r="51" spans="1:14">
      <c r="A51" s="1503" t="s">
        <v>42</v>
      </c>
      <c r="B51" s="614">
        <v>2330</v>
      </c>
      <c r="C51" s="466">
        <v>196830</v>
      </c>
      <c r="D51" s="466">
        <v>30941</v>
      </c>
      <c r="E51" s="466"/>
      <c r="F51" s="466">
        <v>704</v>
      </c>
      <c r="G51" s="466"/>
      <c r="H51" s="466"/>
      <c r="I51" s="467"/>
      <c r="J51" s="467"/>
      <c r="K51" s="1671">
        <f>SUM(C51:J51)</f>
        <v>228475</v>
      </c>
      <c r="L51" s="466">
        <v>231937</v>
      </c>
    </row>
    <row r="52" spans="1:14" ht="22.5">
      <c r="A52" s="1504" t="s">
        <v>298</v>
      </c>
      <c r="B52" s="627" t="s">
        <v>366</v>
      </c>
      <c r="C52" s="474"/>
      <c r="D52" s="474"/>
      <c r="E52" s="474"/>
      <c r="F52" s="474"/>
      <c r="G52" s="474"/>
      <c r="H52" s="474"/>
      <c r="I52" s="474"/>
      <c r="J52" s="474"/>
      <c r="K52" s="1671">
        <f>SUM(C52:J52)</f>
        <v>0</v>
      </c>
      <c r="L52" s="474">
        <v>0</v>
      </c>
    </row>
    <row r="53" spans="1:14" ht="13.15" customHeight="1" thickBot="1">
      <c r="A53" s="1667" t="s">
        <v>717</v>
      </c>
      <c r="B53" s="1668" t="s">
        <v>33</v>
      </c>
      <c r="C53" s="1669">
        <f>SUM(C49:C52)</f>
        <v>418138</v>
      </c>
      <c r="D53" s="1669">
        <f t="shared" ref="D53:L53" si="5">SUM(D49:D52)</f>
        <v>80521</v>
      </c>
      <c r="E53" s="1669">
        <f t="shared" si="5"/>
        <v>249209</v>
      </c>
      <c r="F53" s="1669">
        <f t="shared" si="5"/>
        <v>15052</v>
      </c>
      <c r="G53" s="1669">
        <f t="shared" si="5"/>
        <v>3077</v>
      </c>
      <c r="H53" s="1669">
        <f t="shared" si="5"/>
        <v>20932</v>
      </c>
      <c r="I53" s="1669">
        <f t="shared" si="5"/>
        <v>0</v>
      </c>
      <c r="J53" s="1669">
        <f t="shared" si="5"/>
        <v>0</v>
      </c>
      <c r="K53" s="1669">
        <f t="shared" si="5"/>
        <v>786929</v>
      </c>
      <c r="L53" s="1669">
        <f t="shared" si="5"/>
        <v>747726</v>
      </c>
    </row>
    <row r="54" spans="1:14" ht="15.75" customHeight="1" thickTop="1">
      <c r="A54" s="624" t="s">
        <v>611</v>
      </c>
      <c r="B54" s="625"/>
      <c r="C54" s="626"/>
      <c r="D54" s="626"/>
      <c r="E54" s="626"/>
      <c r="F54" s="626"/>
      <c r="G54" s="626"/>
      <c r="H54" s="626"/>
      <c r="I54" s="616"/>
      <c r="J54" s="616"/>
      <c r="K54" s="626"/>
      <c r="L54" s="626"/>
    </row>
    <row r="55" spans="1:14">
      <c r="A55" s="1503" t="s">
        <v>1067</v>
      </c>
      <c r="B55" s="614">
        <v>2410</v>
      </c>
      <c r="C55" s="481">
        <v>1235947</v>
      </c>
      <c r="D55" s="481">
        <f>210488-6261</f>
        <v>204227</v>
      </c>
      <c r="E55" s="481">
        <v>3139</v>
      </c>
      <c r="F55" s="481">
        <v>10364</v>
      </c>
      <c r="G55" s="481">
        <v>5600</v>
      </c>
      <c r="H55" s="481">
        <v>2646</v>
      </c>
      <c r="I55" s="467"/>
      <c r="J55" s="467"/>
      <c r="K55" s="1671">
        <f>SUM(C55:J55)</f>
        <v>1461923</v>
      </c>
      <c r="L55" s="481">
        <v>1528175</v>
      </c>
    </row>
    <row r="56" spans="1:14" ht="13.15" customHeight="1">
      <c r="A56" s="1507" t="s">
        <v>376</v>
      </c>
      <c r="B56" s="628">
        <v>2490</v>
      </c>
      <c r="C56" s="466"/>
      <c r="D56" s="466"/>
      <c r="E56" s="466"/>
      <c r="F56" s="466"/>
      <c r="G56" s="466"/>
      <c r="H56" s="466"/>
      <c r="I56" s="467"/>
      <c r="J56" s="467"/>
      <c r="K56" s="1671">
        <f>SUM(C56:J56)</f>
        <v>0</v>
      </c>
      <c r="L56" s="466">
        <v>0</v>
      </c>
    </row>
    <row r="57" spans="1:14" s="343" customFormat="1" ht="13.15" customHeight="1" thickBot="1">
      <c r="A57" s="1667" t="s">
        <v>263</v>
      </c>
      <c r="B57" s="1672" t="s">
        <v>34</v>
      </c>
      <c r="C57" s="1673">
        <f>SUM(C55:C56)</f>
        <v>1235947</v>
      </c>
      <c r="D57" s="1673">
        <f t="shared" ref="D57:K57" si="6">SUM(D55:D56)</f>
        <v>204227</v>
      </c>
      <c r="E57" s="1673">
        <f t="shared" si="6"/>
        <v>3139</v>
      </c>
      <c r="F57" s="1673">
        <f t="shared" si="6"/>
        <v>10364</v>
      </c>
      <c r="G57" s="1673">
        <f t="shared" si="6"/>
        <v>5600</v>
      </c>
      <c r="H57" s="1673">
        <f t="shared" si="6"/>
        <v>2646</v>
      </c>
      <c r="I57" s="1673">
        <f t="shared" si="6"/>
        <v>0</v>
      </c>
      <c r="J57" s="1673">
        <f t="shared" si="6"/>
        <v>0</v>
      </c>
      <c r="K57" s="1673">
        <f t="shared" si="6"/>
        <v>1461923</v>
      </c>
      <c r="L57" s="1669">
        <f>SUM(L55:L56)</f>
        <v>1528175</v>
      </c>
      <c r="M57" s="609"/>
      <c r="N57" s="609"/>
    </row>
    <row r="58" spans="1:14" s="343" customFormat="1" ht="15.75" customHeight="1" thickTop="1">
      <c r="A58" s="624" t="s">
        <v>612</v>
      </c>
      <c r="B58" s="625"/>
      <c r="C58" s="629"/>
      <c r="D58" s="626"/>
      <c r="E58" s="626"/>
      <c r="F58" s="626"/>
      <c r="G58" s="626"/>
      <c r="H58" s="626"/>
      <c r="I58" s="616"/>
      <c r="J58" s="616"/>
      <c r="K58" s="626"/>
      <c r="L58" s="626"/>
      <c r="M58" s="609"/>
      <c r="N58" s="609"/>
    </row>
    <row r="59" spans="1:14" s="343" customFormat="1">
      <c r="A59" s="1503" t="s">
        <v>1068</v>
      </c>
      <c r="B59" s="614">
        <v>2510</v>
      </c>
      <c r="C59" s="481">
        <v>128688</v>
      </c>
      <c r="D59" s="481">
        <f>10575-3159</f>
        <v>7416</v>
      </c>
      <c r="E59" s="481">
        <v>1653</v>
      </c>
      <c r="F59" s="481">
        <v>373</v>
      </c>
      <c r="G59" s="481"/>
      <c r="H59" s="481"/>
      <c r="I59" s="467"/>
      <c r="J59" s="467"/>
      <c r="K59" s="1671">
        <f t="shared" ref="K59:K64" si="7">SUM(C59:J59)</f>
        <v>138130</v>
      </c>
      <c r="L59" s="481">
        <v>144078</v>
      </c>
      <c r="M59" s="609"/>
      <c r="N59" s="609"/>
    </row>
    <row r="60" spans="1:14" s="343" customFormat="1">
      <c r="A60" s="1503" t="s">
        <v>463</v>
      </c>
      <c r="B60" s="614">
        <v>2520</v>
      </c>
      <c r="C60" s="466">
        <v>115812</v>
      </c>
      <c r="D60" s="466">
        <v>14284</v>
      </c>
      <c r="E60" s="466"/>
      <c r="F60" s="466">
        <v>685</v>
      </c>
      <c r="G60" s="466"/>
      <c r="H60" s="466"/>
      <c r="I60" s="467"/>
      <c r="J60" s="467"/>
      <c r="K60" s="1671">
        <f t="shared" si="7"/>
        <v>130781</v>
      </c>
      <c r="L60" s="466">
        <v>132002</v>
      </c>
      <c r="M60" s="609"/>
      <c r="N60" s="609"/>
    </row>
    <row r="61" spans="1:14" s="343" customFormat="1">
      <c r="A61" s="1503" t="s">
        <v>197</v>
      </c>
      <c r="B61" s="614">
        <v>2540</v>
      </c>
      <c r="C61" s="466"/>
      <c r="D61" s="466"/>
      <c r="E61" s="466"/>
      <c r="F61" s="466"/>
      <c r="G61" s="466">
        <v>27914</v>
      </c>
      <c r="H61" s="466"/>
      <c r="I61" s="467"/>
      <c r="J61" s="467"/>
      <c r="K61" s="1671">
        <f t="shared" si="7"/>
        <v>27914</v>
      </c>
      <c r="L61" s="466">
        <v>27914</v>
      </c>
      <c r="M61" s="609"/>
      <c r="N61" s="609"/>
    </row>
    <row r="62" spans="1:14" s="343" customFormat="1">
      <c r="A62" s="1503" t="s">
        <v>953</v>
      </c>
      <c r="B62" s="614">
        <v>2550</v>
      </c>
      <c r="C62" s="466">
        <v>18968</v>
      </c>
      <c r="D62" s="466">
        <v>1</v>
      </c>
      <c r="E62" s="466">
        <v>17915</v>
      </c>
      <c r="F62" s="466"/>
      <c r="G62" s="466"/>
      <c r="H62" s="466"/>
      <c r="I62" s="467"/>
      <c r="J62" s="467"/>
      <c r="K62" s="1671">
        <f t="shared" si="7"/>
        <v>36884</v>
      </c>
      <c r="L62" s="466">
        <v>55133</v>
      </c>
      <c r="M62" s="609"/>
      <c r="N62" s="609"/>
    </row>
    <row r="63" spans="1:14" s="609" customFormat="1">
      <c r="A63" s="1503" t="s">
        <v>100</v>
      </c>
      <c r="B63" s="614">
        <v>2560</v>
      </c>
      <c r="C63" s="466">
        <v>610499</v>
      </c>
      <c r="D63" s="466">
        <v>81337</v>
      </c>
      <c r="E63" s="466">
        <v>12443</v>
      </c>
      <c r="F63" s="466">
        <v>865141</v>
      </c>
      <c r="G63" s="466">
        <v>13686</v>
      </c>
      <c r="H63" s="466"/>
      <c r="I63" s="467"/>
      <c r="J63" s="467"/>
      <c r="K63" s="1671">
        <f t="shared" si="7"/>
        <v>1583106</v>
      </c>
      <c r="L63" s="466">
        <v>1494650</v>
      </c>
    </row>
    <row r="64" spans="1:14" s="609" customFormat="1">
      <c r="A64" s="1508" t="s">
        <v>101</v>
      </c>
      <c r="B64" s="630">
        <v>2570</v>
      </c>
      <c r="C64" s="481">
        <v>22701</v>
      </c>
      <c r="D64" s="481"/>
      <c r="E64" s="481">
        <v>116228</v>
      </c>
      <c r="F64" s="481">
        <v>81471</v>
      </c>
      <c r="G64" s="481"/>
      <c r="H64" s="481"/>
      <c r="I64" s="467"/>
      <c r="J64" s="467"/>
      <c r="K64" s="1671">
        <f t="shared" si="7"/>
        <v>220400</v>
      </c>
      <c r="L64" s="481">
        <v>272432</v>
      </c>
    </row>
    <row r="65" spans="1:14" s="343" customFormat="1" ht="13.15" customHeight="1" thickBot="1">
      <c r="A65" s="1667" t="s">
        <v>719</v>
      </c>
      <c r="B65" s="1668" t="s">
        <v>35</v>
      </c>
      <c r="C65" s="1669">
        <f>SUM(C59:C64)</f>
        <v>896668</v>
      </c>
      <c r="D65" s="1669">
        <f t="shared" ref="D65:L65" si="8">SUM(D59:D64)</f>
        <v>103038</v>
      </c>
      <c r="E65" s="1669">
        <f t="shared" si="8"/>
        <v>148239</v>
      </c>
      <c r="F65" s="1669">
        <f t="shared" si="8"/>
        <v>947670</v>
      </c>
      <c r="G65" s="1669">
        <f t="shared" si="8"/>
        <v>41600</v>
      </c>
      <c r="H65" s="1669">
        <f t="shared" si="8"/>
        <v>0</v>
      </c>
      <c r="I65" s="1669">
        <f t="shared" si="8"/>
        <v>0</v>
      </c>
      <c r="J65" s="1669">
        <f t="shared" si="8"/>
        <v>0</v>
      </c>
      <c r="K65" s="1669">
        <f t="shared" si="8"/>
        <v>2137215</v>
      </c>
      <c r="L65" s="1669">
        <f t="shared" si="8"/>
        <v>2126209</v>
      </c>
      <c r="M65" s="609"/>
      <c r="N65" s="609"/>
    </row>
    <row r="66" spans="1:14" s="343" customFormat="1" ht="15.75" customHeight="1" thickTop="1">
      <c r="A66" s="624" t="s">
        <v>613</v>
      </c>
      <c r="B66" s="631"/>
      <c r="C66" s="616"/>
      <c r="D66" s="616"/>
      <c r="E66" s="616"/>
      <c r="F66" s="616"/>
      <c r="G66" s="616"/>
      <c r="H66" s="616"/>
      <c r="I66" s="616"/>
      <c r="J66" s="616"/>
      <c r="K66" s="626"/>
      <c r="L66" s="626"/>
      <c r="M66" s="609"/>
      <c r="N66" s="609"/>
    </row>
    <row r="67" spans="1:14" s="343" customFormat="1">
      <c r="A67" s="1503" t="s">
        <v>1060</v>
      </c>
      <c r="B67" s="614">
        <v>2610</v>
      </c>
      <c r="C67" s="466">
        <v>183151</v>
      </c>
      <c r="D67" s="466">
        <v>25288</v>
      </c>
      <c r="E67" s="466">
        <v>4573</v>
      </c>
      <c r="F67" s="466">
        <v>4565</v>
      </c>
      <c r="G67" s="466"/>
      <c r="H67" s="466">
        <v>138</v>
      </c>
      <c r="I67" s="467"/>
      <c r="J67" s="467"/>
      <c r="K67" s="1671">
        <f>SUM(C67:J67)</f>
        <v>217715</v>
      </c>
      <c r="L67" s="481">
        <v>219903</v>
      </c>
      <c r="M67" s="609"/>
      <c r="N67" s="609"/>
    </row>
    <row r="68" spans="1:14" s="343" customFormat="1">
      <c r="A68" s="1503" t="s">
        <v>607</v>
      </c>
      <c r="B68" s="614">
        <v>2620</v>
      </c>
      <c r="C68" s="466">
        <v>450</v>
      </c>
      <c r="D68" s="466">
        <v>57</v>
      </c>
      <c r="E68" s="466"/>
      <c r="F68" s="466"/>
      <c r="G68" s="466"/>
      <c r="H68" s="466"/>
      <c r="I68" s="467"/>
      <c r="J68" s="467"/>
      <c r="K68" s="1671">
        <f>SUM(C68:J68)</f>
        <v>507</v>
      </c>
      <c r="L68" s="466">
        <v>844</v>
      </c>
      <c r="M68" s="609"/>
      <c r="N68" s="609"/>
    </row>
    <row r="69" spans="1:14" s="343" customFormat="1">
      <c r="A69" s="1503" t="s">
        <v>1061</v>
      </c>
      <c r="B69" s="614">
        <v>2630</v>
      </c>
      <c r="C69" s="466">
        <v>435978</v>
      </c>
      <c r="D69" s="466">
        <v>58601</v>
      </c>
      <c r="E69" s="466">
        <v>157265</v>
      </c>
      <c r="F69" s="466">
        <v>29033</v>
      </c>
      <c r="G69" s="466">
        <v>158630</v>
      </c>
      <c r="H69" s="466">
        <v>366</v>
      </c>
      <c r="I69" s="467">
        <v>58024</v>
      </c>
      <c r="J69" s="467"/>
      <c r="K69" s="1671">
        <f>SUM(C69:J69)</f>
        <v>897897</v>
      </c>
      <c r="L69" s="466">
        <v>1128223</v>
      </c>
      <c r="M69" s="609"/>
      <c r="N69" s="609"/>
    </row>
    <row r="70" spans="1:14" s="343" customFormat="1">
      <c r="A70" s="1503" t="s">
        <v>403</v>
      </c>
      <c r="B70" s="614">
        <v>2640</v>
      </c>
      <c r="C70" s="466">
        <v>128000</v>
      </c>
      <c r="D70" s="466">
        <v>10430</v>
      </c>
      <c r="E70" s="466">
        <v>1697</v>
      </c>
      <c r="F70" s="466">
        <v>1076</v>
      </c>
      <c r="G70" s="466"/>
      <c r="H70" s="466">
        <v>345</v>
      </c>
      <c r="I70" s="467"/>
      <c r="J70" s="467"/>
      <c r="K70" s="1671">
        <f>SUM(C70:J70)</f>
        <v>141548</v>
      </c>
      <c r="L70" s="466">
        <v>142909</v>
      </c>
      <c r="M70" s="609"/>
      <c r="N70" s="609"/>
    </row>
    <row r="71" spans="1:14" s="343" customFormat="1">
      <c r="A71" s="1503" t="s">
        <v>404</v>
      </c>
      <c r="B71" s="614">
        <v>2660</v>
      </c>
      <c r="C71" s="466"/>
      <c r="D71" s="466"/>
      <c r="E71" s="466"/>
      <c r="F71" s="466"/>
      <c r="G71" s="466"/>
      <c r="H71" s="466"/>
      <c r="I71" s="467"/>
      <c r="J71" s="467"/>
      <c r="K71" s="1671">
        <f>SUM(C71:J71)</f>
        <v>0</v>
      </c>
      <c r="L71" s="466">
        <v>0</v>
      </c>
      <c r="M71" s="609"/>
      <c r="N71" s="609"/>
    </row>
    <row r="72" spans="1:14" s="343" customFormat="1" ht="13.15" customHeight="1" thickBot="1">
      <c r="A72" s="1667" t="s">
        <v>37</v>
      </c>
      <c r="B72" s="1674" t="s">
        <v>36</v>
      </c>
      <c r="C72" s="1669">
        <f>SUM(C67:C71)</f>
        <v>747579</v>
      </c>
      <c r="D72" s="1669">
        <f t="shared" ref="D72:K72" si="9">SUM(D67:D71)</f>
        <v>94376</v>
      </c>
      <c r="E72" s="1669">
        <f t="shared" si="9"/>
        <v>163535</v>
      </c>
      <c r="F72" s="1669">
        <f t="shared" si="9"/>
        <v>34674</v>
      </c>
      <c r="G72" s="1669">
        <f t="shared" si="9"/>
        <v>158630</v>
      </c>
      <c r="H72" s="1669">
        <f t="shared" si="9"/>
        <v>849</v>
      </c>
      <c r="I72" s="1669">
        <f t="shared" si="9"/>
        <v>58024</v>
      </c>
      <c r="J72" s="1669">
        <f t="shared" si="9"/>
        <v>0</v>
      </c>
      <c r="K72" s="1669">
        <f t="shared" si="9"/>
        <v>1257667</v>
      </c>
      <c r="L72" s="1669">
        <f>SUM(L67:L71)</f>
        <v>1491879</v>
      </c>
      <c r="M72" s="609"/>
      <c r="N72" s="609"/>
    </row>
    <row r="73" spans="1:14" s="343" customFormat="1" ht="14.25" thickTop="1" thickBot="1">
      <c r="A73" s="1509" t="s">
        <v>980</v>
      </c>
      <c r="B73" s="632" t="s">
        <v>574</v>
      </c>
      <c r="C73" s="573"/>
      <c r="D73" s="573"/>
      <c r="E73" s="573"/>
      <c r="F73" s="573"/>
      <c r="G73" s="573"/>
      <c r="H73" s="573"/>
      <c r="I73" s="531"/>
      <c r="J73" s="531"/>
      <c r="K73" s="1669">
        <f>SUM(C73:J73)</f>
        <v>0</v>
      </c>
      <c r="L73" s="576">
        <v>600</v>
      </c>
      <c r="M73" s="609"/>
      <c r="N73" s="609"/>
    </row>
    <row r="74" spans="1:14" ht="13.15" customHeight="1" thickTop="1" thickBot="1">
      <c r="A74" s="1667" t="s">
        <v>811</v>
      </c>
      <c r="B74" s="1675">
        <v>2000</v>
      </c>
      <c r="C74" s="1676">
        <f>SUM(C42,C47,C53,C57,C65,C72,C73)</f>
        <v>5537613</v>
      </c>
      <c r="D74" s="1676">
        <f t="shared" ref="D74:K74" si="10">SUM(D42,D47,D53,D57,D65,D72,D73)</f>
        <v>691479</v>
      </c>
      <c r="E74" s="1676">
        <f t="shared" si="10"/>
        <v>1338962</v>
      </c>
      <c r="F74" s="1676">
        <f t="shared" si="10"/>
        <v>1048617</v>
      </c>
      <c r="G74" s="1676">
        <f t="shared" si="10"/>
        <v>221684</v>
      </c>
      <c r="H74" s="1676">
        <f t="shared" si="10"/>
        <v>24427</v>
      </c>
      <c r="I74" s="1676">
        <f t="shared" si="10"/>
        <v>58024</v>
      </c>
      <c r="J74" s="1676">
        <f t="shared" si="10"/>
        <v>0</v>
      </c>
      <c r="K74" s="1676">
        <f t="shared" si="10"/>
        <v>8920806</v>
      </c>
      <c r="L74" s="1676">
        <f>SUM(L42,L47,L53,L57,L65,L72,L73)</f>
        <v>9855664</v>
      </c>
    </row>
    <row r="75" spans="1:14" s="259" customFormat="1" ht="15.75" customHeight="1" thickTop="1" thickBot="1">
      <c r="A75" s="1609" t="s">
        <v>47</v>
      </c>
      <c r="B75" s="1610" t="s">
        <v>575</v>
      </c>
      <c r="C75" s="573">
        <f>27048+6354+15113</f>
        <v>48515</v>
      </c>
      <c r="D75" s="573">
        <f>97+1473+301-56</f>
        <v>1815</v>
      </c>
      <c r="E75" s="573">
        <f>5285+10729+8396</f>
        <v>24410</v>
      </c>
      <c r="F75" s="573">
        <f>979+0+2748</f>
        <v>3727</v>
      </c>
      <c r="G75" s="573"/>
      <c r="H75" s="573">
        <v>4500</v>
      </c>
      <c r="I75" s="531"/>
      <c r="J75" s="531"/>
      <c r="K75" s="1669">
        <f>SUM(C75:J75)</f>
        <v>82967</v>
      </c>
      <c r="L75" s="576">
        <v>139756</v>
      </c>
      <c r="M75" s="613"/>
      <c r="N75" s="613"/>
    </row>
    <row r="76" spans="1:14" s="633" customFormat="1" ht="15.75" customHeight="1" thickTop="1">
      <c r="A76" s="1611" t="s">
        <v>365</v>
      </c>
      <c r="B76" s="1608" t="s">
        <v>860</v>
      </c>
      <c r="C76" s="618"/>
      <c r="D76" s="618"/>
      <c r="E76" s="616"/>
      <c r="F76" s="618"/>
      <c r="G76" s="618"/>
      <c r="H76" s="616"/>
      <c r="I76" s="616"/>
      <c r="J76" s="616"/>
      <c r="K76" s="616"/>
      <c r="L76" s="616"/>
      <c r="M76" s="184"/>
      <c r="N76" s="184"/>
    </row>
    <row r="77" spans="1:14" s="259" customFormat="1" ht="15.75" customHeight="1">
      <c r="A77" s="621" t="s">
        <v>614</v>
      </c>
      <c r="B77" s="622"/>
      <c r="C77" s="616"/>
      <c r="D77" s="616"/>
      <c r="E77" s="623"/>
      <c r="F77" s="616"/>
      <c r="G77" s="616"/>
      <c r="H77" s="623"/>
      <c r="I77" s="616"/>
      <c r="J77" s="616"/>
      <c r="K77" s="623"/>
      <c r="L77" s="623"/>
      <c r="M77" s="613"/>
      <c r="N77" s="613"/>
    </row>
    <row r="78" spans="1:14">
      <c r="A78" s="1503" t="s">
        <v>496</v>
      </c>
      <c r="B78" s="614">
        <v>4110</v>
      </c>
      <c r="C78" s="616"/>
      <c r="D78" s="616"/>
      <c r="E78" s="481"/>
      <c r="F78" s="616"/>
      <c r="G78" s="616"/>
      <c r="H78" s="634">
        <v>7790</v>
      </c>
      <c r="I78" s="477"/>
      <c r="J78" s="477"/>
      <c r="K78" s="1670">
        <f t="shared" ref="K78:K83" si="11">SUM(C78:J78)</f>
        <v>7790</v>
      </c>
      <c r="L78" s="481">
        <v>18621</v>
      </c>
    </row>
    <row r="79" spans="1:14">
      <c r="A79" s="1503" t="s">
        <v>304</v>
      </c>
      <c r="B79" s="614">
        <v>4120</v>
      </c>
      <c r="C79" s="616"/>
      <c r="D79" s="616"/>
      <c r="E79" s="466"/>
      <c r="F79" s="616"/>
      <c r="G79" s="616"/>
      <c r="H79" s="466">
        <v>418857</v>
      </c>
      <c r="I79" s="477"/>
      <c r="J79" s="477"/>
      <c r="K79" s="1670">
        <f t="shared" si="11"/>
        <v>418857</v>
      </c>
      <c r="L79" s="466">
        <v>359341</v>
      </c>
    </row>
    <row r="80" spans="1:14">
      <c r="A80" s="1503" t="s">
        <v>305</v>
      </c>
      <c r="B80" s="614">
        <v>4130</v>
      </c>
      <c r="C80" s="616"/>
      <c r="D80" s="616"/>
      <c r="E80" s="466"/>
      <c r="F80" s="616"/>
      <c r="G80" s="616"/>
      <c r="H80" s="466"/>
      <c r="I80" s="477"/>
      <c r="J80" s="477"/>
      <c r="K80" s="1670">
        <f t="shared" si="11"/>
        <v>0</v>
      </c>
      <c r="L80" s="466">
        <v>0</v>
      </c>
    </row>
    <row r="81" spans="1:12">
      <c r="A81" s="1503" t="s">
        <v>697</v>
      </c>
      <c r="B81" s="614">
        <v>4140</v>
      </c>
      <c r="C81" s="616"/>
      <c r="D81" s="616"/>
      <c r="E81" s="466"/>
      <c r="F81" s="616"/>
      <c r="G81" s="616"/>
      <c r="H81" s="466"/>
      <c r="I81" s="477"/>
      <c r="J81" s="477"/>
      <c r="K81" s="1670">
        <f t="shared" si="11"/>
        <v>0</v>
      </c>
      <c r="L81" s="466">
        <v>0</v>
      </c>
    </row>
    <row r="82" spans="1:12">
      <c r="A82" s="1503" t="s">
        <v>86</v>
      </c>
      <c r="B82" s="614">
        <v>4170</v>
      </c>
      <c r="C82" s="616"/>
      <c r="D82" s="616"/>
      <c r="E82" s="466"/>
      <c r="F82" s="616"/>
      <c r="G82" s="616"/>
      <c r="H82" s="466"/>
      <c r="I82" s="477"/>
      <c r="J82" s="477"/>
      <c r="K82" s="1670">
        <f t="shared" si="11"/>
        <v>0</v>
      </c>
      <c r="L82" s="466">
        <v>0</v>
      </c>
    </row>
    <row r="83" spans="1:12">
      <c r="A83" s="1507" t="s">
        <v>698</v>
      </c>
      <c r="B83" s="628">
        <v>4190</v>
      </c>
      <c r="C83" s="616"/>
      <c r="D83" s="616"/>
      <c r="E83" s="466"/>
      <c r="F83" s="616"/>
      <c r="G83" s="616"/>
      <c r="H83" s="466"/>
      <c r="I83" s="477"/>
      <c r="J83" s="477"/>
      <c r="K83" s="1670">
        <f t="shared" si="11"/>
        <v>0</v>
      </c>
      <c r="L83" s="466">
        <v>1</v>
      </c>
    </row>
    <row r="84" spans="1:12" ht="13.5" thickBot="1">
      <c r="A84" s="1667" t="s">
        <v>1485</v>
      </c>
      <c r="B84" s="1677">
        <v>4100</v>
      </c>
      <c r="C84" s="616"/>
      <c r="D84" s="616"/>
      <c r="E84" s="1669">
        <f>SUM(E78:E83)</f>
        <v>0</v>
      </c>
      <c r="F84" s="616"/>
      <c r="G84" s="616"/>
      <c r="H84" s="1669">
        <f>SUM(H78:H83)</f>
        <v>426647</v>
      </c>
      <c r="I84" s="477"/>
      <c r="J84" s="477"/>
      <c r="K84" s="1669">
        <f>SUM(K78:K83)</f>
        <v>426647</v>
      </c>
      <c r="L84" s="1669">
        <f>SUM(L78:L83)</f>
        <v>377963</v>
      </c>
    </row>
    <row r="85" spans="1:12" ht="13.15" customHeight="1" thickTop="1" thickBot="1">
      <c r="A85" s="1510" t="s">
        <v>255</v>
      </c>
      <c r="B85" s="635">
        <v>4210</v>
      </c>
      <c r="C85" s="616"/>
      <c r="D85" s="616"/>
      <c r="E85" s="636"/>
      <c r="F85" s="616"/>
      <c r="G85" s="616"/>
      <c r="H85" s="535"/>
      <c r="I85" s="477"/>
      <c r="J85" s="477"/>
      <c r="K85" s="1676">
        <f>H85</f>
        <v>0</v>
      </c>
      <c r="L85" s="530">
        <v>0</v>
      </c>
    </row>
    <row r="86" spans="1:12" ht="13.15" customHeight="1" thickTop="1" thickBot="1">
      <c r="A86" s="1511" t="s">
        <v>699</v>
      </c>
      <c r="B86" s="637">
        <v>4220</v>
      </c>
      <c r="C86" s="616"/>
      <c r="D86" s="616"/>
      <c r="E86" s="638"/>
      <c r="F86" s="616"/>
      <c r="G86" s="616"/>
      <c r="H86" s="467">
        <v>998311</v>
      </c>
      <c r="I86" s="477"/>
      <c r="J86" s="477"/>
      <c r="K86" s="1676">
        <f t="shared" ref="K86:K98" si="12">H86</f>
        <v>998311</v>
      </c>
      <c r="L86" s="530">
        <v>933560</v>
      </c>
    </row>
    <row r="87" spans="1:12" ht="14.25" thickTop="1" thickBot="1">
      <c r="A87" s="1512" t="s">
        <v>700</v>
      </c>
      <c r="B87" s="639">
        <v>4230</v>
      </c>
      <c r="C87" s="616"/>
      <c r="D87" s="616"/>
      <c r="E87" s="638"/>
      <c r="F87" s="616"/>
      <c r="G87" s="616"/>
      <c r="H87" s="467"/>
      <c r="I87" s="477"/>
      <c r="J87" s="477"/>
      <c r="K87" s="1676">
        <f t="shared" si="12"/>
        <v>0</v>
      </c>
      <c r="L87" s="530">
        <v>0</v>
      </c>
    </row>
    <row r="88" spans="1:12" ht="13.15" customHeight="1" thickTop="1" thickBot="1">
      <c r="A88" s="1512" t="s">
        <v>765</v>
      </c>
      <c r="B88" s="639">
        <v>4240</v>
      </c>
      <c r="C88" s="616"/>
      <c r="D88" s="616"/>
      <c r="E88" s="638"/>
      <c r="F88" s="616"/>
      <c r="G88" s="616"/>
      <c r="H88" s="467"/>
      <c r="I88" s="477"/>
      <c r="J88" s="477"/>
      <c r="K88" s="1676">
        <f t="shared" si="12"/>
        <v>0</v>
      </c>
      <c r="L88" s="530">
        <v>0</v>
      </c>
    </row>
    <row r="89" spans="1:12" ht="13.15" customHeight="1" thickTop="1" thickBot="1">
      <c r="A89" s="1512" t="s">
        <v>701</v>
      </c>
      <c r="B89" s="639">
        <v>4270</v>
      </c>
      <c r="C89" s="616"/>
      <c r="D89" s="616"/>
      <c r="E89" s="638"/>
      <c r="F89" s="616"/>
      <c r="G89" s="616"/>
      <c r="H89" s="467"/>
      <c r="I89" s="477"/>
      <c r="J89" s="477"/>
      <c r="K89" s="1676">
        <f t="shared" si="12"/>
        <v>0</v>
      </c>
      <c r="L89" s="530">
        <v>0</v>
      </c>
    </row>
    <row r="90" spans="1:12" ht="13.15" customHeight="1" thickTop="1" thickBot="1">
      <c r="A90" s="1512" t="s">
        <v>686</v>
      </c>
      <c r="B90" s="639">
        <v>4280</v>
      </c>
      <c r="C90" s="616"/>
      <c r="D90" s="616"/>
      <c r="E90" s="638"/>
      <c r="F90" s="616"/>
      <c r="G90" s="616"/>
      <c r="H90" s="467"/>
      <c r="I90" s="477"/>
      <c r="J90" s="477"/>
      <c r="K90" s="1676">
        <f t="shared" si="12"/>
        <v>0</v>
      </c>
      <c r="L90" s="530">
        <v>0</v>
      </c>
    </row>
    <row r="91" spans="1:12" ht="13.15" customHeight="1" thickTop="1" thickBot="1">
      <c r="A91" s="1512" t="s">
        <v>687</v>
      </c>
      <c r="B91" s="639">
        <v>4290</v>
      </c>
      <c r="C91" s="616"/>
      <c r="D91" s="616"/>
      <c r="E91" s="638"/>
      <c r="F91" s="616"/>
      <c r="G91" s="616"/>
      <c r="H91" s="467"/>
      <c r="I91" s="477"/>
      <c r="J91" s="477"/>
      <c r="K91" s="1676">
        <f t="shared" si="12"/>
        <v>0</v>
      </c>
      <c r="L91" s="530">
        <v>0</v>
      </c>
    </row>
    <row r="92" spans="1:12" ht="14.25" thickTop="1" thickBot="1">
      <c r="A92" s="1679" t="s">
        <v>1560</v>
      </c>
      <c r="B92" s="1677">
        <v>4200</v>
      </c>
      <c r="C92" s="616"/>
      <c r="D92" s="616"/>
      <c r="E92" s="638"/>
      <c r="F92" s="616"/>
      <c r="G92" s="616"/>
      <c r="H92" s="1669">
        <f>SUM(H85:H91)</f>
        <v>998311</v>
      </c>
      <c r="I92" s="477"/>
      <c r="J92" s="477"/>
      <c r="K92" s="1676">
        <f t="shared" si="12"/>
        <v>998311</v>
      </c>
      <c r="L92" s="1669">
        <f>SUM(L85:L91)</f>
        <v>933560</v>
      </c>
    </row>
    <row r="93" spans="1:12" ht="14.25" thickTop="1" thickBot="1">
      <c r="A93" s="1511" t="s">
        <v>688</v>
      </c>
      <c r="B93" s="640">
        <v>4310</v>
      </c>
      <c r="C93" s="616"/>
      <c r="D93" s="616"/>
      <c r="E93" s="638"/>
      <c r="F93" s="616"/>
      <c r="G93" s="616"/>
      <c r="H93" s="641"/>
      <c r="I93" s="477"/>
      <c r="J93" s="477"/>
      <c r="K93" s="1676">
        <f t="shared" si="12"/>
        <v>0</v>
      </c>
      <c r="L93" s="532">
        <v>0</v>
      </c>
    </row>
    <row r="94" spans="1:12" ht="13.15" customHeight="1" thickTop="1" thickBot="1">
      <c r="A94" s="1512" t="s">
        <v>689</v>
      </c>
      <c r="B94" s="639">
        <v>4320</v>
      </c>
      <c r="C94" s="616"/>
      <c r="D94" s="616"/>
      <c r="E94" s="638"/>
      <c r="F94" s="616"/>
      <c r="G94" s="616"/>
      <c r="H94" s="467"/>
      <c r="I94" s="477"/>
      <c r="J94" s="477"/>
      <c r="K94" s="1676">
        <f t="shared" si="12"/>
        <v>0</v>
      </c>
      <c r="L94" s="530">
        <v>0</v>
      </c>
    </row>
    <row r="95" spans="1:12" ht="15" customHeight="1" thickTop="1" thickBot="1">
      <c r="A95" s="1512" t="s">
        <v>1488</v>
      </c>
      <c r="B95" s="639">
        <v>4330</v>
      </c>
      <c r="C95" s="616"/>
      <c r="D95" s="616"/>
      <c r="E95" s="638"/>
      <c r="F95" s="616"/>
      <c r="G95" s="616"/>
      <c r="H95" s="467"/>
      <c r="I95" s="477"/>
      <c r="J95" s="477"/>
      <c r="K95" s="1676">
        <f t="shared" si="12"/>
        <v>0</v>
      </c>
      <c r="L95" s="530">
        <v>0</v>
      </c>
    </row>
    <row r="96" spans="1:12" ht="14.25" thickTop="1" thickBot="1">
      <c r="A96" s="1512" t="s">
        <v>690</v>
      </c>
      <c r="B96" s="639">
        <v>4340</v>
      </c>
      <c r="C96" s="616"/>
      <c r="D96" s="616"/>
      <c r="E96" s="638"/>
      <c r="F96" s="616"/>
      <c r="G96" s="616"/>
      <c r="H96" s="467"/>
      <c r="I96" s="477"/>
      <c r="J96" s="477"/>
      <c r="K96" s="1676">
        <f t="shared" si="12"/>
        <v>0</v>
      </c>
      <c r="L96" s="530">
        <v>0</v>
      </c>
    </row>
    <row r="97" spans="1:14" ht="13.15" customHeight="1" thickTop="1" thickBot="1">
      <c r="A97" s="1512" t="s">
        <v>763</v>
      </c>
      <c r="B97" s="639">
        <v>4370</v>
      </c>
      <c r="C97" s="616"/>
      <c r="D97" s="616"/>
      <c r="E97" s="638"/>
      <c r="F97" s="616"/>
      <c r="G97" s="616"/>
      <c r="H97" s="467"/>
      <c r="I97" s="477"/>
      <c r="J97" s="477"/>
      <c r="K97" s="1676">
        <f t="shared" si="12"/>
        <v>0</v>
      </c>
      <c r="L97" s="530">
        <v>0</v>
      </c>
    </row>
    <row r="98" spans="1:14" ht="14.25" thickTop="1" thickBot="1">
      <c r="A98" s="1512" t="s">
        <v>764</v>
      </c>
      <c r="B98" s="639">
        <v>4380</v>
      </c>
      <c r="C98" s="616"/>
      <c r="D98" s="616"/>
      <c r="E98" s="642"/>
      <c r="F98" s="616"/>
      <c r="G98" s="616"/>
      <c r="H98" s="467"/>
      <c r="I98" s="477"/>
      <c r="J98" s="477"/>
      <c r="K98" s="1676">
        <f t="shared" si="12"/>
        <v>0</v>
      </c>
      <c r="L98" s="530">
        <v>0</v>
      </c>
    </row>
    <row r="99" spans="1:14" ht="14.25" thickTop="1" thickBot="1">
      <c r="A99" s="1512" t="s">
        <v>367</v>
      </c>
      <c r="B99" s="639">
        <v>4390</v>
      </c>
      <c r="C99" s="616"/>
      <c r="D99" s="616"/>
      <c r="E99" s="532"/>
      <c r="F99" s="616"/>
      <c r="G99" s="616"/>
      <c r="H99" s="467"/>
      <c r="I99" s="477"/>
      <c r="J99" s="477"/>
      <c r="K99" s="1676">
        <f>SUM(E99,H99)</f>
        <v>0</v>
      </c>
      <c r="L99" s="530">
        <v>0</v>
      </c>
    </row>
    <row r="100" spans="1:14" ht="14.25" thickTop="1" thickBot="1">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3.15" customHeight="1" thickTop="1" thickBot="1">
      <c r="A101" s="1509" t="s">
        <v>1489</v>
      </c>
      <c r="B101" s="643" t="s">
        <v>931</v>
      </c>
      <c r="C101" s="616"/>
      <c r="D101" s="616"/>
      <c r="E101" s="531"/>
      <c r="F101" s="616"/>
      <c r="G101" s="616"/>
      <c r="H101" s="531"/>
      <c r="I101" s="477"/>
      <c r="J101" s="477"/>
      <c r="K101" s="1678">
        <f>SUM(C101:J101)</f>
        <v>0</v>
      </c>
      <c r="L101" s="530">
        <v>0</v>
      </c>
    </row>
    <row r="102" spans="1:14" ht="13.15" customHeight="1" thickTop="1" thickBot="1">
      <c r="A102" s="1667" t="s">
        <v>1487</v>
      </c>
      <c r="B102" s="1677">
        <v>4000</v>
      </c>
      <c r="C102" s="616"/>
      <c r="D102" s="616"/>
      <c r="E102" s="1676">
        <f>SUM(E84,E92,E100,E101)</f>
        <v>0</v>
      </c>
      <c r="F102" s="616"/>
      <c r="G102" s="616"/>
      <c r="H102" s="1676">
        <f>SUM(H84,H92,H100,H101)</f>
        <v>1424958</v>
      </c>
      <c r="I102" s="477"/>
      <c r="J102" s="477"/>
      <c r="K102" s="1676">
        <f>SUM(K84,K92,K100,K101)</f>
        <v>1424958</v>
      </c>
      <c r="L102" s="1676">
        <f>SUM(L84,L92,L100,L101)</f>
        <v>1311523</v>
      </c>
    </row>
    <row r="103" spans="1:14" s="633" customFormat="1" ht="15.75" customHeight="1" thickTop="1">
      <c r="A103" s="1611" t="s">
        <v>513</v>
      </c>
      <c r="B103" s="1608" t="s">
        <v>492</v>
      </c>
      <c r="C103" s="616"/>
      <c r="D103" s="616"/>
      <c r="E103" s="616"/>
      <c r="F103" s="616"/>
      <c r="G103" s="616"/>
      <c r="H103" s="618"/>
      <c r="I103" s="468"/>
      <c r="J103" s="468"/>
      <c r="K103" s="618"/>
      <c r="L103" s="618"/>
      <c r="M103" s="184"/>
      <c r="N103" s="184"/>
    </row>
    <row r="104" spans="1:14" s="646" customFormat="1" ht="15.75" customHeight="1">
      <c r="A104" s="644" t="s">
        <v>615</v>
      </c>
      <c r="B104" s="645"/>
      <c r="C104" s="616"/>
      <c r="D104" s="616"/>
      <c r="E104" s="616"/>
      <c r="F104" s="616"/>
      <c r="G104" s="616"/>
      <c r="H104" s="623"/>
      <c r="I104" s="468"/>
      <c r="J104" s="468"/>
      <c r="K104" s="623"/>
      <c r="L104" s="623"/>
      <c r="M104" s="613"/>
      <c r="N104" s="613"/>
    </row>
    <row r="105" spans="1:14" s="597" customFormat="1">
      <c r="A105" s="1503" t="s">
        <v>87</v>
      </c>
      <c r="B105" s="614">
        <v>5110</v>
      </c>
      <c r="C105" s="616"/>
      <c r="D105" s="616"/>
      <c r="E105" s="616"/>
      <c r="F105" s="616"/>
      <c r="G105" s="616"/>
      <c r="H105" s="481"/>
      <c r="I105" s="468"/>
      <c r="J105" s="468"/>
      <c r="K105" s="1670">
        <f>H105</f>
        <v>0</v>
      </c>
      <c r="L105" s="481">
        <v>0</v>
      </c>
      <c r="M105" s="210"/>
      <c r="N105" s="210"/>
    </row>
    <row r="106" spans="1:14" s="597" customFormat="1">
      <c r="A106" s="1503" t="s">
        <v>88</v>
      </c>
      <c r="B106" s="614">
        <v>5120</v>
      </c>
      <c r="C106" s="616"/>
      <c r="D106" s="616"/>
      <c r="E106" s="616"/>
      <c r="F106" s="616"/>
      <c r="G106" s="616"/>
      <c r="H106" s="466"/>
      <c r="I106" s="468"/>
      <c r="J106" s="468"/>
      <c r="K106" s="1670">
        <f>H106</f>
        <v>0</v>
      </c>
      <c r="L106" s="466">
        <v>0</v>
      </c>
      <c r="M106" s="210"/>
      <c r="N106" s="210"/>
    </row>
    <row r="107" spans="1:14" s="597" customFormat="1" ht="13.15" customHeight="1">
      <c r="A107" s="1503" t="s">
        <v>1170</v>
      </c>
      <c r="B107" s="614">
        <v>5130</v>
      </c>
      <c r="C107" s="616"/>
      <c r="D107" s="616"/>
      <c r="E107" s="616"/>
      <c r="F107" s="616"/>
      <c r="G107" s="616"/>
      <c r="H107" s="466"/>
      <c r="I107" s="468"/>
      <c r="J107" s="468"/>
      <c r="K107" s="1670">
        <f>H107</f>
        <v>0</v>
      </c>
      <c r="L107" s="466">
        <v>0</v>
      </c>
      <c r="M107" s="210"/>
      <c r="N107" s="210"/>
    </row>
    <row r="108" spans="1:14" s="597" customFormat="1">
      <c r="A108" s="1503" t="s">
        <v>89</v>
      </c>
      <c r="B108" s="614" t="s">
        <v>589</v>
      </c>
      <c r="C108" s="616"/>
      <c r="D108" s="616"/>
      <c r="E108" s="616"/>
      <c r="F108" s="616"/>
      <c r="G108" s="616"/>
      <c r="H108" s="466"/>
      <c r="I108" s="468"/>
      <c r="J108" s="468"/>
      <c r="K108" s="1670">
        <f>H108</f>
        <v>0</v>
      </c>
      <c r="L108" s="466">
        <v>0</v>
      </c>
      <c r="M108" s="210"/>
      <c r="N108" s="210"/>
    </row>
    <row r="109" spans="1:14" s="597" customFormat="1">
      <c r="A109" s="1503" t="s">
        <v>254</v>
      </c>
      <c r="B109" s="628">
        <v>5150</v>
      </c>
      <c r="C109" s="616"/>
      <c r="D109" s="616"/>
      <c r="E109" s="616"/>
      <c r="F109" s="616"/>
      <c r="G109" s="616"/>
      <c r="H109" s="466">
        <v>37571</v>
      </c>
      <c r="I109" s="468"/>
      <c r="J109" s="468"/>
      <c r="K109" s="1670">
        <f>H109</f>
        <v>37571</v>
      </c>
      <c r="L109" s="466">
        <v>0</v>
      </c>
      <c r="M109" s="210"/>
      <c r="N109" s="210"/>
    </row>
    <row r="110" spans="1:14" s="597" customFormat="1" ht="13.15" customHeight="1" thickBot="1">
      <c r="A110" s="1667" t="s">
        <v>1102</v>
      </c>
      <c r="B110" s="1674" t="s">
        <v>718</v>
      </c>
      <c r="C110" s="616"/>
      <c r="D110" s="616"/>
      <c r="E110" s="616"/>
      <c r="F110" s="616"/>
      <c r="G110" s="616"/>
      <c r="H110" s="1669">
        <f>SUM(H105:H109)</f>
        <v>37571</v>
      </c>
      <c r="I110" s="468"/>
      <c r="J110" s="468"/>
      <c r="K110" s="1669">
        <f>SUM(K105:K109)</f>
        <v>37571</v>
      </c>
      <c r="L110" s="1669">
        <f>SUM(L105:L109)</f>
        <v>0</v>
      </c>
      <c r="M110" s="210"/>
      <c r="N110" s="210"/>
    </row>
    <row r="111" spans="1:14" s="597" customFormat="1" ht="13.15" customHeight="1" thickTop="1" thickBot="1">
      <c r="A111" s="1513" t="s">
        <v>368</v>
      </c>
      <c r="B111" s="647" t="s">
        <v>38</v>
      </c>
      <c r="C111" s="616"/>
      <c r="D111" s="616"/>
      <c r="E111" s="616"/>
      <c r="F111" s="616"/>
      <c r="G111" s="616"/>
      <c r="H111" s="535"/>
      <c r="I111" s="468"/>
      <c r="J111" s="468"/>
      <c r="K111" s="1682">
        <f>H111</f>
        <v>0</v>
      </c>
      <c r="L111" s="532">
        <v>0</v>
      </c>
      <c r="M111" s="210"/>
      <c r="N111" s="210"/>
    </row>
    <row r="112" spans="1:14" s="597" customFormat="1" ht="13.15" customHeight="1" thickTop="1" thickBot="1">
      <c r="A112" s="1667" t="s">
        <v>638</v>
      </c>
      <c r="B112" s="1668" t="s">
        <v>492</v>
      </c>
      <c r="C112" s="616"/>
      <c r="D112" s="616"/>
      <c r="E112" s="616"/>
      <c r="F112" s="616"/>
      <c r="G112" s="616"/>
      <c r="H112" s="1669">
        <f>SUM(H110:H111)</f>
        <v>37571</v>
      </c>
      <c r="I112" s="468"/>
      <c r="J112" s="468"/>
      <c r="K112" s="1669">
        <f>SUM(K110:K111)</f>
        <v>37571</v>
      </c>
      <c r="L112" s="1676">
        <f>SUM(L110,L111)</f>
        <v>0</v>
      </c>
      <c r="M112" s="210"/>
      <c r="N112" s="210"/>
    </row>
    <row r="113" spans="1:14" s="259" customFormat="1" ht="15.75" customHeight="1" thickTop="1" thickBot="1">
      <c r="A113" s="1605" t="s">
        <v>514</v>
      </c>
      <c r="B113" s="1612" t="s">
        <v>861</v>
      </c>
      <c r="C113" s="623"/>
      <c r="D113" s="623"/>
      <c r="E113" s="616"/>
      <c r="F113" s="616"/>
      <c r="G113" s="616"/>
      <c r="H113" s="623"/>
      <c r="I113" s="468"/>
      <c r="J113" s="468"/>
      <c r="K113" s="623"/>
      <c r="L113" s="531">
        <v>0</v>
      </c>
      <c r="M113" s="613"/>
      <c r="N113" s="613"/>
    </row>
    <row r="114" spans="1:14" ht="13.15" customHeight="1" thickTop="1" thickBot="1">
      <c r="A114" s="1667" t="s">
        <v>48</v>
      </c>
      <c r="B114" s="1681"/>
      <c r="C114" s="1669">
        <f>SUM(C33,C74,C75,C102,C112,C113)</f>
        <v>19018100</v>
      </c>
      <c r="D114" s="1669">
        <f t="shared" ref="D114:K114" si="13">SUM(D33,D74,D75,D102,D112,D113)</f>
        <v>2131574</v>
      </c>
      <c r="E114" s="1669">
        <f t="shared" si="13"/>
        <v>1588513</v>
      </c>
      <c r="F114" s="1669">
        <f t="shared" si="13"/>
        <v>1468907</v>
      </c>
      <c r="G114" s="1669">
        <f t="shared" si="13"/>
        <v>247683</v>
      </c>
      <c r="H114" s="1669">
        <f>SUM(H33,H74,H75,H102,H112,H113)</f>
        <v>1497426</v>
      </c>
      <c r="I114" s="1669">
        <f t="shared" si="13"/>
        <v>58024</v>
      </c>
      <c r="J114" s="1669">
        <f t="shared" si="13"/>
        <v>0</v>
      </c>
      <c r="K114" s="1669">
        <f t="shared" si="13"/>
        <v>26010227</v>
      </c>
      <c r="L114" s="1669">
        <f>SUM(L33,L74,L75,L102,L112,L113)</f>
        <v>28176532</v>
      </c>
    </row>
    <row r="115" spans="1:14" ht="13.5" thickTop="1">
      <c r="A115" s="2213" t="s">
        <v>996</v>
      </c>
      <c r="B115" s="2214"/>
      <c r="C115" s="618"/>
      <c r="D115" s="618"/>
      <c r="E115" s="618"/>
      <c r="F115" s="618"/>
      <c r="G115" s="618"/>
      <c r="H115" s="618"/>
      <c r="I115" s="618"/>
      <c r="J115" s="618"/>
      <c r="K115" s="1683">
        <f>'Revenues 9-14'!C268-'Expenditures 15-22'!K114</f>
        <v>1366082</v>
      </c>
      <c r="L115" s="618"/>
    </row>
    <row r="116" spans="1:14" s="180" customFormat="1" ht="9.4" customHeight="1">
      <c r="A116" s="648"/>
      <c r="B116" s="649"/>
      <c r="C116" s="650"/>
      <c r="D116" s="650"/>
      <c r="E116" s="650"/>
      <c r="F116" s="650"/>
      <c r="G116" s="650"/>
      <c r="H116" s="650"/>
      <c r="I116" s="650"/>
      <c r="J116" s="650"/>
      <c r="K116" s="650"/>
      <c r="L116" s="650"/>
      <c r="M116" s="210"/>
      <c r="N116" s="210"/>
    </row>
    <row r="117" spans="1:14" s="651" customFormat="1" ht="16.7" customHeight="1">
      <c r="A117" s="2218" t="s">
        <v>296</v>
      </c>
      <c r="B117" s="2219"/>
      <c r="C117" s="1625"/>
      <c r="D117" s="1626"/>
      <c r="E117" s="1626"/>
      <c r="F117" s="1626"/>
      <c r="G117" s="1626"/>
      <c r="H117" s="1626"/>
      <c r="I117" s="1626"/>
      <c r="J117" s="1626"/>
      <c r="K117" s="1626"/>
      <c r="L117" s="1627"/>
      <c r="M117" s="175"/>
      <c r="N117" s="175"/>
    </row>
    <row r="118" spans="1:14" ht="15.75" customHeight="1">
      <c r="A118" s="1613" t="s">
        <v>1035</v>
      </c>
      <c r="B118" s="1614" t="s">
        <v>569</v>
      </c>
      <c r="C118" s="616"/>
      <c r="D118" s="616"/>
      <c r="E118" s="616"/>
      <c r="F118" s="616"/>
      <c r="G118" s="616"/>
      <c r="H118" s="616"/>
      <c r="I118" s="616"/>
      <c r="J118" s="616"/>
      <c r="K118" s="616"/>
      <c r="L118" s="616"/>
    </row>
    <row r="119" spans="1:14" ht="15.75" customHeight="1">
      <c r="A119" s="652" t="s">
        <v>591</v>
      </c>
      <c r="B119" s="622"/>
      <c r="C119" s="623"/>
      <c r="D119" s="623"/>
      <c r="E119" s="623"/>
      <c r="F119" s="616"/>
      <c r="G119" s="616"/>
      <c r="H119" s="623"/>
      <c r="I119" s="616"/>
      <c r="J119" s="616"/>
      <c r="K119" s="623"/>
      <c r="L119" s="623"/>
    </row>
    <row r="120" spans="1:14" ht="13.15" customHeight="1">
      <c r="A120" s="1507" t="s">
        <v>2057</v>
      </c>
      <c r="B120" s="628" t="s">
        <v>716</v>
      </c>
      <c r="C120" s="466"/>
      <c r="D120" s="466"/>
      <c r="E120" s="466"/>
      <c r="F120" s="466"/>
      <c r="G120" s="466"/>
      <c r="H120" s="466"/>
      <c r="I120" s="467"/>
      <c r="J120" s="467"/>
      <c r="K120" s="1670">
        <f>SUM(C120:J120)</f>
        <v>0</v>
      </c>
      <c r="L120" s="466">
        <v>0</v>
      </c>
    </row>
    <row r="121" spans="1:14" ht="15.75" customHeight="1">
      <c r="A121" s="653" t="s">
        <v>612</v>
      </c>
      <c r="B121" s="622"/>
      <c r="C121" s="521"/>
      <c r="D121" s="521"/>
      <c r="E121" s="521"/>
      <c r="F121" s="521"/>
      <c r="G121" s="521"/>
      <c r="H121" s="521"/>
      <c r="I121" s="616"/>
      <c r="J121" s="616"/>
      <c r="K121" s="623"/>
      <c r="L121" s="521"/>
    </row>
    <row r="122" spans="1:14" ht="13.5" thickBot="1">
      <c r="A122" s="1503" t="s">
        <v>1068</v>
      </c>
      <c r="B122" s="614">
        <v>2510</v>
      </c>
      <c r="C122" s="466"/>
      <c r="D122" s="466"/>
      <c r="E122" s="466"/>
      <c r="F122" s="466"/>
      <c r="G122" s="466"/>
      <c r="H122" s="466"/>
      <c r="I122" s="467"/>
      <c r="J122" s="467"/>
      <c r="K122" s="1669">
        <f>SUM(C122:J122)</f>
        <v>0</v>
      </c>
      <c r="L122" s="466">
        <v>0</v>
      </c>
    </row>
    <row r="123" spans="1:14" ht="14.25" thickTop="1" thickBot="1">
      <c r="A123" s="1503" t="s">
        <v>4</v>
      </c>
      <c r="B123" s="614">
        <v>2530</v>
      </c>
      <c r="C123" s="466"/>
      <c r="D123" s="466"/>
      <c r="E123" s="466"/>
      <c r="F123" s="466"/>
      <c r="G123" s="466"/>
      <c r="H123" s="466"/>
      <c r="I123" s="467"/>
      <c r="J123" s="467"/>
      <c r="K123" s="1669">
        <f>SUM(C123:J123)</f>
        <v>0</v>
      </c>
      <c r="L123" s="466">
        <v>0</v>
      </c>
    </row>
    <row r="124" spans="1:14" ht="14.25" thickTop="1" thickBot="1">
      <c r="A124" s="1503" t="s">
        <v>197</v>
      </c>
      <c r="B124" s="614">
        <v>2540</v>
      </c>
      <c r="C124" s="466">
        <v>1201827</v>
      </c>
      <c r="D124" s="466">
        <v>143155</v>
      </c>
      <c r="E124" s="466">
        <v>290020</v>
      </c>
      <c r="F124" s="466">
        <v>497583</v>
      </c>
      <c r="G124" s="466">
        <v>33742</v>
      </c>
      <c r="H124" s="466"/>
      <c r="I124" s="467"/>
      <c r="J124" s="467"/>
      <c r="K124" s="1669">
        <f>SUM(C124:J124)</f>
        <v>2166327</v>
      </c>
      <c r="L124" s="466">
        <v>2313093</v>
      </c>
    </row>
    <row r="125" spans="1:14" ht="14.25" thickTop="1" thickBot="1">
      <c r="A125" s="1503" t="s">
        <v>953</v>
      </c>
      <c r="B125" s="614">
        <v>2550</v>
      </c>
      <c r="C125" s="466"/>
      <c r="D125" s="466"/>
      <c r="E125" s="466"/>
      <c r="F125" s="466"/>
      <c r="G125" s="466"/>
      <c r="H125" s="466"/>
      <c r="I125" s="467"/>
      <c r="J125" s="467"/>
      <c r="K125" s="1669">
        <f>SUM(C125:J125)</f>
        <v>0</v>
      </c>
      <c r="L125" s="466">
        <v>0</v>
      </c>
    </row>
    <row r="126" spans="1:14" ht="14.25" thickTop="1" thickBot="1">
      <c r="A126" s="1503" t="s">
        <v>100</v>
      </c>
      <c r="B126" s="614">
        <v>2560</v>
      </c>
      <c r="C126" s="654"/>
      <c r="D126" s="654"/>
      <c r="E126" s="654"/>
      <c r="F126" s="654"/>
      <c r="G126" s="466"/>
      <c r="H126" s="654"/>
      <c r="I126" s="474"/>
      <c r="J126" s="616"/>
      <c r="K126" s="1669">
        <f>SUM(C126:J126)</f>
        <v>0</v>
      </c>
      <c r="L126" s="466">
        <v>0</v>
      </c>
    </row>
    <row r="127" spans="1:14" ht="13.15" customHeight="1" thickTop="1" thickBot="1">
      <c r="A127" s="1667" t="s">
        <v>719</v>
      </c>
      <c r="B127" s="1668" t="s">
        <v>35</v>
      </c>
      <c r="C127" s="1669">
        <f>SUM(C122:C126)</f>
        <v>1201827</v>
      </c>
      <c r="D127" s="1669">
        <f t="shared" ref="D127:L127" si="14">SUM(D122:D126)</f>
        <v>143155</v>
      </c>
      <c r="E127" s="1669">
        <f t="shared" si="14"/>
        <v>290020</v>
      </c>
      <c r="F127" s="1669">
        <f t="shared" si="14"/>
        <v>497583</v>
      </c>
      <c r="G127" s="1669">
        <f t="shared" si="14"/>
        <v>33742</v>
      </c>
      <c r="H127" s="1669">
        <f t="shared" si="14"/>
        <v>0</v>
      </c>
      <c r="I127" s="1669">
        <f t="shared" si="14"/>
        <v>0</v>
      </c>
      <c r="J127" s="1669">
        <f t="shared" si="14"/>
        <v>0</v>
      </c>
      <c r="K127" s="1669">
        <f t="shared" si="14"/>
        <v>2166327</v>
      </c>
      <c r="L127" s="1669">
        <f t="shared" si="14"/>
        <v>2313093</v>
      </c>
    </row>
    <row r="128" spans="1:14" ht="13.15" customHeight="1" thickTop="1">
      <c r="A128" s="1510" t="s">
        <v>980</v>
      </c>
      <c r="B128" s="655" t="s">
        <v>574</v>
      </c>
      <c r="C128" s="656"/>
      <c r="D128" s="656"/>
      <c r="E128" s="656"/>
      <c r="F128" s="656"/>
      <c r="G128" s="656"/>
      <c r="H128" s="656"/>
      <c r="I128" s="535"/>
      <c r="J128" s="535"/>
      <c r="K128" s="1684">
        <f>SUM(C128:J128)</f>
        <v>0</v>
      </c>
      <c r="L128" s="656">
        <v>0</v>
      </c>
    </row>
    <row r="129" spans="1:14" ht="13.15" customHeight="1" thickBot="1">
      <c r="A129" s="1685" t="s">
        <v>811</v>
      </c>
      <c r="B129" s="1686" t="s">
        <v>569</v>
      </c>
      <c r="C129" s="1676">
        <f>SUM(C120,C127,C128)</f>
        <v>1201827</v>
      </c>
      <c r="D129" s="1676">
        <f t="shared" ref="D129:L129" si="15">SUM(D120,D127,D128)</f>
        <v>143155</v>
      </c>
      <c r="E129" s="1676">
        <f t="shared" si="15"/>
        <v>290020</v>
      </c>
      <c r="F129" s="1676">
        <f t="shared" si="15"/>
        <v>497583</v>
      </c>
      <c r="G129" s="1676">
        <f t="shared" si="15"/>
        <v>33742</v>
      </c>
      <c r="H129" s="1676">
        <f t="shared" si="15"/>
        <v>0</v>
      </c>
      <c r="I129" s="1676">
        <f t="shared" si="15"/>
        <v>0</v>
      </c>
      <c r="J129" s="1676">
        <f t="shared" si="15"/>
        <v>0</v>
      </c>
      <c r="K129" s="1676">
        <f t="shared" si="15"/>
        <v>2166327</v>
      </c>
      <c r="L129" s="1676">
        <f t="shared" si="15"/>
        <v>2313093</v>
      </c>
    </row>
    <row r="130" spans="1:14" ht="15.75" customHeight="1" thickTop="1" thickBot="1">
      <c r="A130" s="1609" t="s">
        <v>1036</v>
      </c>
      <c r="B130" s="1610" t="s">
        <v>575</v>
      </c>
      <c r="C130" s="576"/>
      <c r="D130" s="576"/>
      <c r="E130" s="576"/>
      <c r="F130" s="576"/>
      <c r="G130" s="576"/>
      <c r="H130" s="576"/>
      <c r="I130" s="531"/>
      <c r="J130" s="531"/>
      <c r="K130" s="1669">
        <f>SUM(C130:J130)</f>
        <v>0</v>
      </c>
      <c r="L130" s="576">
        <v>0</v>
      </c>
    </row>
    <row r="131" spans="1:14" ht="15.75" customHeight="1" thickTop="1">
      <c r="A131" s="1615" t="s">
        <v>616</v>
      </c>
      <c r="B131" s="1608" t="s">
        <v>860</v>
      </c>
      <c r="C131" s="468"/>
      <c r="D131" s="468"/>
      <c r="E131" s="566"/>
      <c r="F131" s="468"/>
      <c r="G131" s="468"/>
      <c r="H131" s="566"/>
      <c r="I131" s="468"/>
      <c r="J131" s="468"/>
      <c r="K131" s="566"/>
      <c r="L131" s="566"/>
    </row>
    <row r="132" spans="1:14" s="384" customFormat="1" ht="13.5" customHeight="1">
      <c r="A132" s="657" t="s">
        <v>614</v>
      </c>
      <c r="B132" s="658"/>
      <c r="C132" s="468"/>
      <c r="D132" s="468"/>
      <c r="E132" s="521"/>
      <c r="F132" s="468"/>
      <c r="G132" s="468"/>
      <c r="H132" s="521"/>
      <c r="I132" s="468"/>
      <c r="J132" s="468"/>
      <c r="K132" s="521"/>
      <c r="L132" s="521"/>
      <c r="M132" s="206"/>
      <c r="N132" s="206"/>
    </row>
    <row r="133" spans="1:14" s="384" customFormat="1" ht="13.5" customHeight="1">
      <c r="A133" s="1489" t="s">
        <v>496</v>
      </c>
      <c r="B133" s="1840" t="s">
        <v>1842</v>
      </c>
      <c r="C133" s="468"/>
      <c r="D133" s="468"/>
      <c r="E133" s="641"/>
      <c r="F133" s="468"/>
      <c r="G133" s="468"/>
      <c r="H133" s="641"/>
      <c r="I133" s="468"/>
      <c r="J133" s="468"/>
      <c r="K133" s="1820">
        <f>SUM(E133,H133)</f>
        <v>0</v>
      </c>
      <c r="L133" s="641">
        <v>0</v>
      </c>
      <c r="M133" s="206"/>
      <c r="N133" s="206"/>
    </row>
    <row r="134" spans="1:14">
      <c r="A134" s="1503" t="s">
        <v>304</v>
      </c>
      <c r="B134" s="614">
        <v>4120</v>
      </c>
      <c r="C134" s="616"/>
      <c r="D134" s="616"/>
      <c r="E134" s="478"/>
      <c r="F134" s="616"/>
      <c r="G134" s="616"/>
      <c r="H134" s="481"/>
      <c r="I134" s="477"/>
      <c r="J134" s="616"/>
      <c r="K134" s="1671">
        <f>SUM(E134,H134)</f>
        <v>0</v>
      </c>
      <c r="L134" s="481">
        <v>0</v>
      </c>
    </row>
    <row r="135" spans="1:14">
      <c r="A135" s="1503" t="s">
        <v>697</v>
      </c>
      <c r="B135" s="614">
        <v>4140</v>
      </c>
      <c r="C135" s="616"/>
      <c r="D135" s="616"/>
      <c r="E135" s="467"/>
      <c r="F135" s="616"/>
      <c r="G135" s="616"/>
      <c r="H135" s="466"/>
      <c r="I135" s="477"/>
      <c r="J135" s="616"/>
      <c r="K135" s="1671">
        <f>SUM(E135,H135)</f>
        <v>0</v>
      </c>
      <c r="L135" s="466">
        <v>0</v>
      </c>
    </row>
    <row r="136" spans="1:14">
      <c r="A136" s="1507" t="s">
        <v>698</v>
      </c>
      <c r="B136" s="628">
        <v>4190</v>
      </c>
      <c r="C136" s="616"/>
      <c r="D136" s="616"/>
      <c r="E136" s="467"/>
      <c r="F136" s="616"/>
      <c r="G136" s="616"/>
      <c r="H136" s="466"/>
      <c r="I136" s="477"/>
      <c r="J136" s="616"/>
      <c r="K136" s="1671">
        <f>SUM(E136,H136)</f>
        <v>0</v>
      </c>
      <c r="L136" s="466">
        <v>0</v>
      </c>
    </row>
    <row r="137" spans="1:14" ht="13.15" customHeight="1" thickBot="1">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3.15" customHeight="1" thickTop="1" thickBot="1">
      <c r="A138" s="1509" t="s">
        <v>96</v>
      </c>
      <c r="B138" s="643" t="s">
        <v>931</v>
      </c>
      <c r="C138" s="616"/>
      <c r="D138" s="616"/>
      <c r="E138" s="479"/>
      <c r="F138" s="616"/>
      <c r="G138" s="616"/>
      <c r="H138" s="576"/>
      <c r="I138" s="477"/>
      <c r="J138" s="616"/>
      <c r="K138" s="1671">
        <f>SUM(E138,H138)</f>
        <v>0</v>
      </c>
      <c r="L138" s="576">
        <v>0</v>
      </c>
    </row>
    <row r="139" spans="1:14" ht="13.15" customHeight="1" thickTop="1" thickBot="1">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c r="A140" s="1611" t="s">
        <v>1037</v>
      </c>
      <c r="B140" s="1612" t="s">
        <v>492</v>
      </c>
      <c r="C140" s="616"/>
      <c r="D140" s="616"/>
      <c r="E140" s="638"/>
      <c r="F140" s="638"/>
      <c r="G140" s="638"/>
      <c r="H140" s="636"/>
      <c r="I140" s="477"/>
      <c r="J140" s="638"/>
      <c r="K140" s="636"/>
      <c r="L140" s="636"/>
    </row>
    <row r="141" spans="1:14" ht="15.75" customHeight="1">
      <c r="A141" s="653" t="s">
        <v>615</v>
      </c>
      <c r="B141" s="622"/>
      <c r="C141" s="616"/>
      <c r="D141" s="616"/>
      <c r="E141" s="616"/>
      <c r="F141" s="616"/>
      <c r="G141" s="616"/>
      <c r="H141" s="623"/>
      <c r="I141" s="468"/>
      <c r="J141" s="616"/>
      <c r="K141" s="623"/>
      <c r="L141" s="623"/>
    </row>
    <row r="142" spans="1:14">
      <c r="A142" s="1503" t="s">
        <v>87</v>
      </c>
      <c r="B142" s="614">
        <v>5110</v>
      </c>
      <c r="C142" s="616"/>
      <c r="D142" s="616"/>
      <c r="E142" s="616"/>
      <c r="F142" s="616"/>
      <c r="G142" s="616"/>
      <c r="H142" s="481"/>
      <c r="I142" s="468"/>
      <c r="J142" s="616"/>
      <c r="K142" s="1671">
        <f>SUM(H142)</f>
        <v>0</v>
      </c>
      <c r="L142" s="481">
        <v>0</v>
      </c>
    </row>
    <row r="143" spans="1:14">
      <c r="A143" s="1503" t="s">
        <v>88</v>
      </c>
      <c r="B143" s="614">
        <v>5120</v>
      </c>
      <c r="C143" s="616"/>
      <c r="D143" s="616"/>
      <c r="E143" s="616"/>
      <c r="F143" s="616"/>
      <c r="G143" s="616"/>
      <c r="H143" s="466"/>
      <c r="I143" s="468"/>
      <c r="J143" s="616"/>
      <c r="K143" s="1671">
        <f>SUM(H143)</f>
        <v>0</v>
      </c>
      <c r="L143" s="466">
        <v>0</v>
      </c>
    </row>
    <row r="144" spans="1:14" ht="13.15" customHeight="1">
      <c r="A144" s="1503" t="s">
        <v>1170</v>
      </c>
      <c r="B144" s="628" t="s">
        <v>617</v>
      </c>
      <c r="C144" s="616"/>
      <c r="D144" s="616"/>
      <c r="E144" s="616"/>
      <c r="F144" s="616"/>
      <c r="G144" s="616"/>
      <c r="H144" s="466"/>
      <c r="I144" s="468"/>
      <c r="J144" s="616"/>
      <c r="K144" s="1671">
        <f>SUM(H144)</f>
        <v>0</v>
      </c>
      <c r="L144" s="466">
        <v>0</v>
      </c>
    </row>
    <row r="145" spans="1:14">
      <c r="A145" s="1503" t="s">
        <v>89</v>
      </c>
      <c r="B145" s="614" t="s">
        <v>589</v>
      </c>
      <c r="C145" s="616"/>
      <c r="D145" s="616"/>
      <c r="E145" s="616"/>
      <c r="F145" s="616"/>
      <c r="G145" s="616"/>
      <c r="H145" s="466"/>
      <c r="I145" s="468"/>
      <c r="J145" s="616"/>
      <c r="K145" s="1671">
        <f>SUM(H145)</f>
        <v>0</v>
      </c>
      <c r="L145" s="466">
        <v>0</v>
      </c>
    </row>
    <row r="146" spans="1:14" ht="13.15" customHeight="1">
      <c r="A146" s="1503" t="s">
        <v>619</v>
      </c>
      <c r="B146" s="614" t="s">
        <v>618</v>
      </c>
      <c r="C146" s="616"/>
      <c r="D146" s="616"/>
      <c r="E146" s="616"/>
      <c r="F146" s="616"/>
      <c r="G146" s="616"/>
      <c r="H146" s="466"/>
      <c r="I146" s="468"/>
      <c r="J146" s="616"/>
      <c r="K146" s="1671">
        <f>SUM(H146)</f>
        <v>0</v>
      </c>
      <c r="L146" s="466">
        <v>0</v>
      </c>
    </row>
    <row r="147" spans="1:14" ht="13.15" customHeight="1" thickBot="1">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c r="A148" s="660" t="s">
        <v>1103</v>
      </c>
      <c r="B148" s="661" t="s">
        <v>38</v>
      </c>
      <c r="C148" s="616"/>
      <c r="D148" s="616"/>
      <c r="E148" s="616"/>
      <c r="F148" s="616"/>
      <c r="G148" s="616"/>
      <c r="H148" s="479"/>
      <c r="I148" s="468"/>
      <c r="J148" s="616"/>
      <c r="K148" s="1671">
        <f>SUM(H148)</f>
        <v>0</v>
      </c>
      <c r="L148" s="492">
        <v>0</v>
      </c>
    </row>
    <row r="149" spans="1:14" ht="13.15" customHeight="1" thickBot="1">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c r="A150" s="1605" t="s">
        <v>1038</v>
      </c>
      <c r="B150" s="1612" t="s">
        <v>861</v>
      </c>
      <c r="C150" s="616"/>
      <c r="D150" s="616"/>
      <c r="E150" s="616"/>
      <c r="F150" s="616"/>
      <c r="G150" s="616"/>
      <c r="H150" s="662"/>
      <c r="I150" s="521"/>
      <c r="J150" s="616"/>
      <c r="K150" s="623"/>
      <c r="L150" s="573">
        <v>0</v>
      </c>
    </row>
    <row r="151" spans="1:14" ht="13.15" customHeight="1" thickTop="1" thickBot="1">
      <c r="A151" s="2230" t="s">
        <v>620</v>
      </c>
      <c r="B151" s="2210"/>
      <c r="C151" s="1669">
        <f>SUM(C129,C130,C139,C149,C150)</f>
        <v>1201827</v>
      </c>
      <c r="D151" s="1669">
        <f t="shared" ref="D151:K151" si="16">SUM(D129,D130,D139,D149,D150)</f>
        <v>143155</v>
      </c>
      <c r="E151" s="1669">
        <f t="shared" si="16"/>
        <v>290020</v>
      </c>
      <c r="F151" s="1669">
        <f t="shared" si="16"/>
        <v>497583</v>
      </c>
      <c r="G151" s="1669">
        <f t="shared" si="16"/>
        <v>33742</v>
      </c>
      <c r="H151" s="1669">
        <f t="shared" si="16"/>
        <v>0</v>
      </c>
      <c r="I151" s="1669">
        <f t="shared" si="16"/>
        <v>0</v>
      </c>
      <c r="J151" s="1669">
        <f t="shared" si="16"/>
        <v>0</v>
      </c>
      <c r="K151" s="1669">
        <f t="shared" si="16"/>
        <v>2166327</v>
      </c>
      <c r="L151" s="1669">
        <f>SUM(L129,L130,L139,L149,L150)</f>
        <v>2313093</v>
      </c>
    </row>
    <row r="152" spans="1:14" ht="13.15" customHeight="1" thickTop="1">
      <c r="A152" s="2233" t="s">
        <v>1178</v>
      </c>
      <c r="B152" s="2234"/>
      <c r="C152" s="618"/>
      <c r="D152" s="618"/>
      <c r="E152" s="618"/>
      <c r="F152" s="618"/>
      <c r="G152" s="618"/>
      <c r="H152" s="618"/>
      <c r="I152" s="618"/>
      <c r="J152" s="616"/>
      <c r="K152" s="1683">
        <f>'Revenues 9-14'!D268-'Expenditures 15-22'!K151</f>
        <v>-244922</v>
      </c>
      <c r="L152" s="618"/>
    </row>
    <row r="153" spans="1:14" s="666" customFormat="1" ht="9.4" customHeight="1">
      <c r="A153" s="663"/>
      <c r="B153" s="664"/>
      <c r="C153" s="650"/>
      <c r="D153" s="650"/>
      <c r="E153" s="650"/>
      <c r="F153" s="650"/>
      <c r="G153" s="650"/>
      <c r="H153" s="650"/>
      <c r="I153" s="650"/>
      <c r="J153" s="650"/>
      <c r="K153" s="650"/>
      <c r="L153" s="650"/>
      <c r="M153" s="665"/>
      <c r="N153" s="665"/>
    </row>
    <row r="154" spans="1:14" s="668" customFormat="1" ht="16.7" customHeight="1">
      <c r="A154" s="2218" t="s">
        <v>621</v>
      </c>
      <c r="B154" s="2220"/>
      <c r="C154" s="1625"/>
      <c r="D154" s="1626"/>
      <c r="E154" s="1626"/>
      <c r="F154" s="1626"/>
      <c r="G154" s="1626"/>
      <c r="H154" s="1626"/>
      <c r="I154" s="1626"/>
      <c r="J154" s="1626"/>
      <c r="K154" s="1626"/>
      <c r="L154" s="1627"/>
      <c r="M154" s="667"/>
      <c r="N154" s="667"/>
    </row>
    <row r="155" spans="1:14" s="620" customFormat="1" ht="15.75" customHeight="1" thickBot="1">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c r="A156" s="1821" t="s">
        <v>1843</v>
      </c>
      <c r="B156" s="1822"/>
      <c r="C156" s="616"/>
      <c r="D156" s="616"/>
      <c r="E156" s="616"/>
      <c r="F156" s="616"/>
      <c r="G156" s="616"/>
      <c r="H156" s="1842"/>
      <c r="I156" s="616"/>
      <c r="J156" s="616"/>
      <c r="K156" s="1823"/>
      <c r="L156" s="1842"/>
      <c r="M156" s="619"/>
      <c r="N156" s="619"/>
    </row>
    <row r="157" spans="1:14" s="620" customFormat="1" ht="12">
      <c r="A157" s="1825" t="s">
        <v>496</v>
      </c>
      <c r="B157" s="1826" t="s">
        <v>1842</v>
      </c>
      <c r="C157" s="616"/>
      <c r="D157" s="616"/>
      <c r="E157" s="616"/>
      <c r="F157" s="616"/>
      <c r="G157" s="616"/>
      <c r="H157" s="641"/>
      <c r="I157" s="616"/>
      <c r="J157" s="616"/>
      <c r="K157" s="1670">
        <f>H157</f>
        <v>0</v>
      </c>
      <c r="L157" s="467">
        <v>0</v>
      </c>
      <c r="M157" s="619"/>
      <c r="N157" s="619"/>
    </row>
    <row r="158" spans="1:14" s="620" customFormat="1" ht="12">
      <c r="A158" s="1825" t="s">
        <v>304</v>
      </c>
      <c r="B158" s="1826" t="s">
        <v>1844</v>
      </c>
      <c r="C158" s="616"/>
      <c r="D158" s="616"/>
      <c r="E158" s="616"/>
      <c r="F158" s="616"/>
      <c r="G158" s="616"/>
      <c r="H158" s="467"/>
      <c r="I158" s="616"/>
      <c r="J158" s="616"/>
      <c r="K158" s="1670">
        <f>H158</f>
        <v>0</v>
      </c>
      <c r="L158" s="467">
        <v>0</v>
      </c>
      <c r="M158" s="619"/>
      <c r="N158" s="619"/>
    </row>
    <row r="159" spans="1:14" s="620" customFormat="1" ht="12">
      <c r="A159" s="1825" t="s">
        <v>1845</v>
      </c>
      <c r="B159" s="1826" t="s">
        <v>558</v>
      </c>
      <c r="C159" s="616"/>
      <c r="D159" s="616"/>
      <c r="E159" s="616"/>
      <c r="F159" s="616"/>
      <c r="G159" s="616"/>
      <c r="H159" s="467"/>
      <c r="I159" s="616"/>
      <c r="J159" s="616"/>
      <c r="K159" s="1670">
        <f>H159</f>
        <v>0</v>
      </c>
      <c r="L159" s="467">
        <v>0</v>
      </c>
      <c r="M159" s="619"/>
      <c r="N159" s="619"/>
    </row>
    <row r="160" spans="1:14" s="620" customFormat="1" ht="15.75" customHeight="1" thickBot="1">
      <c r="A160" s="1827" t="s">
        <v>1846</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c r="A161" s="1611" t="s">
        <v>82</v>
      </c>
      <c r="B161" s="1612" t="s">
        <v>492</v>
      </c>
      <c r="C161" s="616"/>
      <c r="D161" s="616"/>
      <c r="E161" s="616"/>
      <c r="F161" s="616"/>
      <c r="G161" s="616"/>
      <c r="H161" s="616"/>
      <c r="I161" s="616"/>
      <c r="J161" s="616"/>
      <c r="K161" s="616"/>
      <c r="L161" s="616"/>
      <c r="M161" s="613"/>
      <c r="N161" s="613"/>
    </row>
    <row r="162" spans="1:14" s="259" customFormat="1" ht="15.75" customHeight="1">
      <c r="A162" s="653" t="s">
        <v>615</v>
      </c>
      <c r="B162" s="622"/>
      <c r="C162" s="616"/>
      <c r="D162" s="616"/>
      <c r="E162" s="616"/>
      <c r="F162" s="616"/>
      <c r="G162" s="616"/>
      <c r="H162" s="616"/>
      <c r="I162" s="616"/>
      <c r="J162" s="616"/>
      <c r="K162" s="623"/>
      <c r="L162" s="623"/>
      <c r="M162" s="613"/>
      <c r="N162" s="613"/>
    </row>
    <row r="163" spans="1:14">
      <c r="A163" s="1503" t="s">
        <v>87</v>
      </c>
      <c r="B163" s="614">
        <v>5110</v>
      </c>
      <c r="C163" s="616"/>
      <c r="D163" s="616"/>
      <c r="E163" s="616"/>
      <c r="F163" s="616"/>
      <c r="G163" s="616"/>
      <c r="H163" s="466"/>
      <c r="I163" s="616"/>
      <c r="J163" s="616"/>
      <c r="K163" s="1670">
        <f>SUM(C163:J163)</f>
        <v>0</v>
      </c>
      <c r="L163" s="466">
        <v>0</v>
      </c>
    </row>
    <row r="164" spans="1:14">
      <c r="A164" s="1503" t="s">
        <v>88</v>
      </c>
      <c r="B164" s="614">
        <v>5120</v>
      </c>
      <c r="C164" s="616"/>
      <c r="D164" s="616"/>
      <c r="E164" s="616"/>
      <c r="F164" s="616"/>
      <c r="G164" s="616"/>
      <c r="H164" s="466"/>
      <c r="I164" s="616"/>
      <c r="J164" s="616"/>
      <c r="K164" s="1670">
        <f>SUM(C164:J164)</f>
        <v>0</v>
      </c>
      <c r="L164" s="466">
        <v>0</v>
      </c>
    </row>
    <row r="165" spans="1:14" ht="13.15" customHeight="1">
      <c r="A165" s="1503" t="s">
        <v>1170</v>
      </c>
      <c r="B165" s="614" t="s">
        <v>617</v>
      </c>
      <c r="C165" s="616"/>
      <c r="D165" s="616"/>
      <c r="E165" s="616"/>
      <c r="F165" s="616"/>
      <c r="G165" s="616"/>
      <c r="H165" s="466"/>
      <c r="I165" s="616"/>
      <c r="J165" s="616"/>
      <c r="K165" s="1670">
        <f>SUM(C165:J165)</f>
        <v>0</v>
      </c>
      <c r="L165" s="466">
        <v>0</v>
      </c>
    </row>
    <row r="166" spans="1:14">
      <c r="A166" s="1503" t="s">
        <v>89</v>
      </c>
      <c r="B166" s="628" t="s">
        <v>589</v>
      </c>
      <c r="C166" s="616"/>
      <c r="D166" s="616"/>
      <c r="E166" s="616"/>
      <c r="F166" s="616"/>
      <c r="G166" s="616"/>
      <c r="H166" s="466"/>
      <c r="I166" s="616"/>
      <c r="J166" s="616"/>
      <c r="K166" s="1670">
        <f>SUM(C166:J166)</f>
        <v>0</v>
      </c>
      <c r="L166" s="466">
        <v>0</v>
      </c>
    </row>
    <row r="167" spans="1:14" ht="13.15" customHeight="1">
      <c r="A167" s="1503" t="s">
        <v>619</v>
      </c>
      <c r="B167" s="614" t="s">
        <v>618</v>
      </c>
      <c r="C167" s="616"/>
      <c r="D167" s="616"/>
      <c r="E167" s="616"/>
      <c r="F167" s="616"/>
      <c r="G167" s="616"/>
      <c r="H167" s="466"/>
      <c r="I167" s="616"/>
      <c r="J167" s="616"/>
      <c r="K167" s="1670">
        <f>SUM(C167:J167)</f>
        <v>0</v>
      </c>
      <c r="L167" s="466">
        <v>0</v>
      </c>
    </row>
    <row r="168" spans="1:14" ht="13.5" thickBot="1">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c r="A169" s="669" t="s">
        <v>83</v>
      </c>
      <c r="B169" s="670" t="s">
        <v>38</v>
      </c>
      <c r="C169" s="616"/>
      <c r="D169" s="616"/>
      <c r="E169" s="616"/>
      <c r="F169" s="616"/>
      <c r="G169" s="616"/>
      <c r="H169" s="656">
        <v>1033062</v>
      </c>
      <c r="I169" s="616"/>
      <c r="J169" s="616"/>
      <c r="K169" s="1670">
        <f>SUM(C169:H169)</f>
        <v>1033062</v>
      </c>
      <c r="L169" s="656">
        <v>1033062</v>
      </c>
    </row>
    <row r="170" spans="1:14" ht="33.75" customHeight="1">
      <c r="A170" s="669" t="s">
        <v>1670</v>
      </c>
      <c r="B170" s="671" t="s">
        <v>31</v>
      </c>
      <c r="C170" s="616"/>
      <c r="D170" s="616"/>
      <c r="E170" s="616"/>
      <c r="F170" s="616"/>
      <c r="G170" s="616"/>
      <c r="H170" s="569">
        <v>2255000</v>
      </c>
      <c r="I170" s="616"/>
      <c r="J170" s="616"/>
      <c r="K170" s="1670">
        <f>SUM(C170:J170)</f>
        <v>2255000</v>
      </c>
      <c r="L170" s="569">
        <v>2255000</v>
      </c>
    </row>
    <row r="171" spans="1:14" ht="15.75" customHeight="1">
      <c r="A171" s="621" t="s">
        <v>766</v>
      </c>
      <c r="B171" s="672" t="s">
        <v>84</v>
      </c>
      <c r="C171" s="616"/>
      <c r="D171" s="616"/>
      <c r="E171" s="466"/>
      <c r="F171" s="616"/>
      <c r="G171" s="616"/>
      <c r="H171" s="569">
        <v>1900</v>
      </c>
      <c r="I171" s="477"/>
      <c r="J171" s="616"/>
      <c r="K171" s="1670">
        <f>SUM(C171:J171)</f>
        <v>1900</v>
      </c>
      <c r="L171" s="569">
        <v>2000</v>
      </c>
    </row>
    <row r="172" spans="1:14" ht="13.15" customHeight="1" thickBot="1">
      <c r="A172" s="1667" t="s">
        <v>638</v>
      </c>
      <c r="B172" s="1668" t="s">
        <v>492</v>
      </c>
      <c r="C172" s="616"/>
      <c r="D172" s="616"/>
      <c r="E172" s="1676">
        <f>SUM(E168,E169,E170,E171)</f>
        <v>0</v>
      </c>
      <c r="F172" s="616"/>
      <c r="G172" s="616"/>
      <c r="H172" s="1676">
        <f>SUM(H168,H169,H170,H171)</f>
        <v>3289962</v>
      </c>
      <c r="I172" s="638"/>
      <c r="J172" s="616"/>
      <c r="K172" s="1676">
        <f>SUM(K168,K169,K170,K171)</f>
        <v>3289962</v>
      </c>
      <c r="L172" s="1676">
        <f>SUM(L168,L169,L170,L171)</f>
        <v>3290062</v>
      </c>
    </row>
    <row r="173" spans="1:14" ht="15.75" customHeight="1" thickTop="1" thickBot="1">
      <c r="A173" s="1618" t="s">
        <v>85</v>
      </c>
      <c r="B173" s="1610" t="s">
        <v>861</v>
      </c>
      <c r="C173" s="616"/>
      <c r="D173" s="616"/>
      <c r="E173" s="623"/>
      <c r="F173" s="616"/>
      <c r="G173" s="616"/>
      <c r="H173" s="626"/>
      <c r="I173" s="638"/>
      <c r="J173" s="616"/>
      <c r="K173" s="623"/>
      <c r="L173" s="576">
        <v>0</v>
      </c>
    </row>
    <row r="174" spans="1:14" ht="13.15" customHeight="1" thickTop="1" thickBot="1">
      <c r="A174" s="1688" t="s">
        <v>90</v>
      </c>
      <c r="B174" s="1689"/>
      <c r="C174" s="616"/>
      <c r="D174" s="616"/>
      <c r="E174" s="1676">
        <f>SUM(E172,E173)</f>
        <v>0</v>
      </c>
      <c r="F174" s="616"/>
      <c r="G174" s="616"/>
      <c r="H174" s="1676">
        <f>SUM(H160,H172,H173)</f>
        <v>3289962</v>
      </c>
      <c r="I174" s="638"/>
      <c r="J174" s="616"/>
      <c r="K174" s="1676">
        <f>SUM(K160,K172,K173)</f>
        <v>3289962</v>
      </c>
      <c r="L174" s="1676">
        <f>SUM(L160,L172,L173)</f>
        <v>3290062</v>
      </c>
    </row>
    <row r="175" spans="1:14" ht="13.5" thickTop="1">
      <c r="A175" s="2213" t="s">
        <v>996</v>
      </c>
      <c r="B175" s="2214"/>
      <c r="C175" s="616"/>
      <c r="D175" s="616"/>
      <c r="E175" s="616"/>
      <c r="F175" s="616"/>
      <c r="G175" s="616"/>
      <c r="H175" s="618"/>
      <c r="I175" s="616"/>
      <c r="J175" s="616"/>
      <c r="K175" s="1683">
        <f>'Revenues 9-14'!E268-'Expenditures 15-22'!K174</f>
        <v>125405</v>
      </c>
      <c r="L175" s="618"/>
    </row>
    <row r="176" spans="1:14" s="666" customFormat="1" ht="9.4" customHeight="1">
      <c r="A176" s="663"/>
      <c r="B176" s="673"/>
      <c r="C176" s="650"/>
      <c r="D176" s="650"/>
      <c r="E176" s="650"/>
      <c r="F176" s="650"/>
      <c r="G176" s="650"/>
      <c r="H176" s="650"/>
      <c r="I176" s="650"/>
      <c r="J176" s="650"/>
      <c r="K176" s="650"/>
      <c r="L176" s="650"/>
      <c r="M176" s="665"/>
      <c r="N176" s="665"/>
    </row>
    <row r="177" spans="1:14" s="343" customFormat="1" ht="16.7" customHeight="1">
      <c r="A177" s="1553" t="s">
        <v>937</v>
      </c>
      <c r="B177" s="1554"/>
      <c r="C177" s="1550"/>
      <c r="D177" s="1551"/>
      <c r="E177" s="1551"/>
      <c r="F177" s="1551"/>
      <c r="G177" s="1551"/>
      <c r="H177" s="1551"/>
      <c r="I177" s="1551"/>
      <c r="J177" s="1551"/>
      <c r="K177" s="1551"/>
      <c r="L177" s="1552"/>
      <c r="M177" s="609"/>
      <c r="N177" s="609"/>
    </row>
    <row r="178" spans="1:14" s="674" customFormat="1" ht="15.75" customHeight="1">
      <c r="A178" s="1619" t="s">
        <v>938</v>
      </c>
      <c r="B178" s="1620"/>
      <c r="C178" s="616"/>
      <c r="D178" s="616"/>
      <c r="E178" s="616"/>
      <c r="F178" s="616"/>
      <c r="G178" s="616"/>
      <c r="H178" s="616"/>
      <c r="I178" s="616"/>
      <c r="J178" s="616"/>
      <c r="K178" s="616"/>
      <c r="L178" s="616"/>
      <c r="M178" s="665"/>
      <c r="N178" s="665"/>
    </row>
    <row r="179" spans="1:14" s="674" customFormat="1" ht="15.75" customHeight="1">
      <c r="A179" s="675" t="s">
        <v>591</v>
      </c>
      <c r="B179" s="622"/>
      <c r="C179" s="623"/>
      <c r="D179" s="623"/>
      <c r="E179" s="623"/>
      <c r="F179" s="616"/>
      <c r="G179" s="616"/>
      <c r="H179" s="623"/>
      <c r="I179" s="616"/>
      <c r="J179" s="616"/>
      <c r="K179" s="623"/>
      <c r="L179" s="623"/>
      <c r="M179" s="665"/>
      <c r="N179" s="665"/>
    </row>
    <row r="180" spans="1:14" ht="13.15" customHeight="1">
      <c r="A180" s="1503" t="s">
        <v>2057</v>
      </c>
      <c r="B180" s="614" t="s">
        <v>716</v>
      </c>
      <c r="C180" s="466"/>
      <c r="D180" s="466"/>
      <c r="E180" s="466"/>
      <c r="F180" s="466"/>
      <c r="G180" s="466"/>
      <c r="H180" s="466"/>
      <c r="I180" s="467"/>
      <c r="J180" s="467"/>
      <c r="K180" s="1670">
        <f>SUM(C180:J180)</f>
        <v>0</v>
      </c>
      <c r="L180" s="466">
        <v>0</v>
      </c>
    </row>
    <row r="181" spans="1:14" ht="15.75" customHeight="1">
      <c r="A181" s="624" t="s">
        <v>612</v>
      </c>
      <c r="B181" s="676"/>
      <c r="C181" s="570"/>
      <c r="D181" s="570"/>
      <c r="E181" s="570"/>
      <c r="F181" s="570"/>
      <c r="G181" s="570"/>
      <c r="H181" s="570"/>
      <c r="I181" s="468"/>
      <c r="J181" s="468"/>
      <c r="K181" s="570"/>
      <c r="L181" s="570"/>
    </row>
    <row r="182" spans="1:14" ht="13.15" customHeight="1">
      <c r="A182" s="1503" t="s">
        <v>953</v>
      </c>
      <c r="B182" s="614">
        <v>2550</v>
      </c>
      <c r="C182" s="466">
        <v>958638</v>
      </c>
      <c r="D182" s="466">
        <v>77742</v>
      </c>
      <c r="E182" s="466">
        <v>423931</v>
      </c>
      <c r="F182" s="466">
        <v>131200</v>
      </c>
      <c r="G182" s="466">
        <v>6690</v>
      </c>
      <c r="H182" s="466">
        <v>20053</v>
      </c>
      <c r="I182" s="467"/>
      <c r="J182" s="467"/>
      <c r="K182" s="1670">
        <f>SUM(C182:J182)</f>
        <v>1618254</v>
      </c>
      <c r="L182" s="466">
        <v>1647880</v>
      </c>
    </row>
    <row r="183" spans="1:14" ht="13.15" customHeight="1" thickBot="1">
      <c r="A183" s="1508" t="s">
        <v>980</v>
      </c>
      <c r="B183" s="677">
        <v>2900</v>
      </c>
      <c r="C183" s="573"/>
      <c r="D183" s="573"/>
      <c r="E183" s="573"/>
      <c r="F183" s="573"/>
      <c r="G183" s="573"/>
      <c r="H183" s="573"/>
      <c r="I183" s="532"/>
      <c r="J183" s="532"/>
      <c r="K183" s="1676">
        <f>SUM(C183:J183)</f>
        <v>0</v>
      </c>
      <c r="L183" s="573">
        <v>0</v>
      </c>
    </row>
    <row r="184" spans="1:14" ht="13.15" customHeight="1" thickTop="1" thickBot="1">
      <c r="A184" s="1690" t="s">
        <v>811</v>
      </c>
      <c r="B184" s="1668" t="s">
        <v>569</v>
      </c>
      <c r="C184" s="1676">
        <f>SUM(C180,C182,C183)</f>
        <v>958638</v>
      </c>
      <c r="D184" s="1676">
        <f t="shared" ref="D184:J184" si="17">SUM(D180,D182,D183)</f>
        <v>77742</v>
      </c>
      <c r="E184" s="1676">
        <f t="shared" si="17"/>
        <v>423931</v>
      </c>
      <c r="F184" s="1676">
        <f t="shared" si="17"/>
        <v>131200</v>
      </c>
      <c r="G184" s="1676">
        <f t="shared" si="17"/>
        <v>6690</v>
      </c>
      <c r="H184" s="1676">
        <f t="shared" si="17"/>
        <v>20053</v>
      </c>
      <c r="I184" s="1676">
        <f t="shared" si="17"/>
        <v>0</v>
      </c>
      <c r="J184" s="1676">
        <f t="shared" si="17"/>
        <v>0</v>
      </c>
      <c r="K184" s="1676">
        <f>SUM(K180,K182,K183)</f>
        <v>1618254</v>
      </c>
      <c r="L184" s="1676">
        <f>SUM(L180, L182:L183)</f>
        <v>1647880</v>
      </c>
    </row>
    <row r="185" spans="1:14" ht="15.75" customHeight="1" thickTop="1" thickBot="1">
      <c r="A185" s="1621" t="s">
        <v>939</v>
      </c>
      <c r="B185" s="1610">
        <v>3000</v>
      </c>
      <c r="C185" s="576"/>
      <c r="D185" s="576"/>
      <c r="E185" s="576"/>
      <c r="F185" s="576"/>
      <c r="G185" s="576"/>
      <c r="H185" s="576"/>
      <c r="I185" s="531"/>
      <c r="J185" s="531"/>
      <c r="K185" s="1669">
        <f>SUM(C185:J185)</f>
        <v>0</v>
      </c>
      <c r="L185" s="576">
        <v>0</v>
      </c>
    </row>
    <row r="186" spans="1:14" s="674" customFormat="1" ht="15.75" customHeight="1" thickTop="1">
      <c r="A186" s="1605" t="s">
        <v>91</v>
      </c>
      <c r="B186" s="1608" t="s">
        <v>860</v>
      </c>
      <c r="C186" s="616"/>
      <c r="D186" s="616"/>
      <c r="E186" s="616"/>
      <c r="F186" s="616"/>
      <c r="G186" s="616"/>
      <c r="H186" s="616"/>
      <c r="I186" s="616"/>
      <c r="J186" s="616"/>
      <c r="K186" s="616"/>
      <c r="L186" s="616"/>
      <c r="M186" s="665"/>
      <c r="N186" s="665"/>
    </row>
    <row r="187" spans="1:14" s="674" customFormat="1" ht="15.75" customHeight="1">
      <c r="A187" s="621" t="s">
        <v>1131</v>
      </c>
      <c r="B187" s="622"/>
      <c r="C187" s="616"/>
      <c r="D187" s="616"/>
      <c r="E187" s="616"/>
      <c r="F187" s="616"/>
      <c r="G187" s="616"/>
      <c r="H187" s="616"/>
      <c r="I187" s="616"/>
      <c r="J187" s="616"/>
      <c r="K187" s="616"/>
      <c r="L187" s="616"/>
      <c r="M187" s="665"/>
      <c r="N187" s="665"/>
    </row>
    <row r="188" spans="1:14">
      <c r="A188" s="1503" t="s">
        <v>496</v>
      </c>
      <c r="B188" s="614">
        <v>4110</v>
      </c>
      <c r="C188" s="616"/>
      <c r="D188" s="616"/>
      <c r="E188" s="466"/>
      <c r="F188" s="616"/>
      <c r="G188" s="616"/>
      <c r="H188" s="466"/>
      <c r="I188" s="477"/>
      <c r="J188" s="616"/>
      <c r="K188" s="1670">
        <f t="shared" ref="K188:K193" si="18">SUM(E188,H188)</f>
        <v>0</v>
      </c>
      <c r="L188" s="466">
        <v>0</v>
      </c>
    </row>
    <row r="189" spans="1:14">
      <c r="A189" s="1503" t="s">
        <v>304</v>
      </c>
      <c r="B189" s="614">
        <v>4120</v>
      </c>
      <c r="C189" s="616"/>
      <c r="D189" s="616"/>
      <c r="E189" s="466"/>
      <c r="F189" s="616"/>
      <c r="G189" s="616"/>
      <c r="H189" s="466"/>
      <c r="I189" s="477"/>
      <c r="J189" s="616"/>
      <c r="K189" s="1670">
        <f t="shared" si="18"/>
        <v>0</v>
      </c>
      <c r="L189" s="466">
        <v>0</v>
      </c>
    </row>
    <row r="190" spans="1:14">
      <c r="A190" s="1503" t="s">
        <v>305</v>
      </c>
      <c r="B190" s="628">
        <v>4130</v>
      </c>
      <c r="C190" s="616"/>
      <c r="D190" s="616"/>
      <c r="E190" s="466"/>
      <c r="F190" s="616"/>
      <c r="G190" s="616"/>
      <c r="H190" s="466"/>
      <c r="I190" s="477"/>
      <c r="J190" s="616"/>
      <c r="K190" s="1670">
        <f t="shared" si="18"/>
        <v>0</v>
      </c>
      <c r="L190" s="466">
        <v>0</v>
      </c>
    </row>
    <row r="191" spans="1:14">
      <c r="A191" s="1503" t="s">
        <v>697</v>
      </c>
      <c r="B191" s="614">
        <v>4140</v>
      </c>
      <c r="C191" s="616"/>
      <c r="D191" s="616"/>
      <c r="E191" s="466"/>
      <c r="F191" s="616"/>
      <c r="G191" s="616"/>
      <c r="H191" s="466"/>
      <c r="I191" s="477"/>
      <c r="J191" s="616"/>
      <c r="K191" s="1670">
        <f t="shared" si="18"/>
        <v>0</v>
      </c>
      <c r="L191" s="466">
        <v>0</v>
      </c>
    </row>
    <row r="192" spans="1:14">
      <c r="A192" s="1503" t="s">
        <v>86</v>
      </c>
      <c r="B192" s="614">
        <v>4170</v>
      </c>
      <c r="C192" s="616"/>
      <c r="D192" s="616"/>
      <c r="E192" s="466"/>
      <c r="F192" s="616"/>
      <c r="G192" s="616"/>
      <c r="H192" s="466"/>
      <c r="I192" s="477"/>
      <c r="J192" s="616"/>
      <c r="K192" s="1670">
        <f t="shared" si="18"/>
        <v>0</v>
      </c>
      <c r="L192" s="466">
        <v>0</v>
      </c>
    </row>
    <row r="193" spans="1:14">
      <c r="A193" s="1507" t="s">
        <v>698</v>
      </c>
      <c r="B193" s="628">
        <v>4190</v>
      </c>
      <c r="C193" s="616"/>
      <c r="D193" s="616"/>
      <c r="E193" s="466"/>
      <c r="F193" s="616"/>
      <c r="G193" s="616"/>
      <c r="H193" s="466"/>
      <c r="I193" s="477"/>
      <c r="J193" s="616"/>
      <c r="K193" s="1670">
        <f t="shared" si="18"/>
        <v>0</v>
      </c>
      <c r="L193" s="466">
        <v>0</v>
      </c>
    </row>
    <row r="194" spans="1:14" ht="13.15" customHeight="1" thickBot="1">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c r="A195" s="669" t="s">
        <v>92</v>
      </c>
      <c r="B195" s="678" t="s">
        <v>931</v>
      </c>
      <c r="C195" s="616"/>
      <c r="D195" s="616"/>
      <c r="E195" s="656"/>
      <c r="F195" s="616"/>
      <c r="G195" s="616"/>
      <c r="H195" s="656"/>
      <c r="I195" s="477"/>
      <c r="J195" s="616"/>
      <c r="K195" s="1684">
        <f>SUM(E195,H195)</f>
        <v>0</v>
      </c>
      <c r="L195" s="656">
        <v>0</v>
      </c>
    </row>
    <row r="196" spans="1:14" ht="13.15" customHeight="1" thickBot="1">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c r="A197" s="1611" t="s">
        <v>940</v>
      </c>
      <c r="B197" s="1608" t="s">
        <v>492</v>
      </c>
      <c r="C197" s="616"/>
      <c r="D197" s="616"/>
      <c r="E197" s="616"/>
      <c r="F197" s="616"/>
      <c r="G197" s="616"/>
      <c r="H197" s="616"/>
      <c r="I197" s="616"/>
      <c r="J197" s="616"/>
      <c r="K197" s="616"/>
      <c r="L197" s="616"/>
      <c r="M197" s="665"/>
      <c r="N197" s="665"/>
    </row>
    <row r="198" spans="1:14" s="674" customFormat="1" ht="15.75" customHeight="1">
      <c r="A198" s="653" t="s">
        <v>93</v>
      </c>
      <c r="B198" s="622"/>
      <c r="C198" s="616"/>
      <c r="D198" s="616"/>
      <c r="E198" s="616"/>
      <c r="F198" s="616"/>
      <c r="G198" s="616"/>
      <c r="H198" s="616"/>
      <c r="I198" s="616"/>
      <c r="J198" s="616"/>
      <c r="K198" s="616"/>
      <c r="L198" s="616"/>
      <c r="M198" s="665"/>
      <c r="N198" s="665"/>
    </row>
    <row r="199" spans="1:14">
      <c r="A199" s="1503" t="s">
        <v>87</v>
      </c>
      <c r="B199" s="614">
        <v>5110</v>
      </c>
      <c r="C199" s="616"/>
      <c r="D199" s="616"/>
      <c r="E199" s="616"/>
      <c r="F199" s="616"/>
      <c r="G199" s="616"/>
      <c r="H199" s="466"/>
      <c r="I199" s="616"/>
      <c r="J199" s="616"/>
      <c r="K199" s="1670">
        <f>SUM(H199)</f>
        <v>0</v>
      </c>
      <c r="L199" s="466">
        <v>0</v>
      </c>
    </row>
    <row r="200" spans="1:14">
      <c r="A200" s="1503" t="s">
        <v>88</v>
      </c>
      <c r="B200" s="614">
        <v>5120</v>
      </c>
      <c r="C200" s="616"/>
      <c r="D200" s="616"/>
      <c r="E200" s="616"/>
      <c r="F200" s="616"/>
      <c r="G200" s="616"/>
      <c r="H200" s="466"/>
      <c r="I200" s="616"/>
      <c r="J200" s="616"/>
      <c r="K200" s="1670">
        <f>SUM(H200)</f>
        <v>0</v>
      </c>
      <c r="L200" s="466">
        <v>0</v>
      </c>
    </row>
    <row r="201" spans="1:14" ht="13.15" customHeight="1">
      <c r="A201" s="1503" t="s">
        <v>1170</v>
      </c>
      <c r="B201" s="628" t="s">
        <v>617</v>
      </c>
      <c r="C201" s="616"/>
      <c r="D201" s="616"/>
      <c r="E201" s="616"/>
      <c r="F201" s="616"/>
      <c r="G201" s="616"/>
      <c r="H201" s="466"/>
      <c r="I201" s="616"/>
      <c r="J201" s="616"/>
      <c r="K201" s="1670">
        <f>SUM(H201)</f>
        <v>0</v>
      </c>
      <c r="L201" s="466">
        <v>0</v>
      </c>
    </row>
    <row r="202" spans="1:14">
      <c r="A202" s="1503" t="s">
        <v>89</v>
      </c>
      <c r="B202" s="614" t="s">
        <v>589</v>
      </c>
      <c r="C202" s="616"/>
      <c r="D202" s="616"/>
      <c r="E202" s="616"/>
      <c r="F202" s="616"/>
      <c r="G202" s="616"/>
      <c r="H202" s="466"/>
      <c r="I202" s="616"/>
      <c r="J202" s="616"/>
      <c r="K202" s="1670">
        <f>SUM(H202)</f>
        <v>0</v>
      </c>
      <c r="L202" s="466">
        <v>0</v>
      </c>
    </row>
    <row r="203" spans="1:14">
      <c r="A203" s="1515" t="s">
        <v>619</v>
      </c>
      <c r="B203" s="614" t="s">
        <v>618</v>
      </c>
      <c r="C203" s="616"/>
      <c r="D203" s="616"/>
      <c r="E203" s="616"/>
      <c r="F203" s="616"/>
      <c r="G203" s="616"/>
      <c r="H203" s="471"/>
      <c r="I203" s="616"/>
      <c r="J203" s="616"/>
      <c r="K203" s="1670">
        <f>SUM(H203)</f>
        <v>0</v>
      </c>
      <c r="L203" s="471">
        <v>0</v>
      </c>
    </row>
    <row r="204" spans="1:14" ht="13.5" thickBot="1">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c r="A205" s="679" t="s">
        <v>83</v>
      </c>
      <c r="B205" s="680" t="s">
        <v>38</v>
      </c>
      <c r="C205" s="616"/>
      <c r="D205" s="616"/>
      <c r="E205" s="616"/>
      <c r="F205" s="616"/>
      <c r="G205" s="616"/>
      <c r="H205" s="535"/>
      <c r="I205" s="616"/>
      <c r="J205" s="616"/>
      <c r="K205" s="1684">
        <f>SUM(H205)</f>
        <v>0</v>
      </c>
      <c r="L205" s="535">
        <v>0</v>
      </c>
    </row>
    <row r="206" spans="1:14" ht="30" customHeight="1">
      <c r="A206" s="681" t="s">
        <v>1671</v>
      </c>
      <c r="B206" s="672" t="s">
        <v>31</v>
      </c>
      <c r="C206" s="616"/>
      <c r="D206" s="616"/>
      <c r="E206" s="616"/>
      <c r="F206" s="616"/>
      <c r="G206" s="616"/>
      <c r="H206" s="466"/>
      <c r="I206" s="616"/>
      <c r="J206" s="616"/>
      <c r="K206" s="1670">
        <f>SUM(H206)</f>
        <v>0</v>
      </c>
      <c r="L206" s="466">
        <v>0</v>
      </c>
    </row>
    <row r="207" spans="1:14" ht="15.75" customHeight="1">
      <c r="A207" s="621" t="s">
        <v>766</v>
      </c>
      <c r="B207" s="672" t="s">
        <v>84</v>
      </c>
      <c r="C207" s="616"/>
      <c r="D207" s="616"/>
      <c r="E207" s="616"/>
      <c r="F207" s="616"/>
      <c r="G207" s="616"/>
      <c r="H207" s="467"/>
      <c r="I207" s="616"/>
      <c r="J207" s="616"/>
      <c r="K207" s="1670">
        <f>H207</f>
        <v>0</v>
      </c>
      <c r="L207" s="466">
        <v>0</v>
      </c>
    </row>
    <row r="208" spans="1:14" ht="13.15" customHeight="1" thickBot="1">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c r="A209" s="1605" t="s">
        <v>872</v>
      </c>
      <c r="B209" s="1612" t="s">
        <v>861</v>
      </c>
      <c r="C209" s="623"/>
      <c r="D209" s="623"/>
      <c r="E209" s="623"/>
      <c r="F209" s="623"/>
      <c r="G209" s="623"/>
      <c r="H209" s="623"/>
      <c r="I209" s="616"/>
      <c r="J209" s="616"/>
      <c r="K209" s="623"/>
      <c r="L209" s="576">
        <v>0</v>
      </c>
    </row>
    <row r="210" spans="1:14" ht="13.15" customHeight="1" thickTop="1" thickBot="1">
      <c r="A210" s="1691" t="s">
        <v>277</v>
      </c>
      <c r="B210" s="1692"/>
      <c r="C210" s="1669">
        <f>SUM(C184,C185)</f>
        <v>958638</v>
      </c>
      <c r="D210" s="1669">
        <f>SUM(D184,D185)</f>
        <v>77742</v>
      </c>
      <c r="E210" s="1669">
        <f>SUM(E184,E185,E196)</f>
        <v>423931</v>
      </c>
      <c r="F210" s="1669">
        <f>SUM(F184,F185)</f>
        <v>131200</v>
      </c>
      <c r="G210" s="1669">
        <f>SUM(G184,G185)</f>
        <v>6690</v>
      </c>
      <c r="H210" s="1669">
        <f>SUM(H184,H185,H196,H208,H209)</f>
        <v>20053</v>
      </c>
      <c r="I210" s="1669">
        <f>SUM(I184,I185)</f>
        <v>0</v>
      </c>
      <c r="J210" s="1669">
        <f>SUM(J184,J185)</f>
        <v>0</v>
      </c>
      <c r="K210" s="1670">
        <f>SUM(K184,K185,K196,K208,K209)</f>
        <v>1618254</v>
      </c>
      <c r="L210" s="1669">
        <f>SUM(L184,L185,L196,L208,L209)</f>
        <v>1647880</v>
      </c>
    </row>
    <row r="211" spans="1:14" ht="13.5" thickTop="1">
      <c r="A211" s="2213" t="s">
        <v>996</v>
      </c>
      <c r="B211" s="2214"/>
      <c r="C211" s="618"/>
      <c r="D211" s="618"/>
      <c r="E211" s="618"/>
      <c r="F211" s="618"/>
      <c r="G211" s="618"/>
      <c r="H211" s="618"/>
      <c r="I211" s="616"/>
      <c r="J211" s="616"/>
      <c r="K211" s="1683">
        <f>'Revenues 9-14'!F268-'Expenditures 15-22'!K210</f>
        <v>-187455</v>
      </c>
      <c r="L211" s="618"/>
    </row>
    <row r="212" spans="1:14" s="666" customFormat="1" ht="9.4" customHeight="1">
      <c r="A212" s="663"/>
      <c r="B212" s="673"/>
      <c r="C212" s="650"/>
      <c r="D212" s="650"/>
      <c r="E212" s="650"/>
      <c r="F212" s="650"/>
      <c r="G212" s="650"/>
      <c r="H212" s="650"/>
      <c r="I212" s="650"/>
      <c r="J212" s="650"/>
      <c r="K212" s="650"/>
      <c r="L212" s="650"/>
      <c r="M212" s="665"/>
      <c r="N212" s="665"/>
    </row>
    <row r="213" spans="1:14" s="343" customFormat="1" ht="16.7" customHeight="1">
      <c r="A213" s="2235" t="s">
        <v>965</v>
      </c>
      <c r="B213" s="2236"/>
      <c r="C213" s="1550"/>
      <c r="D213" s="1551"/>
      <c r="E213" s="1551"/>
      <c r="F213" s="1551"/>
      <c r="G213" s="1551"/>
      <c r="H213" s="1551"/>
      <c r="I213" s="1551"/>
      <c r="J213" s="1551"/>
      <c r="K213" s="1551"/>
      <c r="L213" s="1552"/>
      <c r="M213" s="609"/>
      <c r="N213" s="609"/>
    </row>
    <row r="214" spans="1:14" s="674" customFormat="1" ht="15.75" customHeight="1">
      <c r="A214" s="1622" t="s">
        <v>873</v>
      </c>
      <c r="B214" s="1614" t="s">
        <v>570</v>
      </c>
      <c r="C214" s="616"/>
      <c r="D214" s="623"/>
      <c r="E214" s="616"/>
      <c r="F214" s="616"/>
      <c r="G214" s="616"/>
      <c r="H214" s="616"/>
      <c r="I214" s="616"/>
      <c r="J214" s="616"/>
      <c r="K214" s="623"/>
      <c r="L214" s="623"/>
      <c r="M214" s="665"/>
      <c r="N214" s="665"/>
    </row>
    <row r="215" spans="1:14">
      <c r="A215" s="1503" t="s">
        <v>961</v>
      </c>
      <c r="B215" s="614">
        <v>1100</v>
      </c>
      <c r="C215" s="616"/>
      <c r="D215" s="466">
        <v>160152</v>
      </c>
      <c r="E215" s="616"/>
      <c r="F215" s="616"/>
      <c r="G215" s="616"/>
      <c r="H215" s="616"/>
      <c r="I215" s="616"/>
      <c r="J215" s="616"/>
      <c r="K215" s="1670">
        <f>D215</f>
        <v>160152</v>
      </c>
      <c r="L215" s="466">
        <v>169355</v>
      </c>
    </row>
    <row r="216" spans="1:14">
      <c r="A216" s="1503" t="s">
        <v>163</v>
      </c>
      <c r="B216" s="614" t="s">
        <v>967</v>
      </c>
      <c r="C216" s="616"/>
      <c r="D216" s="467">
        <v>22268</v>
      </c>
      <c r="E216" s="616"/>
      <c r="F216" s="616"/>
      <c r="G216" s="616"/>
      <c r="H216" s="616"/>
      <c r="I216" s="616"/>
      <c r="J216" s="616"/>
      <c r="K216" s="1670">
        <f t="shared" ref="K216:K228" si="19">D216</f>
        <v>22268</v>
      </c>
      <c r="L216" s="466">
        <v>22692</v>
      </c>
    </row>
    <row r="217" spans="1:14">
      <c r="A217" s="1503" t="s">
        <v>164</v>
      </c>
      <c r="B217" s="614">
        <v>1200</v>
      </c>
      <c r="C217" s="616"/>
      <c r="D217" s="466">
        <v>126029</v>
      </c>
      <c r="E217" s="616"/>
      <c r="F217" s="616"/>
      <c r="G217" s="616"/>
      <c r="H217" s="616"/>
      <c r="I217" s="616"/>
      <c r="J217" s="616"/>
      <c r="K217" s="1670">
        <f t="shared" si="19"/>
        <v>126029</v>
      </c>
      <c r="L217" s="466">
        <v>137457</v>
      </c>
    </row>
    <row r="218" spans="1:14">
      <c r="A218" s="1503" t="s">
        <v>278</v>
      </c>
      <c r="B218" s="614" t="s">
        <v>968</v>
      </c>
      <c r="C218" s="616"/>
      <c r="D218" s="467"/>
      <c r="E218" s="616"/>
      <c r="F218" s="616"/>
      <c r="G218" s="616"/>
      <c r="H218" s="616"/>
      <c r="I218" s="616"/>
      <c r="J218" s="616"/>
      <c r="K218" s="1670">
        <f t="shared" si="19"/>
        <v>0</v>
      </c>
      <c r="L218" s="466">
        <v>0</v>
      </c>
    </row>
    <row r="219" spans="1:14">
      <c r="A219" s="1503" t="s">
        <v>279</v>
      </c>
      <c r="B219" s="614">
        <v>1250</v>
      </c>
      <c r="C219" s="616"/>
      <c r="D219" s="466">
        <v>47066</v>
      </c>
      <c r="E219" s="616"/>
      <c r="F219" s="616"/>
      <c r="G219" s="616"/>
      <c r="H219" s="616"/>
      <c r="I219" s="616"/>
      <c r="J219" s="616"/>
      <c r="K219" s="1670">
        <f t="shared" si="19"/>
        <v>47066</v>
      </c>
      <c r="L219" s="466">
        <v>53753</v>
      </c>
    </row>
    <row r="220" spans="1:14">
      <c r="A220" s="1503" t="s">
        <v>280</v>
      </c>
      <c r="B220" s="614" t="s">
        <v>161</v>
      </c>
      <c r="C220" s="616"/>
      <c r="D220" s="467"/>
      <c r="E220" s="616"/>
      <c r="F220" s="616"/>
      <c r="G220" s="616"/>
      <c r="H220" s="616"/>
      <c r="I220" s="616"/>
      <c r="J220" s="616"/>
      <c r="K220" s="1670">
        <f t="shared" si="19"/>
        <v>0</v>
      </c>
      <c r="L220" s="466">
        <v>0</v>
      </c>
    </row>
    <row r="221" spans="1:14">
      <c r="A221" s="1503" t="s">
        <v>962</v>
      </c>
      <c r="B221" s="614">
        <v>1300</v>
      </c>
      <c r="C221" s="616"/>
      <c r="D221" s="466"/>
      <c r="E221" s="616"/>
      <c r="F221" s="616"/>
      <c r="G221" s="616"/>
      <c r="H221" s="616"/>
      <c r="I221" s="616"/>
      <c r="J221" s="616"/>
      <c r="K221" s="1670">
        <f t="shared" si="19"/>
        <v>0</v>
      </c>
      <c r="L221" s="466">
        <v>0</v>
      </c>
    </row>
    <row r="222" spans="1:14">
      <c r="A222" s="1503" t="s">
        <v>723</v>
      </c>
      <c r="B222" s="614">
        <v>1400</v>
      </c>
      <c r="C222" s="616"/>
      <c r="D222" s="466"/>
      <c r="E222" s="616"/>
      <c r="F222" s="616"/>
      <c r="G222" s="616"/>
      <c r="H222" s="616"/>
      <c r="I222" s="616"/>
      <c r="J222" s="616"/>
      <c r="K222" s="1670">
        <f t="shared" si="19"/>
        <v>0</v>
      </c>
      <c r="L222" s="466">
        <v>0</v>
      </c>
    </row>
    <row r="223" spans="1:14">
      <c r="A223" s="1503" t="s">
        <v>963</v>
      </c>
      <c r="B223" s="614">
        <v>1500</v>
      </c>
      <c r="C223" s="616"/>
      <c r="D223" s="466">
        <v>4823</v>
      </c>
      <c r="E223" s="616"/>
      <c r="F223" s="616"/>
      <c r="G223" s="616"/>
      <c r="H223" s="616"/>
      <c r="I223" s="616"/>
      <c r="J223" s="616"/>
      <c r="K223" s="1670">
        <f t="shared" si="19"/>
        <v>4823</v>
      </c>
      <c r="L223" s="466">
        <v>4425</v>
      </c>
    </row>
    <row r="224" spans="1:14">
      <c r="A224" s="1503" t="s">
        <v>964</v>
      </c>
      <c r="B224" s="614">
        <v>1600</v>
      </c>
      <c r="C224" s="616"/>
      <c r="D224" s="466"/>
      <c r="E224" s="616"/>
      <c r="F224" s="616"/>
      <c r="G224" s="616"/>
      <c r="H224" s="616"/>
      <c r="I224" s="616"/>
      <c r="J224" s="616"/>
      <c r="K224" s="1670">
        <f t="shared" si="19"/>
        <v>0</v>
      </c>
      <c r="L224" s="466">
        <v>0</v>
      </c>
    </row>
    <row r="225" spans="1:12">
      <c r="A225" s="1503" t="s">
        <v>987</v>
      </c>
      <c r="B225" s="614">
        <v>1650</v>
      </c>
      <c r="C225" s="616"/>
      <c r="D225" s="466">
        <v>0</v>
      </c>
      <c r="E225" s="616"/>
      <c r="F225" s="616"/>
      <c r="G225" s="616"/>
      <c r="H225" s="616"/>
      <c r="I225" s="616"/>
      <c r="J225" s="616"/>
      <c r="K225" s="1670">
        <f t="shared" si="19"/>
        <v>0</v>
      </c>
      <c r="L225" s="466">
        <v>85</v>
      </c>
    </row>
    <row r="226" spans="1:12">
      <c r="A226" s="1503" t="s">
        <v>724</v>
      </c>
      <c r="B226" s="614" t="s">
        <v>162</v>
      </c>
      <c r="C226" s="616"/>
      <c r="D226" s="467"/>
      <c r="E226" s="616"/>
      <c r="F226" s="616"/>
      <c r="G226" s="616"/>
      <c r="H226" s="616"/>
      <c r="I226" s="616"/>
      <c r="J226" s="616"/>
      <c r="K226" s="1670">
        <f t="shared" si="19"/>
        <v>0</v>
      </c>
      <c r="L226" s="466">
        <v>0</v>
      </c>
    </row>
    <row r="227" spans="1:12">
      <c r="A227" s="1503" t="s">
        <v>1087</v>
      </c>
      <c r="B227" s="614">
        <v>1800</v>
      </c>
      <c r="C227" s="616"/>
      <c r="D227" s="466">
        <v>26899</v>
      </c>
      <c r="E227" s="616"/>
      <c r="F227" s="616"/>
      <c r="G227" s="616"/>
      <c r="H227" s="616"/>
      <c r="I227" s="616"/>
      <c r="J227" s="616"/>
      <c r="K227" s="1670">
        <f t="shared" si="19"/>
        <v>26899</v>
      </c>
      <c r="L227" s="466">
        <v>29963</v>
      </c>
    </row>
    <row r="228" spans="1:12">
      <c r="A228" s="1503" t="s">
        <v>1088</v>
      </c>
      <c r="B228" s="614">
        <v>1900</v>
      </c>
      <c r="C228" s="616"/>
      <c r="D228" s="466"/>
      <c r="E228" s="616"/>
      <c r="F228" s="616"/>
      <c r="G228" s="616"/>
      <c r="H228" s="616"/>
      <c r="I228" s="616"/>
      <c r="J228" s="616"/>
      <c r="K228" s="1670">
        <f t="shared" si="19"/>
        <v>0</v>
      </c>
      <c r="L228" s="466">
        <v>0</v>
      </c>
    </row>
    <row r="229" spans="1:12" ht="13.15" customHeight="1" thickBot="1">
      <c r="A229" s="1667" t="s">
        <v>715</v>
      </c>
      <c r="B229" s="1674" t="s">
        <v>570</v>
      </c>
      <c r="C229" s="616"/>
      <c r="D229" s="1669">
        <f>SUM(D215:D228)</f>
        <v>387237</v>
      </c>
      <c r="E229" s="616"/>
      <c r="F229" s="616"/>
      <c r="G229" s="616"/>
      <c r="H229" s="616"/>
      <c r="I229" s="616"/>
      <c r="J229" s="616"/>
      <c r="K229" s="1669">
        <f>SUM(K215:K228)</f>
        <v>387237</v>
      </c>
      <c r="L229" s="1669">
        <f>SUM(L215:L228)</f>
        <v>417730</v>
      </c>
    </row>
    <row r="230" spans="1:12" ht="15.75" customHeight="1" thickTop="1">
      <c r="A230" s="1611" t="s">
        <v>874</v>
      </c>
      <c r="B230" s="1612" t="s">
        <v>569</v>
      </c>
      <c r="C230" s="616"/>
      <c r="D230" s="616"/>
      <c r="E230" s="616"/>
      <c r="F230" s="616"/>
      <c r="G230" s="616"/>
      <c r="H230" s="616"/>
      <c r="I230" s="616"/>
      <c r="J230" s="616"/>
      <c r="K230" s="616"/>
      <c r="L230" s="616"/>
    </row>
    <row r="231" spans="1:12" ht="15.75" customHeight="1">
      <c r="A231" s="653" t="s">
        <v>591</v>
      </c>
      <c r="B231" s="622"/>
      <c r="C231" s="616"/>
      <c r="D231" s="616"/>
      <c r="E231" s="616"/>
      <c r="F231" s="616"/>
      <c r="G231" s="616"/>
      <c r="H231" s="616"/>
      <c r="I231" s="616"/>
      <c r="J231" s="616"/>
      <c r="K231" s="616"/>
      <c r="L231" s="616"/>
    </row>
    <row r="232" spans="1:12">
      <c r="A232" s="1503" t="s">
        <v>1089</v>
      </c>
      <c r="B232" s="614">
        <v>2110</v>
      </c>
      <c r="C232" s="616"/>
      <c r="D232" s="466">
        <v>3317</v>
      </c>
      <c r="E232" s="616"/>
      <c r="F232" s="616"/>
      <c r="G232" s="616"/>
      <c r="H232" s="616"/>
      <c r="I232" s="616"/>
      <c r="J232" s="616"/>
      <c r="K232" s="1670">
        <f t="shared" ref="K232:K237" si="20">D232</f>
        <v>3317</v>
      </c>
      <c r="L232" s="466">
        <v>3565</v>
      </c>
    </row>
    <row r="233" spans="1:12">
      <c r="A233" s="1503" t="s">
        <v>1090</v>
      </c>
      <c r="B233" s="614">
        <v>2120</v>
      </c>
      <c r="C233" s="616"/>
      <c r="D233" s="466">
        <v>7459</v>
      </c>
      <c r="E233" s="616"/>
      <c r="F233" s="616"/>
      <c r="G233" s="616"/>
      <c r="H233" s="616"/>
      <c r="I233" s="616"/>
      <c r="J233" s="616"/>
      <c r="K233" s="1670">
        <f t="shared" si="20"/>
        <v>7459</v>
      </c>
      <c r="L233" s="466">
        <v>8206</v>
      </c>
    </row>
    <row r="234" spans="1:12">
      <c r="A234" s="1503" t="s">
        <v>198</v>
      </c>
      <c r="B234" s="614">
        <v>2130</v>
      </c>
      <c r="C234" s="616"/>
      <c r="D234" s="466">
        <v>16452</v>
      </c>
      <c r="E234" s="616"/>
      <c r="F234" s="616"/>
      <c r="G234" s="616"/>
      <c r="H234" s="616"/>
      <c r="I234" s="616"/>
      <c r="J234" s="616"/>
      <c r="K234" s="1670">
        <f t="shared" si="20"/>
        <v>16452</v>
      </c>
      <c r="L234" s="466">
        <v>17714</v>
      </c>
    </row>
    <row r="235" spans="1:12">
      <c r="A235" s="1503" t="s">
        <v>199</v>
      </c>
      <c r="B235" s="614">
        <v>2140</v>
      </c>
      <c r="C235" s="616"/>
      <c r="D235" s="466">
        <v>1363</v>
      </c>
      <c r="E235" s="616"/>
      <c r="F235" s="616"/>
      <c r="G235" s="616"/>
      <c r="H235" s="616"/>
      <c r="I235" s="616"/>
      <c r="J235" s="616"/>
      <c r="K235" s="1670">
        <f t="shared" si="20"/>
        <v>1363</v>
      </c>
      <c r="L235" s="466">
        <v>1683</v>
      </c>
    </row>
    <row r="236" spans="1:12">
      <c r="A236" s="1503" t="s">
        <v>200</v>
      </c>
      <c r="B236" s="614">
        <v>2150</v>
      </c>
      <c r="C236" s="616"/>
      <c r="D236" s="466">
        <v>5167</v>
      </c>
      <c r="E236" s="616"/>
      <c r="F236" s="616"/>
      <c r="G236" s="616"/>
      <c r="H236" s="616"/>
      <c r="I236" s="616"/>
      <c r="J236" s="616"/>
      <c r="K236" s="1670">
        <f t="shared" si="20"/>
        <v>5167</v>
      </c>
      <c r="L236" s="466">
        <v>5643</v>
      </c>
    </row>
    <row r="237" spans="1:12">
      <c r="A237" s="1503" t="s">
        <v>165</v>
      </c>
      <c r="B237" s="614">
        <v>2190</v>
      </c>
      <c r="C237" s="616"/>
      <c r="D237" s="466">
        <v>27032</v>
      </c>
      <c r="E237" s="616"/>
      <c r="F237" s="616"/>
      <c r="G237" s="616"/>
      <c r="H237" s="616"/>
      <c r="I237" s="616"/>
      <c r="J237" s="616"/>
      <c r="K237" s="1670">
        <f t="shared" si="20"/>
        <v>27032</v>
      </c>
      <c r="L237" s="466">
        <v>34219</v>
      </c>
    </row>
    <row r="238" spans="1:12" ht="13.15" customHeight="1" thickBot="1">
      <c r="A238" s="1667" t="s">
        <v>560</v>
      </c>
      <c r="B238" s="1674" t="s">
        <v>716</v>
      </c>
      <c r="C238" s="616"/>
      <c r="D238" s="1669">
        <f>SUM(D232:D237)</f>
        <v>60790</v>
      </c>
      <c r="E238" s="616"/>
      <c r="F238" s="616"/>
      <c r="G238" s="616"/>
      <c r="H238" s="616"/>
      <c r="I238" s="616"/>
      <c r="J238" s="616"/>
      <c r="K238" s="1669">
        <f>SUM(K232:K237)</f>
        <v>60790</v>
      </c>
      <c r="L238" s="1669">
        <f>SUM(L232:L237)</f>
        <v>71030</v>
      </c>
    </row>
    <row r="239" spans="1:12" ht="15.75" customHeight="1" thickTop="1">
      <c r="A239" s="624" t="s">
        <v>592</v>
      </c>
      <c r="B239" s="631"/>
      <c r="C239" s="616"/>
      <c r="D239" s="626"/>
      <c r="E239" s="616"/>
      <c r="F239" s="616"/>
      <c r="G239" s="616"/>
      <c r="H239" s="616"/>
      <c r="I239" s="616"/>
      <c r="J239" s="616"/>
      <c r="K239" s="626"/>
      <c r="L239" s="626"/>
    </row>
    <row r="240" spans="1:12">
      <c r="A240" s="1503" t="s">
        <v>814</v>
      </c>
      <c r="B240" s="614">
        <v>2210</v>
      </c>
      <c r="C240" s="616"/>
      <c r="D240" s="481">
        <v>6923</v>
      </c>
      <c r="E240" s="616"/>
      <c r="F240" s="616"/>
      <c r="G240" s="616"/>
      <c r="H240" s="616"/>
      <c r="I240" s="616"/>
      <c r="J240" s="616"/>
      <c r="K240" s="1671">
        <f>D240</f>
        <v>6923</v>
      </c>
      <c r="L240" s="481">
        <v>7854</v>
      </c>
    </row>
    <row r="241" spans="1:12">
      <c r="A241" s="1503" t="s">
        <v>815</v>
      </c>
      <c r="B241" s="614">
        <v>2220</v>
      </c>
      <c r="C241" s="616"/>
      <c r="D241" s="466">
        <v>4332</v>
      </c>
      <c r="E241" s="616"/>
      <c r="F241" s="616"/>
      <c r="G241" s="616"/>
      <c r="H241" s="616"/>
      <c r="I241" s="616"/>
      <c r="J241" s="616"/>
      <c r="K241" s="1671">
        <f>D241</f>
        <v>4332</v>
      </c>
      <c r="L241" s="466">
        <v>4784</v>
      </c>
    </row>
    <row r="242" spans="1:12">
      <c r="A242" s="1503" t="s">
        <v>816</v>
      </c>
      <c r="B242" s="614">
        <v>2230</v>
      </c>
      <c r="C242" s="616"/>
      <c r="D242" s="466">
        <v>696</v>
      </c>
      <c r="E242" s="616"/>
      <c r="F242" s="616"/>
      <c r="G242" s="616"/>
      <c r="H242" s="616"/>
      <c r="I242" s="616"/>
      <c r="J242" s="616"/>
      <c r="K242" s="1671">
        <f>D242</f>
        <v>696</v>
      </c>
      <c r="L242" s="466">
        <v>600</v>
      </c>
    </row>
    <row r="243" spans="1:12" ht="13.15" customHeight="1" thickBot="1">
      <c r="A243" s="1693" t="s">
        <v>561</v>
      </c>
      <c r="B243" s="1694">
        <v>2200</v>
      </c>
      <c r="C243" s="616"/>
      <c r="D243" s="1669">
        <f>SUM(D240:D242)</f>
        <v>11951</v>
      </c>
      <c r="E243" s="616"/>
      <c r="F243" s="616"/>
      <c r="G243" s="616"/>
      <c r="H243" s="616"/>
      <c r="I243" s="616"/>
      <c r="J243" s="616"/>
      <c r="K243" s="1669">
        <f>SUM(K240:K242)</f>
        <v>11951</v>
      </c>
      <c r="L243" s="1669">
        <f>SUM(L240:L242)</f>
        <v>13238</v>
      </c>
    </row>
    <row r="244" spans="1:12" ht="15.75" customHeight="1" thickTop="1">
      <c r="A244" s="624" t="s">
        <v>610</v>
      </c>
      <c r="B244" s="682"/>
      <c r="C244" s="616"/>
      <c r="D244" s="626"/>
      <c r="E244" s="616"/>
      <c r="F244" s="616"/>
      <c r="G244" s="616"/>
      <c r="H244" s="616"/>
      <c r="I244" s="616"/>
      <c r="J244" s="616"/>
      <c r="K244" s="626"/>
      <c r="L244" s="626"/>
    </row>
    <row r="245" spans="1:12">
      <c r="A245" s="1503" t="s">
        <v>817</v>
      </c>
      <c r="B245" s="614">
        <v>2310</v>
      </c>
      <c r="C245" s="616"/>
      <c r="D245" s="481">
        <v>13849</v>
      </c>
      <c r="E245" s="616"/>
      <c r="F245" s="616"/>
      <c r="G245" s="616"/>
      <c r="H245" s="616"/>
      <c r="I245" s="616"/>
      <c r="J245" s="616"/>
      <c r="K245" s="1671">
        <f>D245</f>
        <v>13849</v>
      </c>
      <c r="L245" s="481">
        <v>14205</v>
      </c>
    </row>
    <row r="246" spans="1:12">
      <c r="A246" s="1503" t="s">
        <v>818</v>
      </c>
      <c r="B246" s="614">
        <v>2320</v>
      </c>
      <c r="C246" s="616"/>
      <c r="D246" s="466">
        <v>2458</v>
      </c>
      <c r="E246" s="616"/>
      <c r="F246" s="616"/>
      <c r="G246" s="616"/>
      <c r="H246" s="616"/>
      <c r="I246" s="616"/>
      <c r="J246" s="616"/>
      <c r="K246" s="1671">
        <f t="shared" ref="K246:K256" si="21">D246</f>
        <v>2458</v>
      </c>
      <c r="L246" s="466">
        <v>2462</v>
      </c>
    </row>
    <row r="247" spans="1:12">
      <c r="A247" s="1503" t="s">
        <v>819</v>
      </c>
      <c r="B247" s="614">
        <v>2330</v>
      </c>
      <c r="C247" s="616"/>
      <c r="D247" s="466">
        <v>16356</v>
      </c>
      <c r="E247" s="616"/>
      <c r="F247" s="616"/>
      <c r="G247" s="616"/>
      <c r="H247" s="616"/>
      <c r="I247" s="616"/>
      <c r="J247" s="616"/>
      <c r="K247" s="1671">
        <f t="shared" si="21"/>
        <v>16356</v>
      </c>
      <c r="L247" s="466">
        <v>17168</v>
      </c>
    </row>
    <row r="248" spans="1:12">
      <c r="A248" s="1504" t="s">
        <v>299</v>
      </c>
      <c r="B248" s="602" t="s">
        <v>281</v>
      </c>
      <c r="C248" s="616"/>
      <c r="D248" s="474"/>
      <c r="E248" s="616"/>
      <c r="F248" s="616"/>
      <c r="G248" s="616"/>
      <c r="H248" s="616"/>
      <c r="I248" s="616"/>
      <c r="J248" s="616"/>
      <c r="K248" s="1671">
        <f t="shared" si="21"/>
        <v>0</v>
      </c>
      <c r="L248" s="466">
        <v>0</v>
      </c>
    </row>
    <row r="249" spans="1:12">
      <c r="A249" s="1505" t="s">
        <v>1802</v>
      </c>
      <c r="B249" s="683" t="s">
        <v>282</v>
      </c>
      <c r="C249" s="616"/>
      <c r="D249" s="474"/>
      <c r="E249" s="616"/>
      <c r="F249" s="616"/>
      <c r="G249" s="616"/>
      <c r="H249" s="616"/>
      <c r="I249" s="616"/>
      <c r="J249" s="616"/>
      <c r="K249" s="1671">
        <f t="shared" si="21"/>
        <v>0</v>
      </c>
      <c r="L249" s="466">
        <v>0</v>
      </c>
    </row>
    <row r="250" spans="1:12">
      <c r="A250" s="1504" t="s">
        <v>1803</v>
      </c>
      <c r="B250" s="602" t="s">
        <v>283</v>
      </c>
      <c r="C250" s="616"/>
      <c r="D250" s="474"/>
      <c r="E250" s="616"/>
      <c r="F250" s="616"/>
      <c r="G250" s="616"/>
      <c r="H250" s="616"/>
      <c r="I250" s="616"/>
      <c r="J250" s="616"/>
      <c r="K250" s="1671">
        <f t="shared" si="21"/>
        <v>0</v>
      </c>
      <c r="L250" s="466">
        <v>0</v>
      </c>
    </row>
    <row r="251" spans="1:12">
      <c r="A251" s="1504" t="s">
        <v>238</v>
      </c>
      <c r="B251" s="602" t="s">
        <v>284</v>
      </c>
      <c r="C251" s="616"/>
      <c r="D251" s="474"/>
      <c r="E251" s="616"/>
      <c r="F251" s="616"/>
      <c r="G251" s="616"/>
      <c r="H251" s="616"/>
      <c r="I251" s="616"/>
      <c r="J251" s="616"/>
      <c r="K251" s="1671">
        <f t="shared" si="21"/>
        <v>0</v>
      </c>
      <c r="L251" s="466">
        <v>0</v>
      </c>
    </row>
    <row r="252" spans="1:12">
      <c r="A252" s="1504" t="s">
        <v>702</v>
      </c>
      <c r="B252" s="602" t="s">
        <v>285</v>
      </c>
      <c r="C252" s="616"/>
      <c r="D252" s="474"/>
      <c r="E252" s="616"/>
      <c r="F252" s="616"/>
      <c r="G252" s="616"/>
      <c r="H252" s="616"/>
      <c r="I252" s="616"/>
      <c r="J252" s="616"/>
      <c r="K252" s="1671">
        <f t="shared" si="21"/>
        <v>0</v>
      </c>
      <c r="L252" s="466">
        <v>0</v>
      </c>
    </row>
    <row r="253" spans="1:12">
      <c r="A253" s="1504" t="s">
        <v>239</v>
      </c>
      <c r="B253" s="602" t="s">
        <v>286</v>
      </c>
      <c r="C253" s="616"/>
      <c r="D253" s="474"/>
      <c r="E253" s="616"/>
      <c r="F253" s="616"/>
      <c r="G253" s="616"/>
      <c r="H253" s="616"/>
      <c r="I253" s="616"/>
      <c r="J253" s="616"/>
      <c r="K253" s="1671">
        <f t="shared" si="21"/>
        <v>0</v>
      </c>
      <c r="L253" s="466">
        <v>0</v>
      </c>
    </row>
    <row r="254" spans="1:12" ht="22.5">
      <c r="A254" s="1504" t="s">
        <v>1029</v>
      </c>
      <c r="B254" s="683" t="s">
        <v>287</v>
      </c>
      <c r="C254" s="616"/>
      <c r="D254" s="474"/>
      <c r="E254" s="616"/>
      <c r="F254" s="616"/>
      <c r="G254" s="616"/>
      <c r="H254" s="616"/>
      <c r="I254" s="616"/>
      <c r="J254" s="616"/>
      <c r="K254" s="1671">
        <f t="shared" si="21"/>
        <v>0</v>
      </c>
      <c r="L254" s="466">
        <v>0</v>
      </c>
    </row>
    <row r="255" spans="1:12">
      <c r="A255" s="1504" t="s">
        <v>1030</v>
      </c>
      <c r="B255" s="602" t="s">
        <v>288</v>
      </c>
      <c r="C255" s="616"/>
      <c r="D255" s="474"/>
      <c r="E255" s="616"/>
      <c r="F255" s="616"/>
      <c r="G255" s="616"/>
      <c r="H255" s="616"/>
      <c r="I255" s="616"/>
      <c r="J255" s="616"/>
      <c r="K255" s="1671">
        <f t="shared" si="21"/>
        <v>0</v>
      </c>
      <c r="L255" s="466">
        <v>0</v>
      </c>
    </row>
    <row r="256" spans="1:12">
      <c r="A256" s="1504" t="s">
        <v>971</v>
      </c>
      <c r="B256" s="614" t="s">
        <v>289</v>
      </c>
      <c r="C256" s="616"/>
      <c r="D256" s="474"/>
      <c r="E256" s="616"/>
      <c r="F256" s="616"/>
      <c r="G256" s="616"/>
      <c r="H256" s="616"/>
      <c r="I256" s="616"/>
      <c r="J256" s="616"/>
      <c r="K256" s="1671">
        <f t="shared" si="21"/>
        <v>0</v>
      </c>
      <c r="L256" s="466">
        <v>0</v>
      </c>
    </row>
    <row r="257" spans="1:14" ht="13.15" customHeight="1" thickBot="1">
      <c r="A257" s="1667" t="s">
        <v>717</v>
      </c>
      <c r="B257" s="1695">
        <v>2300</v>
      </c>
      <c r="C257" s="616"/>
      <c r="D257" s="1669">
        <f>SUM(D245:D256)</f>
        <v>32663</v>
      </c>
      <c r="E257" s="616"/>
      <c r="F257" s="616"/>
      <c r="G257" s="616"/>
      <c r="H257" s="616"/>
      <c r="I257" s="616"/>
      <c r="J257" s="616"/>
      <c r="K257" s="1669">
        <f>SUM(K245:K256)</f>
        <v>32663</v>
      </c>
      <c r="L257" s="1669">
        <f>SUM(L245:L256)</f>
        <v>33835</v>
      </c>
    </row>
    <row r="258" spans="1:14" ht="15.75" customHeight="1" thickTop="1">
      <c r="A258" s="624" t="s">
        <v>611</v>
      </c>
      <c r="B258" s="684"/>
      <c r="C258" s="616"/>
      <c r="D258" s="626"/>
      <c r="E258" s="616"/>
      <c r="F258" s="616"/>
      <c r="G258" s="616"/>
      <c r="H258" s="616"/>
      <c r="I258" s="616"/>
      <c r="J258" s="616"/>
      <c r="K258" s="626"/>
      <c r="L258" s="626"/>
    </row>
    <row r="259" spans="1:14">
      <c r="A259" s="1503" t="s">
        <v>1067</v>
      </c>
      <c r="B259" s="685">
        <v>2410</v>
      </c>
      <c r="C259" s="616"/>
      <c r="D259" s="481">
        <v>66449</v>
      </c>
      <c r="E259" s="616"/>
      <c r="F259" s="616"/>
      <c r="G259" s="616"/>
      <c r="H259" s="616"/>
      <c r="I259" s="616"/>
      <c r="J259" s="616"/>
      <c r="K259" s="1671">
        <f>D259</f>
        <v>66449</v>
      </c>
      <c r="L259" s="481">
        <v>74581</v>
      </c>
    </row>
    <row r="260" spans="1:14" s="597" customFormat="1">
      <c r="A260" s="1521" t="s">
        <v>1801</v>
      </c>
      <c r="B260" s="628">
        <v>2490</v>
      </c>
      <c r="C260" s="616"/>
      <c r="D260" s="466"/>
      <c r="E260" s="616"/>
      <c r="F260" s="616"/>
      <c r="G260" s="616"/>
      <c r="H260" s="616"/>
      <c r="I260" s="616"/>
      <c r="J260" s="616"/>
      <c r="K260" s="1671">
        <f>D260</f>
        <v>0</v>
      </c>
      <c r="L260" s="466">
        <v>0</v>
      </c>
      <c r="M260" s="210"/>
      <c r="N260" s="210"/>
    </row>
    <row r="261" spans="1:14" ht="13.15" customHeight="1" thickBot="1">
      <c r="A261" s="1691" t="s">
        <v>263</v>
      </c>
      <c r="B261" s="1696" t="s">
        <v>34</v>
      </c>
      <c r="C261" s="616"/>
      <c r="D261" s="1669">
        <f>SUM(D259:D260)</f>
        <v>66449</v>
      </c>
      <c r="E261" s="616"/>
      <c r="F261" s="616"/>
      <c r="G261" s="616"/>
      <c r="H261" s="616"/>
      <c r="I261" s="616"/>
      <c r="J261" s="616"/>
      <c r="K261" s="1669">
        <f>SUM(K259:K260)</f>
        <v>66449</v>
      </c>
      <c r="L261" s="1669">
        <f>SUM(L259:L260)</f>
        <v>74581</v>
      </c>
    </row>
    <row r="262" spans="1:14" ht="15.75" customHeight="1" thickTop="1">
      <c r="A262" s="624" t="s">
        <v>612</v>
      </c>
      <c r="B262" s="684"/>
      <c r="C262" s="616"/>
      <c r="D262" s="616"/>
      <c r="E262" s="616"/>
      <c r="F262" s="616"/>
      <c r="G262" s="616"/>
      <c r="H262" s="616"/>
      <c r="I262" s="616"/>
      <c r="J262" s="616"/>
      <c r="K262" s="626"/>
      <c r="L262" s="626"/>
    </row>
    <row r="263" spans="1:14">
      <c r="A263" s="1503" t="s">
        <v>1068</v>
      </c>
      <c r="B263" s="685">
        <v>2510</v>
      </c>
      <c r="C263" s="616"/>
      <c r="D263" s="466">
        <v>27281</v>
      </c>
      <c r="E263" s="616"/>
      <c r="F263" s="616"/>
      <c r="G263" s="616"/>
      <c r="H263" s="616"/>
      <c r="I263" s="616"/>
      <c r="J263" s="616"/>
      <c r="K263" s="1671">
        <f>D263</f>
        <v>27281</v>
      </c>
      <c r="L263" s="481">
        <v>28664</v>
      </c>
    </row>
    <row r="264" spans="1:14">
      <c r="A264" s="1503" t="s">
        <v>463</v>
      </c>
      <c r="B264" s="685">
        <v>2520</v>
      </c>
      <c r="C264" s="616"/>
      <c r="D264" s="466">
        <v>21834</v>
      </c>
      <c r="E264" s="616"/>
      <c r="F264" s="616"/>
      <c r="G264" s="616"/>
      <c r="H264" s="616"/>
      <c r="I264" s="616"/>
      <c r="J264" s="616"/>
      <c r="K264" s="1671">
        <f t="shared" ref="K264:K269" si="22">D264</f>
        <v>21834</v>
      </c>
      <c r="L264" s="466">
        <v>22403</v>
      </c>
    </row>
    <row r="265" spans="1:14">
      <c r="A265" s="1503" t="s">
        <v>4</v>
      </c>
      <c r="B265" s="614">
        <v>2530</v>
      </c>
      <c r="C265" s="616"/>
      <c r="D265" s="466"/>
      <c r="E265" s="616"/>
      <c r="F265" s="616"/>
      <c r="G265" s="616"/>
      <c r="H265" s="616"/>
      <c r="I265" s="616"/>
      <c r="J265" s="616"/>
      <c r="K265" s="1671">
        <f t="shared" si="22"/>
        <v>0</v>
      </c>
      <c r="L265" s="466">
        <v>0</v>
      </c>
    </row>
    <row r="266" spans="1:14">
      <c r="A266" s="1503" t="s">
        <v>197</v>
      </c>
      <c r="B266" s="614">
        <v>2540</v>
      </c>
      <c r="C266" s="616"/>
      <c r="D266" s="466">
        <v>225567</v>
      </c>
      <c r="E266" s="616"/>
      <c r="F266" s="616"/>
      <c r="G266" s="616"/>
      <c r="H266" s="616"/>
      <c r="I266" s="616"/>
      <c r="J266" s="616"/>
      <c r="K266" s="1671">
        <f t="shared" si="22"/>
        <v>225567</v>
      </c>
      <c r="L266" s="466">
        <v>261158</v>
      </c>
    </row>
    <row r="267" spans="1:14">
      <c r="A267" s="1503" t="s">
        <v>953</v>
      </c>
      <c r="B267" s="614">
        <v>2550</v>
      </c>
      <c r="C267" s="616"/>
      <c r="D267" s="466">
        <v>192420</v>
      </c>
      <c r="E267" s="616"/>
      <c r="F267" s="616"/>
      <c r="G267" s="616"/>
      <c r="H267" s="616"/>
      <c r="I267" s="616"/>
      <c r="J267" s="616"/>
      <c r="K267" s="1671">
        <f t="shared" si="22"/>
        <v>192420</v>
      </c>
      <c r="L267" s="466">
        <v>196847</v>
      </c>
    </row>
    <row r="268" spans="1:14">
      <c r="A268" s="1503" t="s">
        <v>100</v>
      </c>
      <c r="B268" s="614">
        <v>2560</v>
      </c>
      <c r="C268" s="616"/>
      <c r="D268" s="466">
        <v>106905</v>
      </c>
      <c r="E268" s="616"/>
      <c r="F268" s="616"/>
      <c r="G268" s="616"/>
      <c r="H268" s="616"/>
      <c r="I268" s="616"/>
      <c r="J268" s="616"/>
      <c r="K268" s="1671">
        <f t="shared" si="22"/>
        <v>106905</v>
      </c>
      <c r="L268" s="466">
        <v>105247</v>
      </c>
    </row>
    <row r="269" spans="1:14">
      <c r="A269" s="1503" t="s">
        <v>101</v>
      </c>
      <c r="B269" s="614">
        <v>2570</v>
      </c>
      <c r="C269" s="616"/>
      <c r="D269" s="466">
        <v>4440</v>
      </c>
      <c r="E269" s="616"/>
      <c r="F269" s="616"/>
      <c r="G269" s="616"/>
      <c r="H269" s="616"/>
      <c r="I269" s="616"/>
      <c r="J269" s="616"/>
      <c r="K269" s="1671">
        <f t="shared" si="22"/>
        <v>4440</v>
      </c>
      <c r="L269" s="466">
        <v>4568</v>
      </c>
    </row>
    <row r="270" spans="1:14" ht="13.15" customHeight="1" thickBot="1">
      <c r="A270" s="1667" t="s">
        <v>719</v>
      </c>
      <c r="B270" s="1674" t="s">
        <v>35</v>
      </c>
      <c r="C270" s="616"/>
      <c r="D270" s="1669">
        <f>SUM(D263:D269)</f>
        <v>578447</v>
      </c>
      <c r="E270" s="616"/>
      <c r="F270" s="616"/>
      <c r="G270" s="616"/>
      <c r="H270" s="616"/>
      <c r="I270" s="616"/>
      <c r="J270" s="616"/>
      <c r="K270" s="1669">
        <f>SUM(K263:K269)</f>
        <v>578447</v>
      </c>
      <c r="L270" s="1669">
        <f>SUM(L263:L269)</f>
        <v>618887</v>
      </c>
    </row>
    <row r="271" spans="1:14" ht="15.75" customHeight="1" thickTop="1">
      <c r="A271" s="669" t="s">
        <v>613</v>
      </c>
      <c r="B271" s="625"/>
      <c r="C271" s="616"/>
      <c r="D271" s="626"/>
      <c r="E271" s="616"/>
      <c r="F271" s="616"/>
      <c r="G271" s="616"/>
      <c r="H271" s="616"/>
      <c r="I271" s="616"/>
      <c r="J271" s="616"/>
      <c r="K271" s="626"/>
      <c r="L271" s="626"/>
    </row>
    <row r="272" spans="1:14">
      <c r="A272" s="1503" t="s">
        <v>1060</v>
      </c>
      <c r="B272" s="614">
        <v>2610</v>
      </c>
      <c r="C272" s="616"/>
      <c r="D272" s="481">
        <v>11165</v>
      </c>
      <c r="E272" s="616"/>
      <c r="F272" s="616"/>
      <c r="G272" s="616"/>
      <c r="H272" s="616"/>
      <c r="I272" s="616"/>
      <c r="J272" s="616"/>
      <c r="K272" s="1671">
        <f>D272</f>
        <v>11165</v>
      </c>
      <c r="L272" s="481">
        <v>11568</v>
      </c>
    </row>
    <row r="273" spans="1:12">
      <c r="A273" s="1503" t="s">
        <v>607</v>
      </c>
      <c r="B273" s="628">
        <v>2620</v>
      </c>
      <c r="C273" s="616"/>
      <c r="D273" s="466">
        <v>6</v>
      </c>
      <c r="E273" s="616"/>
      <c r="F273" s="616"/>
      <c r="G273" s="616"/>
      <c r="H273" s="616"/>
      <c r="I273" s="616"/>
      <c r="J273" s="616"/>
      <c r="K273" s="1671">
        <f>D273</f>
        <v>6</v>
      </c>
      <c r="L273" s="466">
        <v>11</v>
      </c>
    </row>
    <row r="274" spans="1:12" ht="12" customHeight="1">
      <c r="A274" s="1503" t="s">
        <v>1061</v>
      </c>
      <c r="B274" s="614">
        <v>2630</v>
      </c>
      <c r="C274" s="616"/>
      <c r="D274" s="466">
        <v>82484</v>
      </c>
      <c r="E274" s="616"/>
      <c r="F274" s="616"/>
      <c r="G274" s="616"/>
      <c r="H274" s="616"/>
      <c r="I274" s="616"/>
      <c r="J274" s="616"/>
      <c r="K274" s="1671">
        <f>D274</f>
        <v>82484</v>
      </c>
      <c r="L274" s="466">
        <v>85192</v>
      </c>
    </row>
    <row r="275" spans="1:12">
      <c r="A275" s="1503" t="s">
        <v>403</v>
      </c>
      <c r="B275" s="614">
        <v>2640</v>
      </c>
      <c r="C275" s="616"/>
      <c r="D275" s="466">
        <v>25209</v>
      </c>
      <c r="E275" s="616"/>
      <c r="F275" s="616"/>
      <c r="G275" s="616"/>
      <c r="H275" s="616"/>
      <c r="I275" s="616"/>
      <c r="J275" s="616"/>
      <c r="K275" s="1671">
        <f>D275</f>
        <v>25209</v>
      </c>
      <c r="L275" s="466">
        <v>25908</v>
      </c>
    </row>
    <row r="276" spans="1:12">
      <c r="A276" s="1503" t="s">
        <v>404</v>
      </c>
      <c r="B276" s="614">
        <v>2660</v>
      </c>
      <c r="C276" s="616"/>
      <c r="D276" s="466"/>
      <c r="E276" s="616"/>
      <c r="F276" s="616"/>
      <c r="G276" s="616"/>
      <c r="H276" s="616"/>
      <c r="I276" s="616"/>
      <c r="J276" s="616"/>
      <c r="K276" s="1671">
        <f>D276</f>
        <v>0</v>
      </c>
      <c r="L276" s="466">
        <v>0</v>
      </c>
    </row>
    <row r="277" spans="1:12" ht="13.15" customHeight="1" thickBot="1">
      <c r="A277" s="1690" t="s">
        <v>37</v>
      </c>
      <c r="B277" s="1668" t="s">
        <v>36</v>
      </c>
      <c r="C277" s="616"/>
      <c r="D277" s="1669">
        <f>SUM(D272:D276)</f>
        <v>118864</v>
      </c>
      <c r="E277" s="616"/>
      <c r="F277" s="616"/>
      <c r="G277" s="616"/>
      <c r="H277" s="616"/>
      <c r="I277" s="616"/>
      <c r="J277" s="616"/>
      <c r="K277" s="1669">
        <f>SUM(K272:K276)</f>
        <v>118864</v>
      </c>
      <c r="L277" s="1669">
        <f>SUM(L272:L276)</f>
        <v>122679</v>
      </c>
    </row>
    <row r="278" spans="1:12" ht="13.5" customHeight="1" thickTop="1">
      <c r="A278" s="1509" t="s">
        <v>980</v>
      </c>
      <c r="B278" s="655" t="s">
        <v>574</v>
      </c>
      <c r="C278" s="616"/>
      <c r="D278" s="656"/>
      <c r="E278" s="616"/>
      <c r="F278" s="616"/>
      <c r="G278" s="616"/>
      <c r="H278" s="616"/>
      <c r="I278" s="616"/>
      <c r="J278" s="616"/>
      <c r="K278" s="1684">
        <f>D278</f>
        <v>0</v>
      </c>
      <c r="L278" s="656">
        <v>0</v>
      </c>
    </row>
    <row r="279" spans="1:12" ht="13.15" customHeight="1" thickBot="1">
      <c r="A279" s="1697" t="s">
        <v>811</v>
      </c>
      <c r="B279" s="1680">
        <v>2000</v>
      </c>
      <c r="C279" s="616"/>
      <c r="D279" s="1676">
        <f>SUM(D238,D243,D257,D261,D270,D277,D278)</f>
        <v>869164</v>
      </c>
      <c r="E279" s="616"/>
      <c r="F279" s="616"/>
      <c r="G279" s="616"/>
      <c r="H279" s="616"/>
      <c r="I279" s="616"/>
      <c r="J279" s="616"/>
      <c r="K279" s="1676">
        <f>SUM(K238,K243,K257,K261,K270,K277,K278)</f>
        <v>869164</v>
      </c>
      <c r="L279" s="1676">
        <f>SUM(L238,L243,L257,L261,L270,L277,L278)</f>
        <v>934250</v>
      </c>
    </row>
    <row r="280" spans="1:12" ht="15.75" customHeight="1" thickTop="1" thickBot="1">
      <c r="A280" s="1623" t="s">
        <v>875</v>
      </c>
      <c r="B280" s="1612">
        <v>3000</v>
      </c>
      <c r="C280" s="616"/>
      <c r="D280" s="576">
        <f>5014+89+1343</f>
        <v>6446</v>
      </c>
      <c r="E280" s="616"/>
      <c r="F280" s="616"/>
      <c r="G280" s="616"/>
      <c r="H280" s="616"/>
      <c r="I280" s="616"/>
      <c r="J280" s="616"/>
      <c r="K280" s="1678">
        <f>D280</f>
        <v>6446</v>
      </c>
      <c r="L280" s="576">
        <v>8243</v>
      </c>
    </row>
    <row r="281" spans="1:12" ht="15.75" customHeight="1" thickTop="1">
      <c r="A281" s="1613" t="s">
        <v>142</v>
      </c>
      <c r="B281" s="1614" t="s">
        <v>860</v>
      </c>
      <c r="C281" s="616"/>
      <c r="D281" s="566"/>
      <c r="E281" s="616"/>
      <c r="F281" s="616"/>
      <c r="G281" s="616"/>
      <c r="H281" s="616"/>
      <c r="I281" s="616"/>
      <c r="J281" s="616"/>
      <c r="K281" s="616"/>
      <c r="L281" s="616"/>
    </row>
    <row r="282" spans="1:12" ht="15.75" customHeight="1">
      <c r="A282" s="1829" t="s">
        <v>496</v>
      </c>
      <c r="B282" s="690" t="s">
        <v>1842</v>
      </c>
      <c r="C282" s="616"/>
      <c r="D282" s="467"/>
      <c r="E282" s="616"/>
      <c r="F282" s="616"/>
      <c r="G282" s="616"/>
      <c r="H282" s="616"/>
      <c r="I282" s="616"/>
      <c r="J282" s="616"/>
      <c r="K282" s="1670">
        <f>D282</f>
        <v>0</v>
      </c>
      <c r="L282" s="467">
        <v>0</v>
      </c>
    </row>
    <row r="283" spans="1:12">
      <c r="A283" s="1503" t="s">
        <v>304</v>
      </c>
      <c r="B283" s="614">
        <v>4120</v>
      </c>
      <c r="C283" s="616"/>
      <c r="D283" s="466"/>
      <c r="E283" s="616"/>
      <c r="F283" s="616"/>
      <c r="G283" s="616"/>
      <c r="H283" s="616"/>
      <c r="I283" s="616"/>
      <c r="J283" s="616"/>
      <c r="K283" s="1670">
        <f>D283</f>
        <v>0</v>
      </c>
      <c r="L283" s="466">
        <v>0</v>
      </c>
    </row>
    <row r="284" spans="1:12">
      <c r="A284" s="1503" t="s">
        <v>697</v>
      </c>
      <c r="B284" s="614">
        <v>4140</v>
      </c>
      <c r="C284" s="616"/>
      <c r="D284" s="467"/>
      <c r="E284" s="616"/>
      <c r="F284" s="616"/>
      <c r="G284" s="616"/>
      <c r="H284" s="616"/>
      <c r="I284" s="616"/>
      <c r="J284" s="616"/>
      <c r="K284" s="1670">
        <f>D284</f>
        <v>0</v>
      </c>
      <c r="L284" s="466">
        <v>0</v>
      </c>
    </row>
    <row r="285" spans="1:12" ht="13.15" customHeight="1" thickBot="1">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c r="A286" s="1611" t="s">
        <v>876</v>
      </c>
      <c r="B286" s="1608" t="s">
        <v>492</v>
      </c>
      <c r="C286" s="616"/>
      <c r="D286" s="616"/>
      <c r="E286" s="616"/>
      <c r="F286" s="616"/>
      <c r="G286" s="616"/>
      <c r="H286" s="616"/>
      <c r="I286" s="616"/>
      <c r="J286" s="616"/>
      <c r="K286" s="616"/>
      <c r="L286" s="616"/>
    </row>
    <row r="287" spans="1:12" ht="15.75" customHeight="1">
      <c r="A287" s="653" t="s">
        <v>93</v>
      </c>
      <c r="B287" s="622"/>
      <c r="C287" s="616"/>
      <c r="D287" s="616"/>
      <c r="E287" s="616"/>
      <c r="F287" s="616"/>
      <c r="G287" s="616"/>
      <c r="H287" s="623"/>
      <c r="I287" s="616"/>
      <c r="J287" s="616"/>
      <c r="K287" s="616"/>
      <c r="L287" s="616"/>
    </row>
    <row r="288" spans="1:12">
      <c r="A288" s="1503" t="s">
        <v>87</v>
      </c>
      <c r="B288" s="614">
        <v>5110</v>
      </c>
      <c r="C288" s="616"/>
      <c r="D288" s="616"/>
      <c r="E288" s="616"/>
      <c r="F288" s="616"/>
      <c r="G288" s="616"/>
      <c r="H288" s="466"/>
      <c r="I288" s="616"/>
      <c r="J288" s="616"/>
      <c r="K288" s="1670">
        <f>H288</f>
        <v>0</v>
      </c>
      <c r="L288" s="466">
        <v>0</v>
      </c>
    </row>
    <row r="289" spans="1:14">
      <c r="A289" s="1503" t="s">
        <v>88</v>
      </c>
      <c r="B289" s="614">
        <v>5120</v>
      </c>
      <c r="C289" s="616"/>
      <c r="D289" s="616"/>
      <c r="E289" s="616"/>
      <c r="F289" s="616"/>
      <c r="G289" s="616"/>
      <c r="H289" s="466"/>
      <c r="I289" s="616"/>
      <c r="J289" s="616"/>
      <c r="K289" s="1670">
        <f>H289</f>
        <v>0</v>
      </c>
      <c r="L289" s="466">
        <v>0</v>
      </c>
    </row>
    <row r="290" spans="1:14" ht="13.15" customHeight="1">
      <c r="A290" s="1503" t="s">
        <v>1170</v>
      </c>
      <c r="B290" s="628" t="s">
        <v>617</v>
      </c>
      <c r="C290" s="616"/>
      <c r="D290" s="616"/>
      <c r="E290" s="616"/>
      <c r="F290" s="616"/>
      <c r="G290" s="616"/>
      <c r="H290" s="466"/>
      <c r="I290" s="616"/>
      <c r="J290" s="616"/>
      <c r="K290" s="1670">
        <f>H290</f>
        <v>0</v>
      </c>
      <c r="L290" s="466">
        <v>0</v>
      </c>
    </row>
    <row r="291" spans="1:14">
      <c r="A291" s="1503" t="s">
        <v>89</v>
      </c>
      <c r="B291" s="614" t="s">
        <v>589</v>
      </c>
      <c r="C291" s="616"/>
      <c r="D291" s="616"/>
      <c r="E291" s="616"/>
      <c r="F291" s="616"/>
      <c r="G291" s="616"/>
      <c r="H291" s="466"/>
      <c r="I291" s="616"/>
      <c r="J291" s="616"/>
      <c r="K291" s="1670">
        <f>H291</f>
        <v>0</v>
      </c>
      <c r="L291" s="466">
        <v>0</v>
      </c>
    </row>
    <row r="292" spans="1:14">
      <c r="A292" s="1503" t="s">
        <v>762</v>
      </c>
      <c r="B292" s="614" t="s">
        <v>618</v>
      </c>
      <c r="C292" s="616"/>
      <c r="D292" s="616"/>
      <c r="E292" s="616"/>
      <c r="F292" s="616"/>
      <c r="G292" s="616"/>
      <c r="H292" s="466"/>
      <c r="I292" s="616"/>
      <c r="J292" s="616"/>
      <c r="K292" s="1670">
        <f>H292</f>
        <v>0</v>
      </c>
      <c r="L292" s="466">
        <v>0</v>
      </c>
    </row>
    <row r="293" spans="1:14" ht="13.15" customHeight="1" thickBot="1">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c r="A294" s="1624" t="s">
        <v>877</v>
      </c>
      <c r="B294" s="1612" t="s">
        <v>861</v>
      </c>
      <c r="C294" s="616"/>
      <c r="D294" s="623"/>
      <c r="E294" s="616"/>
      <c r="F294" s="616"/>
      <c r="G294" s="616"/>
      <c r="H294" s="686"/>
      <c r="I294" s="616"/>
      <c r="J294" s="616"/>
      <c r="K294" s="686"/>
      <c r="L294" s="578">
        <v>0</v>
      </c>
    </row>
    <row r="295" spans="1:14" ht="13.15" customHeight="1" thickTop="1" thickBot="1">
      <c r="A295" s="2231" t="s">
        <v>505</v>
      </c>
      <c r="B295" s="2232"/>
      <c r="C295" s="616"/>
      <c r="D295" s="1669">
        <f>SUM(D229,D279,D280,D285)</f>
        <v>1262847</v>
      </c>
      <c r="E295" s="616"/>
      <c r="F295" s="616"/>
      <c r="G295" s="616"/>
      <c r="H295" s="1669">
        <f>H293</f>
        <v>0</v>
      </c>
      <c r="I295" s="616"/>
      <c r="J295" s="616"/>
      <c r="K295" s="1669">
        <f>SUM(K229,K279,K280,K285,K293,K294)</f>
        <v>1262847</v>
      </c>
      <c r="L295" s="1669">
        <f>SUM(L229,L279,L280,L285,L293,L294)</f>
        <v>1360223</v>
      </c>
    </row>
    <row r="296" spans="1:14" ht="13.5" thickTop="1">
      <c r="A296" s="2213" t="s">
        <v>996</v>
      </c>
      <c r="B296" s="2214"/>
      <c r="C296" s="616"/>
      <c r="D296" s="618"/>
      <c r="E296" s="616"/>
      <c r="F296" s="616"/>
      <c r="G296" s="616"/>
      <c r="H296" s="687"/>
      <c r="I296" s="616"/>
      <c r="J296" s="616"/>
      <c r="K296" s="1683">
        <f>'Revenues 9-14'!G268-'Expenditures 15-22'!K295</f>
        <v>223176</v>
      </c>
      <c r="L296" s="687"/>
    </row>
    <row r="297" spans="1:14" s="666" customFormat="1" ht="9.4" customHeight="1">
      <c r="A297" s="663"/>
      <c r="B297" s="673"/>
      <c r="C297" s="650"/>
      <c r="D297" s="650"/>
      <c r="E297" s="650"/>
      <c r="F297" s="650"/>
      <c r="G297" s="650"/>
      <c r="H297" s="650"/>
      <c r="I297" s="650"/>
      <c r="J297" s="650"/>
      <c r="K297" s="650"/>
      <c r="L297" s="650"/>
      <c r="M297" s="665"/>
      <c r="N297" s="665"/>
    </row>
    <row r="298" spans="1:14" ht="16.7" customHeight="1">
      <c r="A298" s="2223" t="s">
        <v>143</v>
      </c>
      <c r="B298" s="2217"/>
      <c r="C298" s="1550"/>
      <c r="D298" s="1551"/>
      <c r="E298" s="1551"/>
      <c r="F298" s="1551"/>
      <c r="G298" s="1551"/>
      <c r="H298" s="1551"/>
      <c r="I298" s="1551"/>
      <c r="J298" s="1551"/>
      <c r="K298" s="1551"/>
      <c r="L298" s="1552"/>
    </row>
    <row r="299" spans="1:14" ht="15.75" customHeight="1">
      <c r="A299" s="1611" t="s">
        <v>144</v>
      </c>
      <c r="B299" s="1614" t="s">
        <v>569</v>
      </c>
      <c r="C299" s="616"/>
      <c r="D299" s="616"/>
      <c r="E299" s="616"/>
      <c r="F299" s="616"/>
      <c r="G299" s="616"/>
      <c r="H299" s="616"/>
      <c r="I299" s="616"/>
      <c r="J299" s="616"/>
      <c r="K299" s="616"/>
      <c r="L299" s="616"/>
    </row>
    <row r="300" spans="1:14" ht="15.75" customHeight="1">
      <c r="A300" s="688" t="s">
        <v>612</v>
      </c>
      <c r="B300" s="631"/>
      <c r="C300" s="623"/>
      <c r="D300" s="623"/>
      <c r="E300" s="623"/>
      <c r="F300" s="623"/>
      <c r="G300" s="623"/>
      <c r="H300" s="623"/>
      <c r="I300" s="616"/>
      <c r="J300" s="616"/>
      <c r="K300" s="623"/>
      <c r="L300" s="623"/>
    </row>
    <row r="301" spans="1:14">
      <c r="A301" s="1516" t="s">
        <v>608</v>
      </c>
      <c r="B301" s="689">
        <v>2530</v>
      </c>
      <c r="C301" s="466"/>
      <c r="D301" s="466"/>
      <c r="E301" s="466">
        <v>21182</v>
      </c>
      <c r="F301" s="466"/>
      <c r="G301" s="466">
        <v>3381</v>
      </c>
      <c r="H301" s="466"/>
      <c r="I301" s="467"/>
      <c r="J301" s="467"/>
      <c r="K301" s="1670">
        <f>SUM(C301:J301)</f>
        <v>24563</v>
      </c>
      <c r="L301" s="467">
        <v>343729</v>
      </c>
    </row>
    <row r="302" spans="1:14" ht="13.5" customHeight="1">
      <c r="A302" s="1516" t="s">
        <v>980</v>
      </c>
      <c r="B302" s="614" t="s">
        <v>574</v>
      </c>
      <c r="C302" s="466"/>
      <c r="D302" s="466"/>
      <c r="E302" s="466"/>
      <c r="F302" s="466"/>
      <c r="G302" s="466"/>
      <c r="H302" s="466"/>
      <c r="I302" s="467"/>
      <c r="J302" s="467"/>
      <c r="K302" s="1670">
        <f>SUM(C302:J302)</f>
        <v>0</v>
      </c>
      <c r="L302" s="466">
        <v>0</v>
      </c>
    </row>
    <row r="303" spans="1:14" ht="13.15" customHeight="1" thickBot="1">
      <c r="A303" s="1667" t="s">
        <v>811</v>
      </c>
      <c r="B303" s="1668" t="s">
        <v>569</v>
      </c>
      <c r="C303" s="1676">
        <f>SUM(C301:C302)</f>
        <v>0</v>
      </c>
      <c r="D303" s="1676">
        <f t="shared" ref="D303:L303" si="23">SUM(D301:D302)</f>
        <v>0</v>
      </c>
      <c r="E303" s="1676">
        <f t="shared" si="23"/>
        <v>21182</v>
      </c>
      <c r="F303" s="1676">
        <f t="shared" si="23"/>
        <v>0</v>
      </c>
      <c r="G303" s="1676">
        <f t="shared" si="23"/>
        <v>3381</v>
      </c>
      <c r="H303" s="1676">
        <f t="shared" si="23"/>
        <v>0</v>
      </c>
      <c r="I303" s="1676">
        <f t="shared" si="23"/>
        <v>0</v>
      </c>
      <c r="J303" s="1676">
        <f t="shared" si="23"/>
        <v>0</v>
      </c>
      <c r="K303" s="1676">
        <f t="shared" si="23"/>
        <v>24563</v>
      </c>
      <c r="L303" s="1676">
        <f t="shared" si="23"/>
        <v>343729</v>
      </c>
    </row>
    <row r="304" spans="1:14" ht="15.75" customHeight="1" thickTop="1">
      <c r="A304" s="1611" t="s">
        <v>145</v>
      </c>
      <c r="B304" s="1612" t="s">
        <v>860</v>
      </c>
      <c r="C304" s="616"/>
      <c r="D304" s="616"/>
      <c r="E304" s="616"/>
      <c r="F304" s="616"/>
      <c r="G304" s="616"/>
      <c r="H304" s="616"/>
      <c r="I304" s="616"/>
      <c r="J304" s="616"/>
      <c r="K304" s="616"/>
      <c r="L304" s="616"/>
    </row>
    <row r="305" spans="1:14" ht="15.75" customHeight="1">
      <c r="A305" s="653" t="s">
        <v>897</v>
      </c>
      <c r="B305" s="622"/>
      <c r="C305" s="616"/>
      <c r="D305" s="616"/>
      <c r="E305" s="616"/>
      <c r="F305" s="616"/>
      <c r="G305" s="616"/>
      <c r="H305" s="616"/>
      <c r="I305" s="616"/>
      <c r="J305" s="616"/>
      <c r="K305" s="616"/>
      <c r="L305" s="616"/>
    </row>
    <row r="306" spans="1:14">
      <c r="A306" s="1517" t="s">
        <v>1847</v>
      </c>
      <c r="B306" s="690" t="s">
        <v>1842</v>
      </c>
      <c r="C306" s="616"/>
      <c r="D306" s="616"/>
      <c r="E306" s="467"/>
      <c r="F306" s="616"/>
      <c r="G306" s="616"/>
      <c r="H306" s="467"/>
      <c r="I306" s="616"/>
      <c r="J306" s="616"/>
      <c r="K306" s="1670">
        <f>SUM(E306,H306)</f>
        <v>0</v>
      </c>
      <c r="L306" s="467">
        <v>0</v>
      </c>
    </row>
    <row r="307" spans="1:14">
      <c r="A307" s="1503" t="s">
        <v>304</v>
      </c>
      <c r="B307" s="614">
        <v>4120</v>
      </c>
      <c r="C307" s="616"/>
      <c r="D307" s="616"/>
      <c r="E307" s="467"/>
      <c r="F307" s="616"/>
      <c r="G307" s="616"/>
      <c r="H307" s="467"/>
      <c r="I307" s="477"/>
      <c r="J307" s="616"/>
      <c r="K307" s="1670">
        <f>SUM(E307,H307)</f>
        <v>0</v>
      </c>
      <c r="L307" s="466">
        <v>0</v>
      </c>
    </row>
    <row r="308" spans="1:14">
      <c r="A308" s="1503" t="s">
        <v>697</v>
      </c>
      <c r="B308" s="614">
        <v>4140</v>
      </c>
      <c r="C308" s="616"/>
      <c r="D308" s="616"/>
      <c r="E308" s="467"/>
      <c r="F308" s="616"/>
      <c r="G308" s="616"/>
      <c r="H308" s="467"/>
      <c r="I308" s="477"/>
      <c r="J308" s="616"/>
      <c r="K308" s="1670">
        <f>SUM(E308,H308)</f>
        <v>0</v>
      </c>
      <c r="L308" s="466">
        <v>0</v>
      </c>
    </row>
    <row r="309" spans="1:14" ht="13.15" customHeight="1">
      <c r="A309" s="1507" t="s">
        <v>698</v>
      </c>
      <c r="B309" s="628">
        <v>4190</v>
      </c>
      <c r="C309" s="616"/>
      <c r="D309" s="616"/>
      <c r="E309" s="467"/>
      <c r="F309" s="616"/>
      <c r="G309" s="616"/>
      <c r="H309" s="467"/>
      <c r="I309" s="477"/>
      <c r="J309" s="616"/>
      <c r="K309" s="1670">
        <f>SUM(E309,H309)</f>
        <v>0</v>
      </c>
      <c r="L309" s="466">
        <v>0</v>
      </c>
    </row>
    <row r="310" spans="1:14" ht="13.15" customHeight="1" thickBot="1">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c r="A311" s="1618" t="s">
        <v>895</v>
      </c>
      <c r="B311" s="1610" t="s">
        <v>861</v>
      </c>
      <c r="C311" s="623"/>
      <c r="D311" s="623"/>
      <c r="E311" s="623"/>
      <c r="F311" s="623"/>
      <c r="G311" s="623"/>
      <c r="H311" s="623"/>
      <c r="I311" s="623"/>
      <c r="J311" s="616"/>
      <c r="K311" s="623"/>
      <c r="L311" s="576">
        <v>0</v>
      </c>
    </row>
    <row r="312" spans="1:14" s="674" customFormat="1" ht="13.15" customHeight="1" thickTop="1" thickBot="1">
      <c r="A312" s="2228" t="s">
        <v>277</v>
      </c>
      <c r="B312" s="2229"/>
      <c r="C312" s="1669">
        <f>SUM(C303)</f>
        <v>0</v>
      </c>
      <c r="D312" s="1669">
        <f>SUM(D303)</f>
        <v>0</v>
      </c>
      <c r="E312" s="1669">
        <f>SUM(E303,E310)</f>
        <v>21182</v>
      </c>
      <c r="F312" s="1669">
        <f>SUM(F303)</f>
        <v>0</v>
      </c>
      <c r="G312" s="1669">
        <f>SUM(G303)</f>
        <v>3381</v>
      </c>
      <c r="H312" s="1669">
        <f>SUM(H303,H310)</f>
        <v>0</v>
      </c>
      <c r="I312" s="1669">
        <f>SUM(I303)</f>
        <v>0</v>
      </c>
      <c r="J312" s="1669">
        <f>SUM(J303)</f>
        <v>0</v>
      </c>
      <c r="K312" s="1669">
        <f>SUM(K303,K310,K311)</f>
        <v>24563</v>
      </c>
      <c r="L312" s="1669">
        <f>SUM(L303,L310,L311)</f>
        <v>343729</v>
      </c>
      <c r="M312" s="665"/>
      <c r="N312" s="665"/>
    </row>
    <row r="313" spans="1:14" ht="13.5" thickTop="1">
      <c r="A313" s="2224" t="s">
        <v>996</v>
      </c>
      <c r="B313" s="2225"/>
      <c r="C313" s="626"/>
      <c r="D313" s="626"/>
      <c r="E313" s="626"/>
      <c r="F313" s="626"/>
      <c r="G313" s="626"/>
      <c r="H313" s="626"/>
      <c r="I313" s="626"/>
      <c r="J313" s="626"/>
      <c r="K313" s="1684">
        <f>'Revenues 9-14'!H268-'Expenditures 15-22'!K312</f>
        <v>565041</v>
      </c>
      <c r="L313" s="626"/>
    </row>
    <row r="314" spans="1:14" s="666" customFormat="1" ht="9.4" customHeight="1">
      <c r="A314" s="691"/>
      <c r="B314" s="692"/>
      <c r="C314" s="693"/>
      <c r="D314" s="693"/>
      <c r="E314" s="693"/>
      <c r="F314" s="693"/>
      <c r="G314" s="693"/>
      <c r="H314" s="693"/>
      <c r="I314" s="693"/>
      <c r="J314" s="693"/>
      <c r="K314" s="693"/>
      <c r="L314" s="693"/>
      <c r="M314" s="665"/>
      <c r="N314" s="665"/>
    </row>
    <row r="315" spans="1:14" ht="16.7" customHeight="1">
      <c r="A315" s="2237" t="s">
        <v>149</v>
      </c>
      <c r="B315" s="2238"/>
      <c r="C315" s="1555"/>
      <c r="D315" s="1556"/>
      <c r="E315" s="1556"/>
      <c r="F315" s="1556"/>
      <c r="G315" s="1556"/>
      <c r="H315" s="1556"/>
      <c r="I315" s="1556"/>
      <c r="J315" s="1556"/>
      <c r="K315" s="1556"/>
      <c r="L315" s="1557"/>
    </row>
    <row r="316" spans="1:14" s="674" customFormat="1" ht="9.4" customHeight="1">
      <c r="A316" s="691"/>
      <c r="B316" s="692"/>
      <c r="C316" s="694"/>
      <c r="D316" s="694"/>
      <c r="E316" s="694"/>
      <c r="F316" s="694"/>
      <c r="G316" s="694"/>
      <c r="H316" s="694"/>
      <c r="I316" s="694"/>
      <c r="J316" s="694"/>
      <c r="K316" s="694"/>
      <c r="L316" s="694"/>
      <c r="M316" s="665"/>
      <c r="N316" s="665"/>
    </row>
    <row r="317" spans="1:14" ht="16.7" customHeight="1">
      <c r="A317" s="2239" t="s">
        <v>898</v>
      </c>
      <c r="B317" s="2238"/>
      <c r="C317" s="1555"/>
      <c r="D317" s="1556"/>
      <c r="E317" s="1556"/>
      <c r="F317" s="1556"/>
      <c r="G317" s="1556"/>
      <c r="H317" s="1556"/>
      <c r="I317" s="1556"/>
      <c r="J317" s="1556"/>
      <c r="K317" s="1556"/>
      <c r="L317" s="1557"/>
    </row>
    <row r="318" spans="1:14" s="674" customFormat="1" ht="15.75" customHeight="1">
      <c r="A318" s="695" t="s">
        <v>610</v>
      </c>
      <c r="B318" s="696"/>
      <c r="C318" s="638"/>
      <c r="D318" s="638"/>
      <c r="E318" s="638"/>
      <c r="F318" s="638"/>
      <c r="G318" s="638"/>
      <c r="H318" s="638"/>
      <c r="I318" s="638"/>
      <c r="J318" s="638"/>
      <c r="K318" s="638"/>
      <c r="L318" s="638"/>
      <c r="M318" s="665"/>
      <c r="N318" s="665"/>
    </row>
    <row r="319" spans="1:14" s="674" customFormat="1">
      <c r="A319" s="1518" t="s">
        <v>299</v>
      </c>
      <c r="B319" s="697" t="s">
        <v>281</v>
      </c>
      <c r="C319" s="467"/>
      <c r="D319" s="467"/>
      <c r="E319" s="467"/>
      <c r="F319" s="467"/>
      <c r="G319" s="467"/>
      <c r="H319" s="467"/>
      <c r="I319" s="467"/>
      <c r="J319" s="467"/>
      <c r="K319" s="1670">
        <f>SUM(C319:J319)</f>
        <v>0</v>
      </c>
      <c r="L319" s="467">
        <v>8100</v>
      </c>
      <c r="M319" s="665"/>
      <c r="N319" s="665"/>
    </row>
    <row r="320" spans="1:14" s="674" customFormat="1">
      <c r="A320" s="1522" t="s">
        <v>1802</v>
      </c>
      <c r="B320" s="698" t="s">
        <v>282</v>
      </c>
      <c r="C320" s="467"/>
      <c r="D320" s="467"/>
      <c r="E320" s="467">
        <v>343325</v>
      </c>
      <c r="F320" s="467"/>
      <c r="G320" s="467"/>
      <c r="H320" s="467"/>
      <c r="I320" s="467"/>
      <c r="J320" s="467"/>
      <c r="K320" s="1670">
        <f t="shared" ref="K320:K327" si="24">SUM(C320:J320)</f>
        <v>343325</v>
      </c>
      <c r="L320" s="467">
        <v>374705</v>
      </c>
      <c r="M320" s="665"/>
      <c r="N320" s="665"/>
    </row>
    <row r="321" spans="1:14" s="674" customFormat="1">
      <c r="A321" s="1518" t="s">
        <v>300</v>
      </c>
      <c r="B321" s="697" t="s">
        <v>283</v>
      </c>
      <c r="C321" s="467"/>
      <c r="D321" s="467"/>
      <c r="E321" s="467">
        <v>1665</v>
      </c>
      <c r="F321" s="467"/>
      <c r="G321" s="467"/>
      <c r="H321" s="467"/>
      <c r="I321" s="467"/>
      <c r="J321" s="467"/>
      <c r="K321" s="1670">
        <f t="shared" si="24"/>
        <v>1665</v>
      </c>
      <c r="L321" s="467">
        <v>35000</v>
      </c>
      <c r="M321" s="665"/>
      <c r="N321" s="665"/>
    </row>
    <row r="322" spans="1:14" s="674" customFormat="1">
      <c r="A322" s="1518" t="s">
        <v>238</v>
      </c>
      <c r="B322" s="697" t="s">
        <v>284</v>
      </c>
      <c r="C322" s="467"/>
      <c r="D322" s="467"/>
      <c r="E322" s="467">
        <f>133110+54</f>
        <v>133164</v>
      </c>
      <c r="F322" s="467"/>
      <c r="G322" s="467"/>
      <c r="H322" s="467"/>
      <c r="I322" s="467"/>
      <c r="J322" s="467"/>
      <c r="K322" s="1670">
        <f t="shared" si="24"/>
        <v>133164</v>
      </c>
      <c r="L322" s="467">
        <v>128000</v>
      </c>
      <c r="M322" s="665"/>
      <c r="N322" s="665"/>
    </row>
    <row r="323" spans="1:14" s="674" customFormat="1">
      <c r="A323" s="1518" t="s">
        <v>702</v>
      </c>
      <c r="B323" s="697" t="s">
        <v>285</v>
      </c>
      <c r="C323" s="467"/>
      <c r="D323" s="467"/>
      <c r="E323" s="467"/>
      <c r="F323" s="467"/>
      <c r="G323" s="467"/>
      <c r="H323" s="467"/>
      <c r="I323" s="467"/>
      <c r="J323" s="467"/>
      <c r="K323" s="1670">
        <f t="shared" si="24"/>
        <v>0</v>
      </c>
      <c r="L323" s="467">
        <v>0</v>
      </c>
      <c r="M323" s="665"/>
      <c r="N323" s="665"/>
    </row>
    <row r="324" spans="1:14" s="674" customFormat="1">
      <c r="A324" s="1518" t="s">
        <v>239</v>
      </c>
      <c r="B324" s="697" t="s">
        <v>286</v>
      </c>
      <c r="C324" s="467"/>
      <c r="D324" s="467"/>
      <c r="E324" s="467"/>
      <c r="F324" s="467"/>
      <c r="G324" s="467"/>
      <c r="H324" s="467"/>
      <c r="I324" s="467"/>
      <c r="J324" s="467"/>
      <c r="K324" s="1670">
        <f t="shared" si="24"/>
        <v>0</v>
      </c>
      <c r="L324" s="467">
        <v>0</v>
      </c>
      <c r="M324" s="665"/>
      <c r="N324" s="665"/>
    </row>
    <row r="325" spans="1:14" s="674" customFormat="1" ht="22.5">
      <c r="A325" s="1518" t="s">
        <v>1029</v>
      </c>
      <c r="B325" s="698" t="s">
        <v>287</v>
      </c>
      <c r="C325" s="467">
        <v>280000</v>
      </c>
      <c r="D325" s="467"/>
      <c r="E325" s="467">
        <v>40000</v>
      </c>
      <c r="F325" s="467"/>
      <c r="G325" s="467"/>
      <c r="H325" s="467"/>
      <c r="I325" s="467"/>
      <c r="J325" s="467"/>
      <c r="K325" s="1670">
        <f t="shared" si="24"/>
        <v>320000</v>
      </c>
      <c r="L325" s="467">
        <v>320000</v>
      </c>
      <c r="M325" s="665"/>
      <c r="N325" s="665"/>
    </row>
    <row r="326" spans="1:14" s="674" customFormat="1">
      <c r="A326" s="1518" t="s">
        <v>1030</v>
      </c>
      <c r="B326" s="697" t="s">
        <v>288</v>
      </c>
      <c r="C326" s="467"/>
      <c r="D326" s="467"/>
      <c r="E326" s="467"/>
      <c r="F326" s="467"/>
      <c r="G326" s="467"/>
      <c r="H326" s="467"/>
      <c r="I326" s="467"/>
      <c r="J326" s="467"/>
      <c r="K326" s="1670">
        <f t="shared" si="24"/>
        <v>0</v>
      </c>
      <c r="L326" s="467">
        <v>0</v>
      </c>
      <c r="M326" s="665"/>
      <c r="N326" s="665"/>
    </row>
    <row r="327" spans="1:14" s="674" customFormat="1">
      <c r="A327" s="1518" t="s">
        <v>971</v>
      </c>
      <c r="B327" s="697" t="s">
        <v>289</v>
      </c>
      <c r="C327" s="467"/>
      <c r="D327" s="467"/>
      <c r="E327" s="467"/>
      <c r="F327" s="467"/>
      <c r="G327" s="467"/>
      <c r="H327" s="467"/>
      <c r="I327" s="467"/>
      <c r="J327" s="467"/>
      <c r="K327" s="1670">
        <f t="shared" si="24"/>
        <v>0</v>
      </c>
      <c r="L327" s="467">
        <v>0</v>
      </c>
      <c r="M327" s="665"/>
      <c r="N327" s="665"/>
    </row>
    <row r="328" spans="1:14" s="674" customFormat="1">
      <c r="A328" s="1519" t="s">
        <v>472</v>
      </c>
      <c r="B328" s="690" t="s">
        <v>1132</v>
      </c>
      <c r="C328" s="474"/>
      <c r="D328" s="474"/>
      <c r="E328" s="474"/>
      <c r="F328" s="474"/>
      <c r="G328" s="474"/>
      <c r="H328" s="474"/>
      <c r="I328" s="474"/>
      <c r="J328" s="474"/>
      <c r="K328" s="1698">
        <f>SUM(C328:J328)</f>
        <v>0</v>
      </c>
      <c r="L328" s="474">
        <v>0</v>
      </c>
      <c r="M328" s="665"/>
      <c r="N328" s="665"/>
    </row>
    <row r="329" spans="1:14" s="674" customFormat="1">
      <c r="A329" s="1519" t="s">
        <v>1133</v>
      </c>
      <c r="B329" s="690" t="s">
        <v>1134</v>
      </c>
      <c r="C329" s="474"/>
      <c r="D329" s="474"/>
      <c r="E329" s="474"/>
      <c r="F329" s="474"/>
      <c r="G329" s="474"/>
      <c r="H329" s="474"/>
      <c r="I329" s="474"/>
      <c r="J329" s="474"/>
      <c r="K329" s="1698">
        <f>SUM(C329:J329)</f>
        <v>0</v>
      </c>
      <c r="L329" s="474">
        <v>0</v>
      </c>
      <c r="M329" s="665"/>
      <c r="N329" s="665"/>
    </row>
    <row r="330" spans="1:14" s="674" customFormat="1" ht="13.15" customHeight="1" thickBot="1">
      <c r="A330" s="1699" t="s">
        <v>717</v>
      </c>
      <c r="B330" s="1668" t="s">
        <v>569</v>
      </c>
      <c r="C330" s="1669">
        <f>SUM(C319:C329)</f>
        <v>280000</v>
      </c>
      <c r="D330" s="1669">
        <f t="shared" ref="D330:J330" si="25">SUM(D319:D329)</f>
        <v>0</v>
      </c>
      <c r="E330" s="1669">
        <f t="shared" si="25"/>
        <v>518154</v>
      </c>
      <c r="F330" s="1669">
        <f t="shared" si="25"/>
        <v>0</v>
      </c>
      <c r="G330" s="1669">
        <f t="shared" si="25"/>
        <v>0</v>
      </c>
      <c r="H330" s="1669">
        <f t="shared" si="25"/>
        <v>0</v>
      </c>
      <c r="I330" s="1669">
        <f t="shared" si="25"/>
        <v>0</v>
      </c>
      <c r="J330" s="1669">
        <f t="shared" si="25"/>
        <v>0</v>
      </c>
      <c r="K330" s="1669">
        <f>SUM(K319:K329)</f>
        <v>798154</v>
      </c>
      <c r="L330" s="1669">
        <f>SUM(L319:L329)</f>
        <v>865805</v>
      </c>
      <c r="M330" s="665"/>
      <c r="N330" s="665"/>
    </row>
    <row r="331" spans="1:14" s="674" customFormat="1" ht="13.15" customHeight="1" thickTop="1">
      <c r="A331" s="1830" t="s">
        <v>1848</v>
      </c>
      <c r="B331" s="647" t="s">
        <v>860</v>
      </c>
      <c r="C331" s="1832"/>
      <c r="D331" s="1832"/>
      <c r="E331" s="1832"/>
      <c r="F331" s="1832"/>
      <c r="G331" s="1832"/>
      <c r="H331" s="1832"/>
      <c r="I331" s="1832"/>
      <c r="J331" s="1832"/>
      <c r="K331" s="1832"/>
      <c r="L331" s="1832"/>
      <c r="M331" s="665"/>
      <c r="N331" s="665"/>
    </row>
    <row r="332" spans="1:14" s="674" customFormat="1" ht="13.15" customHeight="1">
      <c r="A332" s="1831" t="s">
        <v>496</v>
      </c>
      <c r="B332" s="1826" t="s">
        <v>1842</v>
      </c>
      <c r="C332" s="1832"/>
      <c r="D332" s="1832"/>
      <c r="E332" s="1832"/>
      <c r="F332" s="1832"/>
      <c r="G332" s="1832"/>
      <c r="H332" s="467"/>
      <c r="I332" s="1832"/>
      <c r="J332" s="1832"/>
      <c r="K332" s="1670">
        <f>H332</f>
        <v>0</v>
      </c>
      <c r="L332" s="467">
        <v>0</v>
      </c>
      <c r="M332" s="665"/>
      <c r="N332" s="665"/>
    </row>
    <row r="333" spans="1:14" s="674" customFormat="1" ht="13.15" customHeight="1">
      <c r="A333" s="1831" t="s">
        <v>304</v>
      </c>
      <c r="B333" s="1826" t="s">
        <v>1844</v>
      </c>
      <c r="C333" s="1832"/>
      <c r="D333" s="1832"/>
      <c r="E333" s="1832"/>
      <c r="F333" s="1832"/>
      <c r="G333" s="1832"/>
      <c r="H333" s="467"/>
      <c r="I333" s="1832"/>
      <c r="J333" s="1832"/>
      <c r="K333" s="1670">
        <f>H333</f>
        <v>0</v>
      </c>
      <c r="L333" s="467">
        <v>0</v>
      </c>
      <c r="M333" s="665"/>
      <c r="N333" s="665"/>
    </row>
    <row r="334" spans="1:14" s="674" customFormat="1" ht="13.15" customHeight="1" thickBot="1">
      <c r="A334" s="1831" t="s">
        <v>1849</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c r="A335" s="1615" t="s">
        <v>899</v>
      </c>
      <c r="B335" s="1606" t="s">
        <v>492</v>
      </c>
      <c r="C335" s="616"/>
      <c r="D335" s="616"/>
      <c r="E335" s="616"/>
      <c r="F335" s="616"/>
      <c r="G335" s="616"/>
      <c r="H335" s="616"/>
      <c r="I335" s="616"/>
      <c r="J335" s="616"/>
      <c r="K335" s="616"/>
      <c r="L335" s="616"/>
    </row>
    <row r="336" spans="1:14" ht="15.75" customHeight="1">
      <c r="A336" s="653" t="s">
        <v>615</v>
      </c>
      <c r="B336" s="622"/>
      <c r="C336" s="616"/>
      <c r="D336" s="616"/>
      <c r="E336" s="616"/>
      <c r="F336" s="616"/>
      <c r="G336" s="616"/>
      <c r="H336" s="623"/>
      <c r="I336" s="616"/>
      <c r="J336" s="616"/>
      <c r="K336" s="623"/>
      <c r="L336" s="623"/>
    </row>
    <row r="337" spans="1:14">
      <c r="A337" s="1517" t="s">
        <v>87</v>
      </c>
      <c r="B337" s="690" t="s">
        <v>900</v>
      </c>
      <c r="C337" s="638"/>
      <c r="D337" s="638"/>
      <c r="E337" s="638"/>
      <c r="F337" s="638"/>
      <c r="G337" s="638"/>
      <c r="H337" s="478"/>
      <c r="I337" s="638"/>
      <c r="J337" s="638"/>
      <c r="K337" s="1670">
        <f>H337</f>
        <v>0</v>
      </c>
      <c r="L337" s="478">
        <v>0</v>
      </c>
    </row>
    <row r="338" spans="1:14" ht="13.15" customHeight="1">
      <c r="A338" s="1517" t="s">
        <v>1170</v>
      </c>
      <c r="B338" s="690" t="s">
        <v>617</v>
      </c>
      <c r="C338" s="638"/>
      <c r="D338" s="638"/>
      <c r="E338" s="638"/>
      <c r="F338" s="638"/>
      <c r="G338" s="638"/>
      <c r="H338" s="478"/>
      <c r="I338" s="638"/>
      <c r="J338" s="638"/>
      <c r="K338" s="1670">
        <f>H338</f>
        <v>0</v>
      </c>
      <c r="L338" s="478">
        <v>0</v>
      </c>
    </row>
    <row r="339" spans="1:14">
      <c r="A339" s="1503" t="s">
        <v>901</v>
      </c>
      <c r="B339" s="628">
        <v>5150</v>
      </c>
      <c r="C339" s="638"/>
      <c r="D339" s="638"/>
      <c r="E339" s="638"/>
      <c r="F339" s="638"/>
      <c r="G339" s="638"/>
      <c r="H339" s="467"/>
      <c r="I339" s="638"/>
      <c r="J339" s="638"/>
      <c r="K339" s="1670">
        <f>H339</f>
        <v>0</v>
      </c>
      <c r="L339" s="467">
        <v>0</v>
      </c>
    </row>
    <row r="340" spans="1:14" ht="13.5" thickBot="1">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c r="A341" s="1618" t="s">
        <v>903</v>
      </c>
      <c r="B341" s="1610" t="s">
        <v>861</v>
      </c>
      <c r="C341" s="616"/>
      <c r="D341" s="616"/>
      <c r="E341" s="477"/>
      <c r="F341" s="468"/>
      <c r="G341" s="468"/>
      <c r="H341" s="477"/>
      <c r="I341" s="477"/>
      <c r="J341" s="468"/>
      <c r="K341" s="477"/>
      <c r="L341" s="576">
        <v>0</v>
      </c>
    </row>
    <row r="342" spans="1:14" ht="13.15" customHeight="1" thickTop="1" thickBot="1">
      <c r="A342" s="1685" t="s">
        <v>505</v>
      </c>
      <c r="B342" s="1700"/>
      <c r="C342" s="1669">
        <f>SUM(C330)</f>
        <v>280000</v>
      </c>
      <c r="D342" s="1669">
        <f>SUM(D330)</f>
        <v>0</v>
      </c>
      <c r="E342" s="1669">
        <f>SUM(E330)</f>
        <v>518154</v>
      </c>
      <c r="F342" s="1669">
        <f>SUM(F330)</f>
        <v>0</v>
      </c>
      <c r="G342" s="1669">
        <f>SUM(G330)</f>
        <v>0</v>
      </c>
      <c r="H342" s="1669">
        <f>SUM(H330,H334,H340)</f>
        <v>0</v>
      </c>
      <c r="I342" s="1669">
        <f>SUM(I330)</f>
        <v>0</v>
      </c>
      <c r="J342" s="1669">
        <f>SUM(J330)</f>
        <v>0</v>
      </c>
      <c r="K342" s="1669">
        <f>SUM(K330,K334,K340)</f>
        <v>798154</v>
      </c>
      <c r="L342" s="1676">
        <f>SUM(L330,L340,L341)</f>
        <v>865805</v>
      </c>
    </row>
    <row r="343" spans="1:14" ht="13.15" customHeight="1" thickTop="1">
      <c r="A343" s="2226" t="s">
        <v>996</v>
      </c>
      <c r="B343" s="2227"/>
      <c r="C343" s="616"/>
      <c r="D343" s="616"/>
      <c r="E343" s="616"/>
      <c r="F343" s="616"/>
      <c r="G343" s="616"/>
      <c r="H343" s="616"/>
      <c r="I343" s="616"/>
      <c r="J343" s="616"/>
      <c r="K343" s="1683">
        <f>'Revenues 9-14'!J268-'Expenditures 15-22'!K342</f>
        <v>113853</v>
      </c>
      <c r="L343" s="616"/>
    </row>
    <row r="344" spans="1:14" s="666" customFormat="1" ht="6" customHeight="1">
      <c r="A344" s="663"/>
      <c r="B344" s="664"/>
      <c r="C344" s="650"/>
      <c r="D344" s="650"/>
      <c r="E344" s="650"/>
      <c r="F344" s="650"/>
      <c r="G344" s="650"/>
      <c r="H344" s="650"/>
      <c r="I344" s="650"/>
      <c r="J344" s="650"/>
      <c r="K344" s="650"/>
      <c r="L344" s="650"/>
      <c r="M344" s="665"/>
      <c r="N344" s="665"/>
    </row>
    <row r="345" spans="1:14" s="668" customFormat="1" ht="16.7" customHeight="1">
      <c r="A345" s="2216" t="s">
        <v>966</v>
      </c>
      <c r="B345" s="2217"/>
      <c r="C345" s="1550"/>
      <c r="D345" s="1551"/>
      <c r="E345" s="1551"/>
      <c r="F345" s="1551"/>
      <c r="G345" s="1551"/>
      <c r="H345" s="1551"/>
      <c r="I345" s="1551"/>
      <c r="J345" s="1551"/>
      <c r="K345" s="1551"/>
      <c r="L345" s="1552"/>
      <c r="M345" s="667"/>
      <c r="N345" s="667"/>
    </row>
    <row r="346" spans="1:14" s="343" customFormat="1" ht="15.75" customHeight="1">
      <c r="A346" s="1622" t="s">
        <v>844</v>
      </c>
      <c r="B346" s="1614" t="s">
        <v>569</v>
      </c>
      <c r="C346" s="616"/>
      <c r="D346" s="616"/>
      <c r="E346" s="616"/>
      <c r="F346" s="616"/>
      <c r="G346" s="616"/>
      <c r="H346" s="616"/>
      <c r="I346" s="616"/>
      <c r="J346" s="616"/>
      <c r="K346" s="616"/>
      <c r="L346" s="616"/>
      <c r="M346" s="609"/>
      <c r="N346" s="609"/>
    </row>
    <row r="347" spans="1:14" ht="15.75" customHeight="1">
      <c r="A347" s="699" t="s">
        <v>612</v>
      </c>
      <c r="B347" s="700"/>
      <c r="C347" s="623"/>
      <c r="D347" s="623"/>
      <c r="E347" s="623"/>
      <c r="F347" s="623"/>
      <c r="G347" s="623"/>
      <c r="H347" s="623"/>
      <c r="I347" s="616"/>
      <c r="J347" s="616"/>
      <c r="K347" s="623"/>
      <c r="L347" s="623"/>
    </row>
    <row r="348" spans="1:14">
      <c r="A348" s="1503" t="s">
        <v>4</v>
      </c>
      <c r="B348" s="614">
        <v>2530</v>
      </c>
      <c r="C348" s="466"/>
      <c r="D348" s="466"/>
      <c r="E348" s="466"/>
      <c r="F348" s="466"/>
      <c r="G348" s="466"/>
      <c r="H348" s="466"/>
      <c r="I348" s="467"/>
      <c r="J348" s="467"/>
      <c r="K348" s="1670">
        <f>SUM(C348:J348)</f>
        <v>0</v>
      </c>
      <c r="L348" s="466">
        <v>0</v>
      </c>
    </row>
    <row r="349" spans="1:14">
      <c r="A349" s="1503" t="s">
        <v>197</v>
      </c>
      <c r="B349" s="614">
        <v>2540</v>
      </c>
      <c r="C349" s="466"/>
      <c r="D349" s="466"/>
      <c r="E349" s="466">
        <v>18354</v>
      </c>
      <c r="F349" s="466">
        <v>3456</v>
      </c>
      <c r="G349" s="466"/>
      <c r="H349" s="466"/>
      <c r="I349" s="467"/>
      <c r="J349" s="467"/>
      <c r="K349" s="1670">
        <f>SUM(C349:J349)</f>
        <v>21810</v>
      </c>
      <c r="L349" s="466">
        <v>149000</v>
      </c>
    </row>
    <row r="350" spans="1:14" ht="13.15" customHeight="1" thickBot="1">
      <c r="A350" s="1667" t="s">
        <v>719</v>
      </c>
      <c r="B350" s="1668" t="s">
        <v>35</v>
      </c>
      <c r="C350" s="1669">
        <f>SUM(C348:C349)</f>
        <v>0</v>
      </c>
      <c r="D350" s="1669">
        <f t="shared" ref="D350:L350" si="26">SUM(D348:D349)</f>
        <v>0</v>
      </c>
      <c r="E350" s="1669">
        <f t="shared" si="26"/>
        <v>18354</v>
      </c>
      <c r="F350" s="1669">
        <f t="shared" si="26"/>
        <v>3456</v>
      </c>
      <c r="G350" s="1669">
        <f t="shared" si="26"/>
        <v>0</v>
      </c>
      <c r="H350" s="1669">
        <f t="shared" si="26"/>
        <v>0</v>
      </c>
      <c r="I350" s="1669">
        <f t="shared" si="26"/>
        <v>0</v>
      </c>
      <c r="J350" s="1669">
        <f t="shared" si="26"/>
        <v>0</v>
      </c>
      <c r="K350" s="1669">
        <f t="shared" si="26"/>
        <v>21810</v>
      </c>
      <c r="L350" s="1669">
        <f t="shared" si="26"/>
        <v>149000</v>
      </c>
    </row>
    <row r="351" spans="1:14" ht="13.15" customHeight="1" thickTop="1">
      <c r="A351" s="1509" t="s">
        <v>980</v>
      </c>
      <c r="B351" s="643" t="s">
        <v>574</v>
      </c>
      <c r="C351" s="481"/>
      <c r="D351" s="481"/>
      <c r="E351" s="481">
        <v>326</v>
      </c>
      <c r="F351" s="481"/>
      <c r="G351" s="481"/>
      <c r="H351" s="481"/>
      <c r="I351" s="478"/>
      <c r="J351" s="478"/>
      <c r="K351" s="615">
        <f>SUM(C351:J351)</f>
        <v>326</v>
      </c>
      <c r="L351" s="481">
        <v>1000</v>
      </c>
    </row>
    <row r="352" spans="1:14" ht="13.15" customHeight="1" thickBot="1">
      <c r="A352" s="1667" t="s">
        <v>624</v>
      </c>
      <c r="B352" s="1674" t="s">
        <v>569</v>
      </c>
      <c r="C352" s="1669">
        <f>SUM(C350:C351)</f>
        <v>0</v>
      </c>
      <c r="D352" s="1669">
        <f t="shared" ref="D352:L352" si="27">SUM(D350:D351)</f>
        <v>0</v>
      </c>
      <c r="E352" s="1669">
        <f t="shared" si="27"/>
        <v>18680</v>
      </c>
      <c r="F352" s="1669">
        <f t="shared" si="27"/>
        <v>3456</v>
      </c>
      <c r="G352" s="1669">
        <f t="shared" si="27"/>
        <v>0</v>
      </c>
      <c r="H352" s="1669">
        <f t="shared" si="27"/>
        <v>0</v>
      </c>
      <c r="I352" s="1669">
        <f t="shared" si="27"/>
        <v>0</v>
      </c>
      <c r="J352" s="1669">
        <f t="shared" si="27"/>
        <v>0</v>
      </c>
      <c r="K352" s="1669">
        <f t="shared" si="27"/>
        <v>22136</v>
      </c>
      <c r="L352" s="1669">
        <f t="shared" si="27"/>
        <v>150000</v>
      </c>
    </row>
    <row r="353" spans="1:14" s="343" customFormat="1" ht="15.75" customHeight="1" thickTop="1">
      <c r="A353" s="1611" t="s">
        <v>625</v>
      </c>
      <c r="B353" s="1608" t="s">
        <v>860</v>
      </c>
      <c r="C353" s="616"/>
      <c r="D353" s="616"/>
      <c r="E353" s="616"/>
      <c r="F353" s="616"/>
      <c r="G353" s="616"/>
      <c r="H353" s="616"/>
      <c r="I353" s="616"/>
      <c r="J353" s="616"/>
      <c r="K353" s="616"/>
      <c r="L353" s="616"/>
      <c r="M353" s="609"/>
      <c r="N353" s="609"/>
    </row>
    <row r="354" spans="1:14">
      <c r="A354" s="1833" t="s">
        <v>1850</v>
      </c>
      <c r="B354" s="683" t="s">
        <v>1842</v>
      </c>
      <c r="C354" s="616"/>
      <c r="D354" s="616"/>
      <c r="E354" s="616"/>
      <c r="F354" s="616"/>
      <c r="G354" s="616"/>
      <c r="H354" s="474"/>
      <c r="I354" s="701"/>
      <c r="J354" s="616"/>
      <c r="K354" s="1698">
        <f>H354</f>
        <v>0</v>
      </c>
      <c r="L354" s="471">
        <v>0</v>
      </c>
    </row>
    <row r="355" spans="1:14" ht="13.15" customHeight="1">
      <c r="A355" s="1512" t="s">
        <v>1851</v>
      </c>
      <c r="B355" s="690" t="s">
        <v>1844</v>
      </c>
      <c r="C355" s="616"/>
      <c r="D355" s="616"/>
      <c r="E355" s="616"/>
      <c r="F355" s="616"/>
      <c r="G355" s="616"/>
      <c r="H355" s="467"/>
      <c r="I355" s="701"/>
      <c r="J355" s="616"/>
      <c r="K355" s="1742">
        <f>H355</f>
        <v>0</v>
      </c>
      <c r="L355" s="467">
        <v>0</v>
      </c>
    </row>
    <row r="356" spans="1:14" ht="13.15" customHeight="1">
      <c r="A356" s="1833" t="s">
        <v>698</v>
      </c>
      <c r="B356" s="683" t="s">
        <v>558</v>
      </c>
      <c r="C356" s="616"/>
      <c r="D356" s="616"/>
      <c r="E356" s="616"/>
      <c r="F356" s="616"/>
      <c r="G356" s="616"/>
      <c r="H356" s="479"/>
      <c r="I356" s="701"/>
      <c r="J356" s="616"/>
      <c r="K356" s="1739">
        <f>H356</f>
        <v>0</v>
      </c>
      <c r="L356" s="479">
        <v>0</v>
      </c>
    </row>
    <row r="357" spans="1:14" ht="13.15" customHeight="1" thickBot="1">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c r="A358" s="1611" t="s">
        <v>948</v>
      </c>
      <c r="B358" s="1608" t="s">
        <v>492</v>
      </c>
      <c r="C358" s="616"/>
      <c r="D358" s="616"/>
      <c r="E358" s="616"/>
      <c r="F358" s="616"/>
      <c r="G358" s="616"/>
      <c r="H358" s="616"/>
      <c r="I358" s="616"/>
      <c r="J358" s="616"/>
      <c r="K358" s="616"/>
      <c r="L358" s="616"/>
      <c r="M358" s="609"/>
      <c r="N358" s="609"/>
    </row>
    <row r="359" spans="1:14" s="343" customFormat="1" ht="15.75" customHeight="1">
      <c r="A359" s="653" t="s">
        <v>627</v>
      </c>
      <c r="B359" s="622"/>
      <c r="C359" s="616"/>
      <c r="D359" s="616"/>
      <c r="E359" s="616"/>
      <c r="F359" s="616"/>
      <c r="G359" s="616"/>
      <c r="H359" s="616"/>
      <c r="I359" s="616"/>
      <c r="J359" s="616"/>
      <c r="K359" s="623"/>
      <c r="L359" s="623"/>
      <c r="M359" s="609"/>
      <c r="N359" s="609"/>
    </row>
    <row r="360" spans="1:14">
      <c r="A360" s="1503" t="s">
        <v>87</v>
      </c>
      <c r="B360" s="614">
        <v>5110</v>
      </c>
      <c r="C360" s="616"/>
      <c r="D360" s="616"/>
      <c r="E360" s="616"/>
      <c r="F360" s="616"/>
      <c r="G360" s="616"/>
      <c r="H360" s="467"/>
      <c r="I360" s="616"/>
      <c r="J360" s="616"/>
      <c r="K360" s="1670">
        <f>SUM(C360:J360)</f>
        <v>0</v>
      </c>
      <c r="L360" s="466">
        <v>0</v>
      </c>
    </row>
    <row r="361" spans="1:14" ht="13.15" customHeight="1">
      <c r="A361" s="1504" t="s">
        <v>619</v>
      </c>
      <c r="B361" s="602" t="s">
        <v>618</v>
      </c>
      <c r="C361" s="616"/>
      <c r="D361" s="616"/>
      <c r="E361" s="616"/>
      <c r="F361" s="616"/>
      <c r="G361" s="616"/>
      <c r="H361" s="467"/>
      <c r="I361" s="616"/>
      <c r="J361" s="616"/>
      <c r="K361" s="1670">
        <f>SUM(C361:J361)</f>
        <v>0</v>
      </c>
      <c r="L361" s="466">
        <v>0</v>
      </c>
    </row>
    <row r="362" spans="1:14" ht="13.15" customHeight="1" thickBot="1">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c r="A363" s="660" t="s">
        <v>83</v>
      </c>
      <c r="B363" s="661" t="s">
        <v>38</v>
      </c>
      <c r="C363" s="638"/>
      <c r="D363" s="638"/>
      <c r="E363" s="638"/>
      <c r="F363" s="638"/>
      <c r="G363" s="638"/>
      <c r="H363" s="479"/>
      <c r="I363" s="638"/>
      <c r="J363" s="638"/>
      <c r="K363" s="1698">
        <f>SUM(C363:J363)</f>
        <v>0</v>
      </c>
      <c r="L363" s="479">
        <v>0</v>
      </c>
      <c r="M363" s="665"/>
      <c r="N363" s="665"/>
    </row>
    <row r="364" spans="1:14" s="708" customFormat="1" ht="29.25" customHeight="1">
      <c r="A364" s="702" t="s">
        <v>1672</v>
      </c>
      <c r="B364" s="703">
        <v>5300</v>
      </c>
      <c r="C364" s="704"/>
      <c r="D364" s="705"/>
      <c r="E364" s="705"/>
      <c r="F364" s="704"/>
      <c r="G364" s="705"/>
      <c r="H364" s="706"/>
      <c r="I364" s="705"/>
      <c r="J364" s="705"/>
      <c r="K364" s="1670">
        <f>SUM(C364:J364)</f>
        <v>0</v>
      </c>
      <c r="L364" s="707">
        <v>0</v>
      </c>
    </row>
    <row r="365" spans="1:14" s="674" customFormat="1" ht="13.15" customHeight="1" thickBot="1">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c r="A366" s="1605" t="s">
        <v>949</v>
      </c>
      <c r="B366" s="1612" t="s">
        <v>861</v>
      </c>
      <c r="C366" s="623"/>
      <c r="D366" s="623"/>
      <c r="E366" s="623"/>
      <c r="F366" s="623"/>
      <c r="G366" s="623"/>
      <c r="H366" s="623"/>
      <c r="I366" s="623"/>
      <c r="J366" s="616"/>
      <c r="K366" s="623"/>
      <c r="L366" s="573">
        <v>0</v>
      </c>
      <c r="M366" s="609"/>
      <c r="N366" s="609"/>
    </row>
    <row r="367" spans="1:14" ht="13.15" customHeight="1" thickTop="1" thickBot="1">
      <c r="A367" s="1691" t="s">
        <v>505</v>
      </c>
      <c r="B367" s="1703"/>
      <c r="C367" s="1669">
        <f t="shared" ref="C367:L367" si="28">SUM(C352,C357,C365,C366)</f>
        <v>0</v>
      </c>
      <c r="D367" s="1669">
        <f t="shared" si="28"/>
        <v>0</v>
      </c>
      <c r="E367" s="1669">
        <f t="shared" si="28"/>
        <v>18680</v>
      </c>
      <c r="F367" s="1669">
        <f t="shared" si="28"/>
        <v>3456</v>
      </c>
      <c r="G367" s="1669">
        <f t="shared" si="28"/>
        <v>0</v>
      </c>
      <c r="H367" s="1669">
        <f t="shared" si="28"/>
        <v>0</v>
      </c>
      <c r="I367" s="1669">
        <f t="shared" si="28"/>
        <v>0</v>
      </c>
      <c r="J367" s="1669">
        <f t="shared" si="28"/>
        <v>0</v>
      </c>
      <c r="K367" s="1669">
        <f t="shared" si="28"/>
        <v>22136</v>
      </c>
      <c r="L367" s="1669">
        <f t="shared" si="28"/>
        <v>150000</v>
      </c>
    </row>
    <row r="368" spans="1:14" ht="13.5" thickTop="1">
      <c r="A368" s="2213" t="s">
        <v>996</v>
      </c>
      <c r="B368" s="2214"/>
      <c r="C368" s="654"/>
      <c r="D368" s="654"/>
      <c r="E368" s="626"/>
      <c r="F368" s="626"/>
      <c r="G368" s="626"/>
      <c r="H368" s="626"/>
      <c r="I368" s="626"/>
      <c r="J368" s="623"/>
      <c r="K368" s="1670">
        <f>'Revenues 9-14'!K268-'Expenditures 15-22'!K367</f>
        <v>-18535</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 BUDGET TO ACTUAL
FOR THE YEAR ENDING JUNE 30, 2019&amp;R&amp;8Page &amp;P</oddHeader>
    <oddFooter>&amp;L&amp;8Print Date: &amp;D
&amp;F&amp;CSee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49" sqref="B49"/>
    </sheetView>
  </sheetViews>
  <sheetFormatPr defaultColWidth="9.140625" defaultRowHeight="12.75"/>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c r="A1" s="1882" t="s">
        <v>104</v>
      </c>
    </row>
    <row r="2" spans="1:6" ht="39.75" customHeight="1">
      <c r="A2" s="2240" t="s">
        <v>1799</v>
      </c>
      <c r="B2" s="1527" t="s">
        <v>1948</v>
      </c>
      <c r="C2" s="714" t="s">
        <v>1949</v>
      </c>
      <c r="D2" s="714" t="s">
        <v>1950</v>
      </c>
      <c r="E2" s="714" t="s">
        <v>1951</v>
      </c>
      <c r="F2" s="714" t="s">
        <v>1952</v>
      </c>
    </row>
    <row r="3" spans="1:6" ht="12" customHeight="1">
      <c r="A3" s="2241"/>
      <c r="B3" s="1524"/>
      <c r="C3" s="1525"/>
      <c r="D3" s="1526" t="s">
        <v>256</v>
      </c>
      <c r="E3" s="1525"/>
      <c r="F3" s="1526" t="s">
        <v>257</v>
      </c>
    </row>
    <row r="4" spans="1:6" ht="13.7" customHeight="1">
      <c r="A4" s="715" t="s">
        <v>1155</v>
      </c>
      <c r="B4" s="1748">
        <f>'Revenues 9-14'!C5</f>
        <v>8409533</v>
      </c>
      <c r="C4" s="1523">
        <v>2703717</v>
      </c>
      <c r="D4" s="1751">
        <f>B4-C4</f>
        <v>5705816</v>
      </c>
      <c r="E4" s="1523">
        <v>8553507</v>
      </c>
      <c r="F4" s="1751">
        <f>E4-C4</f>
        <v>5849790</v>
      </c>
    </row>
    <row r="5" spans="1:6" ht="13.7" customHeight="1">
      <c r="A5" s="715" t="s">
        <v>870</v>
      </c>
      <c r="B5" s="1749">
        <f>'Revenues 9-14'!D5</f>
        <v>868753</v>
      </c>
      <c r="C5" s="585">
        <v>279310</v>
      </c>
      <c r="D5" s="1752">
        <f t="shared" ref="D5:D18" si="0">B5-C5</f>
        <v>589443</v>
      </c>
      <c r="E5" s="585">
        <v>883627</v>
      </c>
      <c r="F5" s="1752">
        <f>E5-C5</f>
        <v>604317</v>
      </c>
    </row>
    <row r="6" spans="1:6" ht="13.7" customHeight="1">
      <c r="A6" s="715" t="s">
        <v>411</v>
      </c>
      <c r="B6" s="1749">
        <f>'Revenues 9-14'!E5</f>
        <v>2402079</v>
      </c>
      <c r="C6" s="585">
        <v>765308</v>
      </c>
      <c r="D6" s="1752">
        <f t="shared" si="0"/>
        <v>1636771</v>
      </c>
      <c r="E6" s="585">
        <v>2421137</v>
      </c>
      <c r="F6" s="1752">
        <f t="shared" ref="F6:F18" si="1">E6-C6</f>
        <v>1655829</v>
      </c>
    </row>
    <row r="7" spans="1:6" ht="13.7" customHeight="1">
      <c r="A7" s="715" t="s">
        <v>155</v>
      </c>
      <c r="B7" s="1749">
        <f>'Revenues 9-14'!F5</f>
        <v>417002</v>
      </c>
      <c r="C7" s="585">
        <v>134069</v>
      </c>
      <c r="D7" s="1752">
        <f t="shared" si="0"/>
        <v>282933</v>
      </c>
      <c r="E7" s="585">
        <v>424141</v>
      </c>
      <c r="F7" s="1752">
        <f t="shared" si="1"/>
        <v>290072</v>
      </c>
    </row>
    <row r="8" spans="1:6" ht="13.7" customHeight="1">
      <c r="A8" s="715" t="s">
        <v>1179</v>
      </c>
      <c r="B8" s="1749">
        <f>'Revenues 9-14'!G5</f>
        <v>710813</v>
      </c>
      <c r="C8" s="585">
        <v>235961</v>
      </c>
      <c r="D8" s="1752">
        <f t="shared" si="0"/>
        <v>474852</v>
      </c>
      <c r="E8" s="585">
        <v>746488</v>
      </c>
      <c r="F8" s="1752">
        <f t="shared" si="1"/>
        <v>510527</v>
      </c>
    </row>
    <row r="9" spans="1:6" ht="13.7" customHeight="1">
      <c r="A9" s="715" t="s">
        <v>408</v>
      </c>
      <c r="B9" s="1749">
        <f>'Revenues 9-14'!H5</f>
        <v>0</v>
      </c>
      <c r="C9" s="585"/>
      <c r="D9" s="1752">
        <f t="shared" si="0"/>
        <v>0</v>
      </c>
      <c r="E9" s="585"/>
      <c r="F9" s="1752">
        <f t="shared" si="1"/>
        <v>0</v>
      </c>
    </row>
    <row r="10" spans="1:6" ht="13.7" customHeight="1">
      <c r="A10" s="715" t="s">
        <v>407</v>
      </c>
      <c r="B10" s="1749">
        <f>'Revenues 9-14'!I5</f>
        <v>173751</v>
      </c>
      <c r="C10" s="585">
        <v>55862</v>
      </c>
      <c r="D10" s="1752">
        <f t="shared" si="0"/>
        <v>117889</v>
      </c>
      <c r="E10" s="585">
        <v>176725</v>
      </c>
      <c r="F10" s="1752">
        <f t="shared" si="1"/>
        <v>120863</v>
      </c>
    </row>
    <row r="11" spans="1:6">
      <c r="A11" s="715" t="s">
        <v>409</v>
      </c>
      <c r="B11" s="1749">
        <f>'Revenues 9-14'!J5</f>
        <v>884616</v>
      </c>
      <c r="C11" s="585">
        <v>273947</v>
      </c>
      <c r="D11" s="1752">
        <f t="shared" si="0"/>
        <v>610669</v>
      </c>
      <c r="E11" s="585">
        <v>866661</v>
      </c>
      <c r="F11" s="1752">
        <f t="shared" si="1"/>
        <v>592714</v>
      </c>
    </row>
    <row r="12" spans="1:6" ht="13.7" customHeight="1">
      <c r="A12" s="715" t="s">
        <v>157</v>
      </c>
      <c r="B12" s="1749">
        <f>'Revenues 9-14'!K5</f>
        <v>0</v>
      </c>
      <c r="C12" s="585"/>
      <c r="D12" s="1752">
        <f t="shared" si="0"/>
        <v>0</v>
      </c>
      <c r="E12" s="585"/>
      <c r="F12" s="1752">
        <f t="shared" si="1"/>
        <v>0</v>
      </c>
    </row>
    <row r="13" spans="1:6" ht="13.7" customHeight="1">
      <c r="A13" s="715" t="s">
        <v>936</v>
      </c>
      <c r="B13" s="1749">
        <f>SUM('Revenues 9-14'!C6:D6)</f>
        <v>173751</v>
      </c>
      <c r="C13" s="585">
        <v>55862</v>
      </c>
      <c r="D13" s="1752">
        <f t="shared" si="0"/>
        <v>117889</v>
      </c>
      <c r="E13" s="585">
        <v>176725</v>
      </c>
      <c r="F13" s="1752">
        <f t="shared" si="1"/>
        <v>120863</v>
      </c>
    </row>
    <row r="14" spans="1:6" ht="13.7" customHeight="1">
      <c r="A14" s="715" t="s">
        <v>410</v>
      </c>
      <c r="B14" s="1749">
        <f>SUM('Revenues 9-14'!C7:D7,'Revenues 9-14'!F7:H7)</f>
        <v>69500</v>
      </c>
      <c r="C14" s="585">
        <v>22345</v>
      </c>
      <c r="D14" s="1752">
        <f t="shared" si="0"/>
        <v>47155</v>
      </c>
      <c r="E14" s="585">
        <v>70690</v>
      </c>
      <c r="F14" s="1752">
        <f t="shared" si="1"/>
        <v>48345</v>
      </c>
    </row>
    <row r="15" spans="1:6" ht="13.7" customHeight="1">
      <c r="A15" s="715" t="s">
        <v>1158</v>
      </c>
      <c r="B15" s="1749">
        <f>SUM('Revenues 9-14'!D9:E9,'Revenues 9-14'!H9)</f>
        <v>0</v>
      </c>
      <c r="C15" s="585"/>
      <c r="D15" s="1752">
        <f t="shared" si="0"/>
        <v>0</v>
      </c>
      <c r="E15" s="585"/>
      <c r="F15" s="1752">
        <f t="shared" si="1"/>
        <v>0</v>
      </c>
    </row>
    <row r="16" spans="1:6" ht="13.7" customHeight="1">
      <c r="A16" s="715" t="s">
        <v>1159</v>
      </c>
      <c r="B16" s="1749">
        <f>'Revenues 9-14'!G8</f>
        <v>657199</v>
      </c>
      <c r="C16" s="585">
        <v>216297</v>
      </c>
      <c r="D16" s="1752">
        <f t="shared" si="0"/>
        <v>440902</v>
      </c>
      <c r="E16" s="585">
        <v>684281</v>
      </c>
      <c r="F16" s="1752">
        <f t="shared" si="1"/>
        <v>467984</v>
      </c>
    </row>
    <row r="17" spans="1:6" ht="13.7" customHeight="1">
      <c r="A17" s="715" t="s">
        <v>1160</v>
      </c>
      <c r="B17" s="1749">
        <f>'Revenues 9-14'!C10</f>
        <v>0</v>
      </c>
      <c r="C17" s="585"/>
      <c r="D17" s="1752">
        <f t="shared" si="0"/>
        <v>0</v>
      </c>
      <c r="E17" s="585"/>
      <c r="F17" s="1752">
        <f t="shared" si="1"/>
        <v>0</v>
      </c>
    </row>
    <row r="18" spans="1:6" ht="13.7" customHeight="1">
      <c r="A18" s="715" t="s">
        <v>762</v>
      </c>
      <c r="B18" s="1749">
        <f>SUM('Revenues 9-14'!C11:K11)</f>
        <v>0</v>
      </c>
      <c r="C18" s="585"/>
      <c r="D18" s="1752">
        <f t="shared" si="0"/>
        <v>0</v>
      </c>
      <c r="E18" s="585"/>
      <c r="F18" s="1752">
        <f t="shared" si="1"/>
        <v>0</v>
      </c>
    </row>
    <row r="19" spans="1:6" ht="13.7" customHeight="1" thickBot="1">
      <c r="A19" s="1753" t="s">
        <v>1161</v>
      </c>
      <c r="B19" s="1750">
        <f>SUM(B4:B18)</f>
        <v>14766997</v>
      </c>
      <c r="C19" s="1750">
        <f>SUM(C4:C18)</f>
        <v>4742678</v>
      </c>
      <c r="D19" s="1750">
        <f>SUM(D4:D18)</f>
        <v>10024319</v>
      </c>
      <c r="E19" s="1750">
        <f>SUM(E4:E18)</f>
        <v>15003982</v>
      </c>
      <c r="F19" s="1750">
        <f>SUM(F4:F18)</f>
        <v>10261304</v>
      </c>
    </row>
    <row r="20" spans="1:6" ht="13.5" thickTop="1">
      <c r="B20" s="713"/>
      <c r="F20" s="716"/>
    </row>
    <row r="21" spans="1:6">
      <c r="A21" s="717" t="s">
        <v>1805</v>
      </c>
      <c r="B21" s="718"/>
      <c r="F21" s="716"/>
    </row>
    <row r="22" spans="1:6">
      <c r="A22" s="719" t="s">
        <v>628</v>
      </c>
      <c r="B22" s="720"/>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B49" sqref="B49"/>
    </sheetView>
  </sheetViews>
  <sheetFormatPr defaultColWidth="9.140625" defaultRowHeight="12.75"/>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4" customHeight="1">
      <c r="A1" s="2262" t="s">
        <v>629</v>
      </c>
      <c r="B1" s="2260"/>
      <c r="C1" s="721"/>
    </row>
    <row r="2" spans="1:7" ht="33.75">
      <c r="A2" s="2267" t="s">
        <v>1799</v>
      </c>
      <c r="B2" s="2268"/>
      <c r="C2" s="1883" t="s">
        <v>1953</v>
      </c>
      <c r="D2" s="723" t="s">
        <v>1954</v>
      </c>
      <c r="E2" s="723" t="s">
        <v>1955</v>
      </c>
      <c r="F2" s="1883" t="s">
        <v>1956</v>
      </c>
    </row>
    <row r="3" spans="1:7" ht="15.75" customHeight="1">
      <c r="A3" s="2269" t="s">
        <v>1114</v>
      </c>
      <c r="B3" s="2270"/>
      <c r="C3" s="2263"/>
      <c r="D3" s="2264"/>
      <c r="E3" s="2264"/>
      <c r="F3" s="2265"/>
    </row>
    <row r="4" spans="1:7" ht="13.15" customHeight="1" thickBot="1">
      <c r="A4" s="2257" t="s">
        <v>630</v>
      </c>
      <c r="B4" s="2258"/>
      <c r="C4" s="581"/>
      <c r="D4" s="581"/>
      <c r="E4" s="581"/>
      <c r="F4" s="1754">
        <f>SUM(C4+D4)-E4</f>
        <v>0</v>
      </c>
    </row>
    <row r="5" spans="1:7" ht="15.75" customHeight="1" thickTop="1">
      <c r="A5" s="2261" t="s">
        <v>1110</v>
      </c>
      <c r="B5" s="2256"/>
      <c r="C5" s="2250"/>
      <c r="D5" s="2251"/>
      <c r="E5" s="2251"/>
      <c r="F5" s="2252"/>
    </row>
    <row r="6" spans="1:7" ht="13.15" customHeight="1" thickBot="1">
      <c r="A6" s="724" t="s">
        <v>64</v>
      </c>
      <c r="B6" s="725"/>
      <c r="C6" s="726"/>
      <c r="D6" s="585"/>
      <c r="E6" s="726"/>
      <c r="F6" s="1754">
        <f t="shared" ref="F6:F14" si="0">SUM(C6+D6)-E6</f>
        <v>0</v>
      </c>
    </row>
    <row r="7" spans="1:7" ht="13.15" customHeight="1" thickTop="1" thickBot="1">
      <c r="A7" s="724" t="s">
        <v>6</v>
      </c>
      <c r="B7" s="725"/>
      <c r="C7" s="726"/>
      <c r="D7" s="585"/>
      <c r="E7" s="726"/>
      <c r="F7" s="1754">
        <f t="shared" si="0"/>
        <v>0</v>
      </c>
    </row>
    <row r="8" spans="1:7" ht="13.15" customHeight="1" thickTop="1" thickBot="1">
      <c r="A8" s="724" t="s">
        <v>508</v>
      </c>
      <c r="B8" s="725"/>
      <c r="C8" s="726"/>
      <c r="D8" s="585"/>
      <c r="E8" s="726"/>
      <c r="F8" s="1754">
        <f t="shared" si="0"/>
        <v>0</v>
      </c>
    </row>
    <row r="9" spans="1:7" ht="13.15" customHeight="1" thickTop="1" thickBot="1">
      <c r="A9" s="724" t="s">
        <v>509</v>
      </c>
      <c r="B9" s="725"/>
      <c r="C9" s="726"/>
      <c r="D9" s="585"/>
      <c r="E9" s="726"/>
      <c r="F9" s="1754">
        <f t="shared" si="0"/>
        <v>0</v>
      </c>
    </row>
    <row r="10" spans="1:7" ht="13.15" customHeight="1" thickTop="1" thickBot="1">
      <c r="A10" s="724" t="s">
        <v>510</v>
      </c>
      <c r="B10" s="725"/>
      <c r="C10" s="726"/>
      <c r="D10" s="585"/>
      <c r="E10" s="726"/>
      <c r="F10" s="1754">
        <f t="shared" si="0"/>
        <v>0</v>
      </c>
    </row>
    <row r="11" spans="1:7" ht="13.15" customHeight="1" thickTop="1" thickBot="1">
      <c r="A11" s="724" t="s">
        <v>341</v>
      </c>
      <c r="B11" s="725"/>
      <c r="C11" s="726"/>
      <c r="D11" s="585"/>
      <c r="E11" s="726"/>
      <c r="F11" s="1754">
        <f t="shared" si="0"/>
        <v>0</v>
      </c>
    </row>
    <row r="12" spans="1:7" ht="13.15" customHeight="1" thickTop="1" thickBot="1">
      <c r="A12" s="724" t="s">
        <v>1157</v>
      </c>
      <c r="B12" s="725"/>
      <c r="C12" s="726"/>
      <c r="D12" s="585"/>
      <c r="E12" s="726"/>
      <c r="F12" s="1754">
        <f t="shared" si="0"/>
        <v>0</v>
      </c>
    </row>
    <row r="13" spans="1:7" ht="13.15" customHeight="1" thickTop="1" thickBot="1">
      <c r="A13" s="724" t="s">
        <v>388</v>
      </c>
      <c r="B13" s="725"/>
      <c r="C13" s="726"/>
      <c r="D13" s="585"/>
      <c r="E13" s="726"/>
      <c r="F13" s="1754">
        <f t="shared" si="0"/>
        <v>0</v>
      </c>
    </row>
    <row r="14" spans="1:7" ht="13.15" customHeight="1" thickTop="1" thickBot="1">
      <c r="A14" s="724" t="s">
        <v>448</v>
      </c>
      <c r="B14" s="725"/>
      <c r="C14" s="726"/>
      <c r="D14" s="585"/>
      <c r="E14" s="726"/>
      <c r="F14" s="1754">
        <f t="shared" si="0"/>
        <v>0</v>
      </c>
    </row>
    <row r="15" spans="1:7" ht="14.25" thickTop="1" thickBot="1">
      <c r="A15" s="2253" t="s">
        <v>631</v>
      </c>
      <c r="B15" s="2254"/>
      <c r="C15" s="1754">
        <f>SUM(C6:C14)</f>
        <v>0</v>
      </c>
      <c r="D15" s="1754">
        <f>SUM(D6:D14)</f>
        <v>0</v>
      </c>
      <c r="E15" s="1754">
        <f>SUM(E6:E14)</f>
        <v>0</v>
      </c>
      <c r="F15" s="1754">
        <f>SUM(F6:F14)</f>
        <v>0</v>
      </c>
      <c r="G15" s="552"/>
    </row>
    <row r="16" spans="1:7" s="202" customFormat="1" ht="15.75" customHeight="1" thickTop="1">
      <c r="A16" s="2266" t="s">
        <v>1111</v>
      </c>
      <c r="B16" s="2256"/>
      <c r="C16" s="2250"/>
      <c r="D16" s="2251"/>
      <c r="E16" s="2251"/>
      <c r="F16" s="2252"/>
    </row>
    <row r="17" spans="1:11" ht="13.15" customHeight="1" thickBot="1">
      <c r="A17" s="2248" t="s">
        <v>64</v>
      </c>
      <c r="B17" s="2249"/>
      <c r="C17" s="726"/>
      <c r="D17" s="585"/>
      <c r="E17" s="726"/>
      <c r="F17" s="1754">
        <f>SUM(C17+D17)-E17</f>
        <v>0</v>
      </c>
    </row>
    <row r="18" spans="1:11" ht="13.15" customHeight="1" thickTop="1" thickBot="1">
      <c r="A18" s="2248" t="s">
        <v>6</v>
      </c>
      <c r="B18" s="2249"/>
      <c r="C18" s="726"/>
      <c r="D18" s="585"/>
      <c r="E18" s="726"/>
      <c r="F18" s="1754">
        <f>SUM(C18+D18)-E18</f>
        <v>0</v>
      </c>
    </row>
    <row r="19" spans="1:11" ht="13.15" customHeight="1" thickTop="1" thickBot="1">
      <c r="A19" s="2248" t="s">
        <v>388</v>
      </c>
      <c r="B19" s="2249"/>
      <c r="C19" s="726"/>
      <c r="D19" s="585"/>
      <c r="E19" s="726"/>
      <c r="F19" s="1754">
        <f>SUM(C19+D19)-E19</f>
        <v>0</v>
      </c>
    </row>
    <row r="20" spans="1:11" ht="13.15" customHeight="1" thickTop="1" thickBot="1">
      <c r="A20" s="2248" t="s">
        <v>448</v>
      </c>
      <c r="B20" s="2249"/>
      <c r="C20" s="726"/>
      <c r="D20" s="585"/>
      <c r="E20" s="726"/>
      <c r="F20" s="1754">
        <f>SUM(C20+D20)-E20</f>
        <v>0</v>
      </c>
    </row>
    <row r="21" spans="1:11" ht="14.25" thickTop="1" thickBot="1">
      <c r="A21" s="2253" t="s">
        <v>632</v>
      </c>
      <c r="B21" s="2254"/>
      <c r="C21" s="1754">
        <f>SUM(C17:C20)</f>
        <v>0</v>
      </c>
      <c r="D21" s="1754">
        <f>SUM(D17:D20)</f>
        <v>0</v>
      </c>
      <c r="E21" s="1754">
        <f>SUM(E17:E20)</f>
        <v>0</v>
      </c>
      <c r="F21" s="1754">
        <f>SUM(F17:F20)</f>
        <v>0</v>
      </c>
      <c r="G21" s="552"/>
    </row>
    <row r="22" spans="1:11" ht="15.75" customHeight="1" thickTop="1">
      <c r="A22" s="2255" t="s">
        <v>1112</v>
      </c>
      <c r="B22" s="2256"/>
      <c r="C22" s="2250"/>
      <c r="D22" s="2251"/>
      <c r="E22" s="2251"/>
      <c r="F22" s="2252"/>
    </row>
    <row r="23" spans="1:11" ht="13.5" thickBot="1">
      <c r="A23" s="2257" t="s">
        <v>633</v>
      </c>
      <c r="B23" s="2258"/>
      <c r="C23" s="581"/>
      <c r="D23" s="581"/>
      <c r="E23" s="581"/>
      <c r="F23" s="1754">
        <f>SUM(C23+D23)-E23</f>
        <v>0</v>
      </c>
      <c r="G23" s="552"/>
    </row>
    <row r="24" spans="1:11" ht="15.75" customHeight="1" thickTop="1">
      <c r="A24" s="2255" t="s">
        <v>1113</v>
      </c>
      <c r="B24" s="2256"/>
      <c r="C24" s="2250"/>
      <c r="D24" s="2251"/>
      <c r="E24" s="2251"/>
      <c r="F24" s="2252"/>
    </row>
    <row r="25" spans="1:11" ht="13.5" thickBot="1">
      <c r="A25" s="2257" t="s">
        <v>634</v>
      </c>
      <c r="B25" s="2258"/>
      <c r="C25" s="581"/>
      <c r="D25" s="581"/>
      <c r="E25" s="581"/>
      <c r="F25" s="1754">
        <f>SUM(C25+D25)-E25</f>
        <v>0</v>
      </c>
      <c r="G25" s="552"/>
    </row>
    <row r="26" spans="1:11" ht="15.75" customHeight="1" thickTop="1">
      <c r="A26" s="2261" t="s">
        <v>657</v>
      </c>
      <c r="B26" s="2256"/>
      <c r="C26" s="727"/>
      <c r="D26" s="727"/>
      <c r="E26" s="727"/>
      <c r="F26" s="728"/>
    </row>
    <row r="27" spans="1:11" ht="13.5" thickBot="1">
      <c r="A27" s="2253" t="s">
        <v>1070</v>
      </c>
      <c r="B27" s="2254"/>
      <c r="C27" s="585"/>
      <c r="D27" s="585"/>
      <c r="E27" s="585"/>
      <c r="F27" s="1754">
        <f>SUM(C27+D27)-E27</f>
        <v>0</v>
      </c>
      <c r="G27" s="552"/>
    </row>
    <row r="28" spans="1:11" ht="7.5" customHeight="1" thickTop="1">
      <c r="A28" s="593"/>
    </row>
    <row r="29" spans="1:11" ht="23.25" customHeight="1">
      <c r="A29" s="2259" t="s">
        <v>582</v>
      </c>
      <c r="B29" s="2260"/>
      <c r="C29" s="729"/>
      <c r="D29" s="729"/>
      <c r="E29" s="729"/>
      <c r="F29" s="729"/>
      <c r="G29" s="729"/>
      <c r="H29" s="729"/>
      <c r="I29" s="729"/>
      <c r="J29" s="729"/>
    </row>
    <row r="30" spans="1:11" ht="33.75">
      <c r="A30" s="1528" t="s">
        <v>1071</v>
      </c>
      <c r="B30" s="730" t="s">
        <v>1124</v>
      </c>
      <c r="C30" s="1884" t="s">
        <v>583</v>
      </c>
      <c r="D30" s="1884" t="s">
        <v>1673</v>
      </c>
      <c r="E30" s="1884" t="s">
        <v>1957</v>
      </c>
      <c r="F30" s="1884" t="s">
        <v>1958</v>
      </c>
      <c r="G30" s="1884" t="s">
        <v>1908</v>
      </c>
      <c r="H30" s="1884" t="s">
        <v>1959</v>
      </c>
      <c r="I30" s="1884" t="s">
        <v>1960</v>
      </c>
      <c r="J30" s="1885" t="s">
        <v>2</v>
      </c>
      <c r="K30" s="731"/>
    </row>
    <row r="31" spans="1:11" ht="12" customHeight="1">
      <c r="A31" s="732" t="s">
        <v>2081</v>
      </c>
      <c r="B31" s="733">
        <v>41781</v>
      </c>
      <c r="C31" s="734">
        <v>3520000</v>
      </c>
      <c r="D31" s="735">
        <v>3</v>
      </c>
      <c r="E31" s="734">
        <v>2575000</v>
      </c>
      <c r="F31" s="734"/>
      <c r="G31" s="734"/>
      <c r="H31" s="734">
        <v>1260000</v>
      </c>
      <c r="I31" s="1755">
        <f>((E31+F31)-H31)+G31</f>
        <v>1315000</v>
      </c>
      <c r="J31" s="734">
        <v>1149962</v>
      </c>
      <c r="K31" s="736"/>
    </row>
    <row r="32" spans="1:11" ht="12" customHeight="1">
      <c r="A32" s="732" t="s">
        <v>2082</v>
      </c>
      <c r="B32" s="733">
        <v>42083</v>
      </c>
      <c r="C32" s="734">
        <v>5400000</v>
      </c>
      <c r="D32" s="735">
        <v>1</v>
      </c>
      <c r="E32" s="734">
        <v>5300000</v>
      </c>
      <c r="F32" s="734"/>
      <c r="G32" s="734"/>
      <c r="H32" s="734">
        <v>125000</v>
      </c>
      <c r="I32" s="1755">
        <f>((E32+F32)-H32)+G32</f>
        <v>5175000</v>
      </c>
      <c r="J32" s="734">
        <v>4525516</v>
      </c>
      <c r="K32" s="736"/>
    </row>
    <row r="33" spans="1:11" ht="12" customHeight="1">
      <c r="A33" s="732" t="s">
        <v>2083</v>
      </c>
      <c r="B33" s="733">
        <v>42426</v>
      </c>
      <c r="C33" s="734">
        <v>7320000</v>
      </c>
      <c r="D33" s="735">
        <v>1</v>
      </c>
      <c r="E33" s="734">
        <v>6735000</v>
      </c>
      <c r="F33" s="734"/>
      <c r="G33" s="734"/>
      <c r="H33" s="734">
        <v>465000</v>
      </c>
      <c r="I33" s="1755">
        <f t="shared" ref="I33:I48" si="1">((E33+F33)-H33)+G33</f>
        <v>6270000</v>
      </c>
      <c r="J33" s="734">
        <v>5483089</v>
      </c>
      <c r="K33" s="736"/>
    </row>
    <row r="34" spans="1:11" ht="12" customHeight="1">
      <c r="A34" s="732" t="s">
        <v>2084</v>
      </c>
      <c r="B34" s="733">
        <v>42842</v>
      </c>
      <c r="C34" s="734">
        <v>8825000</v>
      </c>
      <c r="D34" s="735">
        <v>6</v>
      </c>
      <c r="E34" s="734">
        <v>8825000</v>
      </c>
      <c r="F34" s="734"/>
      <c r="G34" s="734"/>
      <c r="H34" s="734"/>
      <c r="I34" s="1755">
        <f t="shared" si="1"/>
        <v>8825000</v>
      </c>
      <c r="J34" s="734">
        <v>7717426</v>
      </c>
      <c r="K34" s="737"/>
    </row>
    <row r="35" spans="1:11" ht="12" customHeight="1">
      <c r="A35" s="732" t="s">
        <v>2085</v>
      </c>
      <c r="B35" s="733">
        <v>42842</v>
      </c>
      <c r="C35" s="738">
        <v>2020000</v>
      </c>
      <c r="D35" s="735">
        <v>6</v>
      </c>
      <c r="E35" s="738">
        <v>2020000</v>
      </c>
      <c r="F35" s="738"/>
      <c r="G35" s="738"/>
      <c r="H35" s="738">
        <v>405000</v>
      </c>
      <c r="I35" s="1755">
        <f t="shared" si="1"/>
        <v>1615000</v>
      </c>
      <c r="J35" s="738">
        <v>1412311</v>
      </c>
      <c r="K35" s="737"/>
    </row>
    <row r="36" spans="1:11" ht="12" customHeight="1">
      <c r="A36" s="732"/>
      <c r="B36" s="733"/>
      <c r="C36" s="734"/>
      <c r="D36" s="735"/>
      <c r="E36" s="734"/>
      <c r="F36" s="734"/>
      <c r="G36" s="734"/>
      <c r="H36" s="734"/>
      <c r="I36" s="1755">
        <f t="shared" si="1"/>
        <v>0</v>
      </c>
      <c r="J36" s="734"/>
      <c r="K36" s="739"/>
    </row>
    <row r="37" spans="1:11" ht="12" customHeight="1">
      <c r="A37" s="732"/>
      <c r="B37" s="733"/>
      <c r="C37" s="467"/>
      <c r="D37" s="740"/>
      <c r="E37" s="467"/>
      <c r="F37" s="467"/>
      <c r="G37" s="467"/>
      <c r="H37" s="467"/>
      <c r="I37" s="1755">
        <f t="shared" si="1"/>
        <v>0</v>
      </c>
      <c r="J37" s="467"/>
      <c r="K37" s="737"/>
    </row>
    <row r="38" spans="1:11" ht="12" customHeight="1">
      <c r="A38" s="732"/>
      <c r="B38" s="733"/>
      <c r="C38" s="734"/>
      <c r="D38" s="741"/>
      <c r="E38" s="742"/>
      <c r="F38" s="742"/>
      <c r="G38" s="742"/>
      <c r="H38" s="742"/>
      <c r="I38" s="1755">
        <f t="shared" si="1"/>
        <v>0</v>
      </c>
      <c r="J38" s="743" t="s">
        <v>264</v>
      </c>
      <c r="K38" s="744"/>
    </row>
    <row r="39" spans="1:11" ht="12" customHeight="1">
      <c r="A39" s="732"/>
      <c r="B39" s="733"/>
      <c r="C39" s="734"/>
      <c r="D39" s="741"/>
      <c r="E39" s="742"/>
      <c r="F39" s="742"/>
      <c r="G39" s="742"/>
      <c r="H39" s="742"/>
      <c r="I39" s="1755">
        <f t="shared" si="1"/>
        <v>0</v>
      </c>
      <c r="J39" s="743"/>
      <c r="K39" s="744"/>
    </row>
    <row r="40" spans="1:11" ht="12" customHeight="1">
      <c r="A40" s="732"/>
      <c r="B40" s="733"/>
      <c r="C40" s="734"/>
      <c r="D40" s="741"/>
      <c r="E40" s="742"/>
      <c r="F40" s="742"/>
      <c r="G40" s="742"/>
      <c r="H40" s="742"/>
      <c r="I40" s="1755">
        <f t="shared" si="1"/>
        <v>0</v>
      </c>
      <c r="J40" s="743"/>
      <c r="K40" s="744"/>
    </row>
    <row r="41" spans="1:11" ht="12" customHeight="1">
      <c r="A41" s="732"/>
      <c r="B41" s="733"/>
      <c r="C41" s="734"/>
      <c r="D41" s="741"/>
      <c r="E41" s="742"/>
      <c r="F41" s="742"/>
      <c r="G41" s="742"/>
      <c r="H41" s="742"/>
      <c r="I41" s="1755">
        <f t="shared" si="1"/>
        <v>0</v>
      </c>
      <c r="J41" s="743"/>
      <c r="K41" s="744"/>
    </row>
    <row r="42" spans="1:11" ht="12" customHeight="1">
      <c r="A42" s="732"/>
      <c r="B42" s="733"/>
      <c r="C42" s="734"/>
      <c r="D42" s="741"/>
      <c r="E42" s="742"/>
      <c r="F42" s="742"/>
      <c r="G42" s="742"/>
      <c r="H42" s="742"/>
      <c r="I42" s="1755">
        <f t="shared" si="1"/>
        <v>0</v>
      </c>
      <c r="J42" s="743"/>
      <c r="K42" s="744"/>
    </row>
    <row r="43" spans="1:11" ht="12" customHeight="1">
      <c r="A43" s="732"/>
      <c r="B43" s="733"/>
      <c r="C43" s="734"/>
      <c r="D43" s="741"/>
      <c r="E43" s="742"/>
      <c r="F43" s="742"/>
      <c r="G43" s="742"/>
      <c r="H43" s="742"/>
      <c r="I43" s="1755">
        <f t="shared" si="1"/>
        <v>0</v>
      </c>
      <c r="J43" s="743"/>
      <c r="K43" s="744"/>
    </row>
    <row r="44" spans="1:11" ht="12" customHeight="1">
      <c r="A44" s="732"/>
      <c r="B44" s="733"/>
      <c r="C44" s="734"/>
      <c r="D44" s="735"/>
      <c r="E44" s="734"/>
      <c r="F44" s="734"/>
      <c r="G44" s="734"/>
      <c r="H44" s="734"/>
      <c r="I44" s="1755">
        <f t="shared" si="1"/>
        <v>0</v>
      </c>
      <c r="J44" s="734"/>
      <c r="K44" s="737"/>
    </row>
    <row r="45" spans="1:11" ht="12" customHeight="1">
      <c r="A45" s="732"/>
      <c r="B45" s="733"/>
      <c r="C45" s="734"/>
      <c r="D45" s="735"/>
      <c r="E45" s="734"/>
      <c r="F45" s="734"/>
      <c r="G45" s="734"/>
      <c r="H45" s="734"/>
      <c r="I45" s="1755">
        <f t="shared" si="1"/>
        <v>0</v>
      </c>
      <c r="J45" s="734"/>
      <c r="K45" s="737"/>
    </row>
    <row r="46" spans="1:11" ht="12" customHeight="1">
      <c r="A46" s="732"/>
      <c r="B46" s="733"/>
      <c r="C46" s="734"/>
      <c r="D46" s="735"/>
      <c r="E46" s="734"/>
      <c r="F46" s="734"/>
      <c r="G46" s="734"/>
      <c r="H46" s="734"/>
      <c r="I46" s="1755">
        <f t="shared" si="1"/>
        <v>0</v>
      </c>
      <c r="J46" s="734"/>
      <c r="K46" s="737"/>
    </row>
    <row r="47" spans="1:11" ht="12" customHeight="1">
      <c r="A47" s="732"/>
      <c r="B47" s="733"/>
      <c r="C47" s="738"/>
      <c r="D47" s="735"/>
      <c r="E47" s="738"/>
      <c r="F47" s="738"/>
      <c r="G47" s="738"/>
      <c r="H47" s="738"/>
      <c r="I47" s="1755">
        <f t="shared" si="1"/>
        <v>0</v>
      </c>
      <c r="J47" s="738"/>
      <c r="K47" s="737"/>
    </row>
    <row r="48" spans="1:11" ht="12" customHeight="1">
      <c r="A48" s="732"/>
      <c r="B48" s="733"/>
      <c r="C48" s="734"/>
      <c r="D48" s="735"/>
      <c r="E48" s="734"/>
      <c r="F48" s="734"/>
      <c r="G48" s="734"/>
      <c r="H48" s="734"/>
      <c r="I48" s="1755">
        <f t="shared" si="1"/>
        <v>0</v>
      </c>
      <c r="J48" s="734"/>
      <c r="K48" s="737"/>
    </row>
    <row r="49" spans="1:11" ht="12" customHeight="1">
      <c r="A49" s="732"/>
      <c r="B49" s="733"/>
      <c r="C49" s="1755">
        <f>SUM(C31:C48)</f>
        <v>27085000</v>
      </c>
      <c r="D49" s="745"/>
      <c r="E49" s="1755">
        <f t="shared" ref="E49:J49" si="2">SUM(E31:E48)</f>
        <v>25455000</v>
      </c>
      <c r="F49" s="1755">
        <f t="shared" si="2"/>
        <v>0</v>
      </c>
      <c r="G49" s="1755">
        <f t="shared" si="2"/>
        <v>0</v>
      </c>
      <c r="H49" s="1755">
        <f t="shared" si="2"/>
        <v>2255000</v>
      </c>
      <c r="I49" s="1755">
        <f t="shared" si="2"/>
        <v>23200000</v>
      </c>
      <c r="J49" s="1755">
        <f t="shared" si="2"/>
        <v>20288304</v>
      </c>
      <c r="K49" s="737"/>
    </row>
    <row r="50" spans="1:11" ht="6" customHeight="1">
      <c r="A50" s="746"/>
      <c r="B50" s="736"/>
      <c r="C50" s="736"/>
      <c r="D50" s="736"/>
      <c r="E50" s="736"/>
      <c r="F50" s="736"/>
      <c r="G50" s="736"/>
      <c r="H50" s="736"/>
      <c r="I50" s="736"/>
      <c r="J50" s="746"/>
    </row>
    <row r="51" spans="1:11">
      <c r="A51" s="747" t="s">
        <v>1804</v>
      </c>
      <c r="B51" s="746"/>
      <c r="C51" s="737"/>
      <c r="D51" s="737"/>
      <c r="E51" s="737"/>
      <c r="F51" s="737"/>
      <c r="G51" s="737"/>
      <c r="H51" s="736"/>
      <c r="I51" s="736"/>
      <c r="J51" s="746"/>
    </row>
    <row r="52" spans="1:11" ht="11.25" customHeight="1">
      <c r="A52" s="748" t="s">
        <v>912</v>
      </c>
      <c r="B52" s="2242" t="s">
        <v>584</v>
      </c>
      <c r="C52" s="2243"/>
      <c r="D52" s="2243"/>
      <c r="E52" s="749" t="s">
        <v>845</v>
      </c>
      <c r="F52" s="2244"/>
      <c r="G52" s="2245"/>
      <c r="H52" s="736"/>
      <c r="I52" s="736"/>
      <c r="J52" s="746"/>
    </row>
    <row r="53" spans="1:11" ht="11.25" customHeight="1">
      <c r="A53" s="750" t="s">
        <v>913</v>
      </c>
      <c r="B53" s="751" t="s">
        <v>951</v>
      </c>
      <c r="C53" s="746"/>
      <c r="D53" s="737"/>
      <c r="E53" s="749" t="s">
        <v>497</v>
      </c>
      <c r="F53" s="2246"/>
      <c r="G53" s="2247"/>
      <c r="H53" s="736"/>
      <c r="I53" s="736"/>
      <c r="J53" s="746"/>
    </row>
    <row r="54" spans="1:11" ht="11.25" customHeight="1">
      <c r="A54" s="752" t="s">
        <v>914</v>
      </c>
      <c r="B54" s="747" t="s">
        <v>952</v>
      </c>
      <c r="C54" s="746"/>
      <c r="D54" s="737"/>
      <c r="E54" s="749" t="s">
        <v>498</v>
      </c>
      <c r="F54" s="2246"/>
      <c r="G54" s="2247"/>
      <c r="H54" s="736"/>
      <c r="I54" s="736"/>
      <c r="J54" s="746"/>
    </row>
    <row r="55" spans="1:11" ht="6" customHeight="1">
      <c r="A55" s="737"/>
      <c r="B55" s="753"/>
      <c r="C55" s="754"/>
      <c r="D55" s="755"/>
      <c r="E55" s="756"/>
      <c r="F55" s="757"/>
      <c r="G55" s="746"/>
      <c r="H55" s="736"/>
      <c r="I55" s="736"/>
      <c r="J55" s="746"/>
    </row>
    <row r="56" spans="1:11" ht="11.25" customHeight="1">
      <c r="A56" s="753"/>
      <c r="B56" s="758"/>
      <c r="C56" s="737"/>
      <c r="D56" s="737"/>
      <c r="E56" s="737"/>
      <c r="F56" s="737"/>
      <c r="G56" s="736"/>
      <c r="H56" s="736"/>
      <c r="I56" s="736"/>
      <c r="J56" s="746"/>
    </row>
    <row r="57" spans="1:11" ht="11.25" customHeight="1">
      <c r="A57" s="737"/>
      <c r="B57" s="759"/>
      <c r="C57" s="737"/>
      <c r="D57" s="737"/>
      <c r="E57" s="737"/>
      <c r="F57" s="737"/>
      <c r="G57" s="736"/>
      <c r="H57" s="736"/>
      <c r="I57" s="736"/>
      <c r="J57" s="746"/>
    </row>
    <row r="58" spans="1:11" ht="11.25" customHeight="1">
      <c r="A58" s="753"/>
      <c r="B58" s="758"/>
      <c r="C58" s="737"/>
      <c r="D58" s="737"/>
      <c r="E58" s="737"/>
      <c r="F58" s="737"/>
      <c r="G58" s="736"/>
      <c r="H58" s="736"/>
      <c r="I58" s="736"/>
      <c r="J58" s="746"/>
    </row>
    <row r="59" spans="1:11" ht="11.25" customHeight="1"/>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B49" sqref="B49"/>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71" t="s">
        <v>856</v>
      </c>
      <c r="B1" s="2272"/>
      <c r="C1" s="2272"/>
      <c r="D1" s="2272"/>
      <c r="E1" s="2272"/>
      <c r="F1" s="2272"/>
      <c r="G1" s="2273"/>
      <c r="H1" s="1529"/>
      <c r="I1" s="760"/>
      <c r="J1" s="433"/>
    </row>
    <row r="2" spans="1:11" ht="26.25">
      <c r="A2" s="2290" t="s">
        <v>1677</v>
      </c>
      <c r="B2" s="2291"/>
      <c r="C2" s="2291"/>
      <c r="D2" s="2291"/>
      <c r="E2" s="2292"/>
      <c r="F2" s="761" t="s">
        <v>904</v>
      </c>
      <c r="G2" s="762" t="s">
        <v>1674</v>
      </c>
      <c r="H2" s="762" t="s">
        <v>410</v>
      </c>
      <c r="I2" s="762" t="s">
        <v>1158</v>
      </c>
      <c r="J2" s="762" t="s">
        <v>1809</v>
      </c>
      <c r="K2" s="762" t="s">
        <v>138</v>
      </c>
    </row>
    <row r="3" spans="1:11">
      <c r="A3" s="2293" t="s">
        <v>1961</v>
      </c>
      <c r="B3" s="2294"/>
      <c r="C3" s="2294"/>
      <c r="D3" s="2294"/>
      <c r="E3" s="2295"/>
      <c r="F3" s="763"/>
      <c r="G3" s="764"/>
      <c r="H3" s="764"/>
      <c r="I3" s="764"/>
      <c r="J3" s="765">
        <v>1071308</v>
      </c>
      <c r="K3" s="765"/>
    </row>
    <row r="4" spans="1:11">
      <c r="A4" s="2296" t="s">
        <v>369</v>
      </c>
      <c r="B4" s="2297"/>
      <c r="C4" s="2297"/>
      <c r="D4" s="2297"/>
      <c r="E4" s="2243"/>
      <c r="F4" s="766"/>
      <c r="G4" s="767"/>
      <c r="H4" s="768"/>
      <c r="I4" s="767"/>
      <c r="J4" s="769"/>
      <c r="K4" s="769"/>
    </row>
    <row r="5" spans="1:11">
      <c r="A5" s="2274" t="s">
        <v>1069</v>
      </c>
      <c r="B5" s="2275"/>
      <c r="C5" s="2275"/>
      <c r="D5" s="2275"/>
      <c r="E5" s="2276"/>
      <c r="F5" s="770" t="s">
        <v>848</v>
      </c>
      <c r="G5" s="771"/>
      <c r="H5" s="764"/>
      <c r="I5" s="772"/>
      <c r="J5" s="773"/>
      <c r="K5" s="773"/>
    </row>
    <row r="6" spans="1:11">
      <c r="A6" s="774" t="s">
        <v>720</v>
      </c>
      <c r="B6" s="775"/>
      <c r="C6" s="775"/>
      <c r="D6" s="775"/>
      <c r="E6" s="776"/>
      <c r="F6" s="777" t="s">
        <v>849</v>
      </c>
      <c r="G6" s="764"/>
      <c r="H6" s="764"/>
      <c r="I6" s="764"/>
      <c r="J6" s="765"/>
      <c r="K6" s="765"/>
    </row>
    <row r="7" spans="1:11">
      <c r="A7" s="778" t="s">
        <v>246</v>
      </c>
      <c r="B7" s="779"/>
      <c r="C7" s="779"/>
      <c r="D7" s="779"/>
      <c r="E7" s="780"/>
      <c r="F7" s="770" t="s">
        <v>850</v>
      </c>
      <c r="G7" s="767"/>
      <c r="H7" s="767"/>
      <c r="I7" s="767"/>
      <c r="J7" s="781"/>
      <c r="K7" s="765"/>
    </row>
    <row r="8" spans="1:11">
      <c r="A8" s="778" t="s">
        <v>345</v>
      </c>
      <c r="B8" s="779"/>
      <c r="C8" s="779"/>
      <c r="D8" s="779"/>
      <c r="E8" s="780"/>
      <c r="F8" s="770" t="s">
        <v>851</v>
      </c>
      <c r="G8" s="782"/>
      <c r="H8" s="782"/>
      <c r="I8" s="782"/>
      <c r="J8" s="765">
        <v>1443755</v>
      </c>
      <c r="K8" s="769"/>
    </row>
    <row r="9" spans="1:11">
      <c r="A9" s="778" t="s">
        <v>138</v>
      </c>
      <c r="B9" s="779"/>
      <c r="C9" s="779"/>
      <c r="D9" s="779"/>
      <c r="E9" s="780"/>
      <c r="F9" s="777" t="s">
        <v>853</v>
      </c>
      <c r="G9" s="782"/>
      <c r="H9" s="771"/>
      <c r="I9" s="771"/>
      <c r="J9" s="781"/>
      <c r="K9" s="765"/>
    </row>
    <row r="10" spans="1:11">
      <c r="A10" s="2274" t="s">
        <v>1810</v>
      </c>
      <c r="B10" s="2275"/>
      <c r="C10" s="2275"/>
      <c r="D10" s="2275"/>
      <c r="E10" s="2277"/>
      <c r="F10" s="783" t="s">
        <v>862</v>
      </c>
      <c r="G10" s="782"/>
      <c r="H10" s="784"/>
      <c r="I10" s="764"/>
      <c r="J10" s="765"/>
      <c r="K10" s="765"/>
    </row>
    <row r="11" spans="1:11">
      <c r="A11" s="2274" t="s">
        <v>160</v>
      </c>
      <c r="B11" s="2275"/>
      <c r="C11" s="2275"/>
      <c r="D11" s="2275"/>
      <c r="E11" s="2276"/>
      <c r="F11" s="770" t="s">
        <v>852</v>
      </c>
      <c r="G11" s="771"/>
      <c r="H11" s="764"/>
      <c r="I11" s="764"/>
      <c r="J11" s="765"/>
      <c r="K11" s="773"/>
    </row>
    <row r="12" spans="1:11" ht="13.5" thickBot="1">
      <c r="A12" s="2301" t="s">
        <v>905</v>
      </c>
      <c r="B12" s="2302"/>
      <c r="C12" s="2302"/>
      <c r="D12" s="2302"/>
      <c r="E12" s="2303"/>
      <c r="F12" s="1756"/>
      <c r="G12" s="1757">
        <f>SUM(G5:G11)</f>
        <v>0</v>
      </c>
      <c r="H12" s="1757">
        <f>SUM(H5:H11)</f>
        <v>0</v>
      </c>
      <c r="I12" s="1757">
        <f>SUM(I5:I11)</f>
        <v>0</v>
      </c>
      <c r="J12" s="1757">
        <f>SUM(J5:J11)</f>
        <v>1443755</v>
      </c>
      <c r="K12" s="1757">
        <f>SUM(K5:K11)</f>
        <v>0</v>
      </c>
    </row>
    <row r="13" spans="1:11" ht="13.5" thickTop="1">
      <c r="A13" s="2298" t="s">
        <v>370</v>
      </c>
      <c r="B13" s="2299"/>
      <c r="C13" s="2299"/>
      <c r="D13" s="2299"/>
      <c r="E13" s="2300"/>
      <c r="F13" s="785"/>
      <c r="G13" s="786"/>
      <c r="H13" s="787"/>
      <c r="I13" s="788"/>
      <c r="J13" s="788"/>
      <c r="K13" s="788"/>
    </row>
    <row r="14" spans="1:11">
      <c r="A14" s="2281" t="s">
        <v>456</v>
      </c>
      <c r="B14" s="2281"/>
      <c r="C14" s="2281"/>
      <c r="D14" s="2281"/>
      <c r="E14" s="2282"/>
      <c r="F14" s="789" t="s">
        <v>854</v>
      </c>
      <c r="G14" s="782"/>
      <c r="H14" s="764"/>
      <c r="I14" s="771"/>
      <c r="J14" s="773"/>
      <c r="K14" s="765"/>
    </row>
    <row r="15" spans="1:11">
      <c r="A15" s="2275" t="s">
        <v>4</v>
      </c>
      <c r="B15" s="2275"/>
      <c r="C15" s="2275"/>
      <c r="D15" s="2275"/>
      <c r="E15" s="2276"/>
      <c r="F15" s="789" t="s">
        <v>855</v>
      </c>
      <c r="G15" s="771"/>
      <c r="H15" s="764"/>
      <c r="I15" s="764"/>
      <c r="J15" s="765">
        <v>21182</v>
      </c>
      <c r="K15" s="765"/>
    </row>
    <row r="16" spans="1:11">
      <c r="A16" s="2275" t="s">
        <v>298</v>
      </c>
      <c r="B16" s="2275"/>
      <c r="C16" s="2275"/>
      <c r="D16" s="2275"/>
      <c r="E16" s="2276"/>
      <c r="F16" s="789" t="s">
        <v>923</v>
      </c>
      <c r="G16" s="772"/>
      <c r="H16" s="767"/>
      <c r="I16" s="767"/>
      <c r="J16" s="769"/>
      <c r="K16" s="769"/>
    </row>
    <row r="17" spans="1:11">
      <c r="A17" s="2306" t="s">
        <v>935</v>
      </c>
      <c r="B17" s="2306"/>
      <c r="C17" s="2306"/>
      <c r="D17" s="2306"/>
      <c r="E17" s="2307"/>
      <c r="F17" s="790"/>
      <c r="G17" s="791"/>
      <c r="H17" s="792"/>
      <c r="I17" s="792"/>
      <c r="J17" s="793"/>
      <c r="K17" s="794"/>
    </row>
    <row r="18" spans="1:11">
      <c r="A18" s="2285" t="s">
        <v>368</v>
      </c>
      <c r="B18" s="2286"/>
      <c r="C18" s="2286"/>
      <c r="D18" s="2286"/>
      <c r="E18" s="2287"/>
      <c r="F18" s="789" t="s">
        <v>932</v>
      </c>
      <c r="G18" s="782"/>
      <c r="H18" s="782"/>
      <c r="I18" s="782"/>
      <c r="J18" s="765">
        <f>420700+49060</f>
        <v>469760</v>
      </c>
      <c r="K18" s="795"/>
    </row>
    <row r="19" spans="1:11" ht="21.75" customHeight="1">
      <c r="A19" s="2283" t="s">
        <v>1806</v>
      </c>
      <c r="B19" s="2283"/>
      <c r="C19" s="2283"/>
      <c r="D19" s="2283"/>
      <c r="E19" s="2284"/>
      <c r="F19" s="789" t="s">
        <v>933</v>
      </c>
      <c r="G19" s="782"/>
      <c r="H19" s="782"/>
      <c r="I19" s="782"/>
      <c r="J19" s="765">
        <v>405000</v>
      </c>
      <c r="K19" s="795"/>
    </row>
    <row r="20" spans="1:11">
      <c r="A20" s="2285" t="s">
        <v>1811</v>
      </c>
      <c r="B20" s="2286"/>
      <c r="C20" s="2286"/>
      <c r="D20" s="2286"/>
      <c r="E20" s="2287"/>
      <c r="F20" s="789" t="s">
        <v>934</v>
      </c>
      <c r="G20" s="782"/>
      <c r="H20" s="782"/>
      <c r="I20" s="782"/>
      <c r="J20" s="765"/>
      <c r="K20" s="795"/>
    </row>
    <row r="21" spans="1:11" ht="13.5" thickBot="1">
      <c r="A21" s="2304" t="s">
        <v>638</v>
      </c>
      <c r="B21" s="2304"/>
      <c r="C21" s="2304"/>
      <c r="D21" s="2304"/>
      <c r="E21" s="2304"/>
      <c r="F21" s="1758"/>
      <c r="G21" s="792"/>
      <c r="H21" s="796"/>
      <c r="I21" s="796"/>
      <c r="J21" s="1759">
        <f>SUM(J18:J20)</f>
        <v>874760</v>
      </c>
      <c r="K21" s="793"/>
    </row>
    <row r="22" spans="1:11" ht="13.5" thickTop="1">
      <c r="A22" s="2275" t="s">
        <v>1812</v>
      </c>
      <c r="B22" s="2275"/>
      <c r="C22" s="2275"/>
      <c r="D22" s="2275"/>
      <c r="E22" s="2276"/>
      <c r="F22" s="789" t="s">
        <v>862</v>
      </c>
      <c r="G22" s="782"/>
      <c r="H22" s="764"/>
      <c r="I22" s="764"/>
      <c r="J22" s="797"/>
      <c r="K22" s="765"/>
    </row>
    <row r="23" spans="1:11" ht="13.5" thickBot="1">
      <c r="A23" s="2305" t="s">
        <v>906</v>
      </c>
      <c r="B23" s="2304"/>
      <c r="C23" s="2304"/>
      <c r="D23" s="2304"/>
      <c r="E23" s="2304"/>
      <c r="F23" s="1760"/>
      <c r="G23" s="1757">
        <f>SUM(G14:G16,G21,G22)</f>
        <v>0</v>
      </c>
      <c r="H23" s="1757">
        <f>SUM(H14:H16,H21,H22)</f>
        <v>0</v>
      </c>
      <c r="I23" s="1757">
        <f>SUM(I14:I16,I21,I22)</f>
        <v>0</v>
      </c>
      <c r="J23" s="1757">
        <f>SUM(J14:J16,J21,J22)</f>
        <v>895942</v>
      </c>
      <c r="K23" s="1757">
        <f>SUM(K14:K16,K21,K22)</f>
        <v>0</v>
      </c>
    </row>
    <row r="24" spans="1:11" ht="14.25" thickTop="1" thickBot="1">
      <c r="A24" s="2305" t="s">
        <v>1962</v>
      </c>
      <c r="B24" s="2304"/>
      <c r="C24" s="2304"/>
      <c r="D24" s="2304"/>
      <c r="E24" s="2304"/>
      <c r="F24" s="1761"/>
      <c r="G24" s="1762">
        <f>SUM(G3,G12)-G23</f>
        <v>0</v>
      </c>
      <c r="H24" s="1762">
        <f>SUM(H3,H12)-H23</f>
        <v>0</v>
      </c>
      <c r="I24" s="1762">
        <f>SUM(I3,I12)-I23</f>
        <v>0</v>
      </c>
      <c r="J24" s="1762">
        <f>SUM(J3,J12)-J23</f>
        <v>1619121</v>
      </c>
      <c r="K24" s="1762">
        <f>SUM(K3,K12)-K23</f>
        <v>0</v>
      </c>
    </row>
    <row r="25" spans="1:11" ht="13.5" thickTop="1">
      <c r="A25" s="798" t="s">
        <v>420</v>
      </c>
      <c r="B25" s="799"/>
      <c r="C25" s="799"/>
      <c r="D25" s="799"/>
      <c r="E25" s="800"/>
      <c r="F25" s="801">
        <v>714</v>
      </c>
      <c r="G25" s="802"/>
      <c r="H25" s="802"/>
      <c r="I25" s="802"/>
      <c r="J25" s="797"/>
      <c r="K25" s="797"/>
    </row>
    <row r="26" spans="1:11" ht="13.5" thickBot="1">
      <c r="A26" s="798" t="s">
        <v>342</v>
      </c>
      <c r="B26" s="799"/>
      <c r="C26" s="799"/>
      <c r="D26" s="799"/>
      <c r="E26" s="800"/>
      <c r="F26" s="801">
        <v>730</v>
      </c>
      <c r="G26" s="1757">
        <f>G24-G25</f>
        <v>0</v>
      </c>
      <c r="H26" s="1757">
        <f>H24-H25</f>
        <v>0</v>
      </c>
      <c r="I26" s="1757">
        <f>I24-I25</f>
        <v>0</v>
      </c>
      <c r="J26" s="1757">
        <f>J24-J25</f>
        <v>1619121</v>
      </c>
      <c r="K26" s="1757">
        <f>K24-K25</f>
        <v>0</v>
      </c>
    </row>
    <row r="27" spans="1:11" ht="5.25" customHeight="1" thickTop="1">
      <c r="I27" s="202"/>
      <c r="J27" s="202"/>
    </row>
    <row r="28" spans="1:11" ht="29.25" customHeight="1">
      <c r="A28" s="1879" t="s">
        <v>1907</v>
      </c>
      <c r="B28" s="1880"/>
      <c r="C28" s="1880"/>
      <c r="D28" s="1880"/>
      <c r="E28" s="1881"/>
      <c r="F28" s="803"/>
      <c r="G28" s="804"/>
    </row>
    <row r="29" spans="1:11">
      <c r="B29" s="501"/>
      <c r="C29" s="501"/>
      <c r="D29" s="501"/>
      <c r="F29" s="202"/>
      <c r="G29" s="805"/>
    </row>
    <row r="30" spans="1:11">
      <c r="A30" s="806" t="s">
        <v>572</v>
      </c>
      <c r="B30" s="807"/>
      <c r="C30" s="806" t="s">
        <v>383</v>
      </c>
      <c r="D30" s="807"/>
      <c r="E30" s="808" t="s">
        <v>768</v>
      </c>
      <c r="F30" s="202"/>
      <c r="G30" s="805"/>
    </row>
    <row r="31" spans="1:11">
      <c r="A31" s="809"/>
      <c r="D31" s="237"/>
      <c r="E31" s="810" t="s">
        <v>769</v>
      </c>
      <c r="F31" s="811" t="s">
        <v>539</v>
      </c>
      <c r="G31" s="764"/>
      <c r="H31" s="2278"/>
      <c r="I31" s="2279"/>
      <c r="J31" s="2279"/>
      <c r="K31" s="2279"/>
    </row>
    <row r="32" spans="1:11">
      <c r="A32" s="809"/>
      <c r="B32" s="237"/>
      <c r="C32" s="237"/>
      <c r="D32" s="237"/>
      <c r="E32" s="805"/>
      <c r="F32" s="811" t="s">
        <v>540</v>
      </c>
      <c r="G32" s="764"/>
      <c r="H32" s="2280"/>
      <c r="I32" s="2279"/>
      <c r="J32" s="2279"/>
      <c r="K32" s="2279"/>
    </row>
    <row r="33" spans="1:11" ht="1.5" customHeight="1">
      <c r="A33" s="812" t="s">
        <v>1169</v>
      </c>
      <c r="B33" s="364"/>
      <c r="C33" s="364"/>
      <c r="D33" s="364"/>
      <c r="E33" s="364"/>
      <c r="F33" s="364"/>
      <c r="G33" s="813"/>
      <c r="H33" s="2280"/>
      <c r="I33" s="2279"/>
      <c r="J33" s="2279"/>
      <c r="K33" s="2279"/>
    </row>
    <row r="34" spans="1:11">
      <c r="A34" s="814" t="s">
        <v>1813</v>
      </c>
      <c r="B34" s="364"/>
      <c r="C34" s="364"/>
      <c r="D34" s="364"/>
      <c r="E34" s="364"/>
      <c r="F34" s="364"/>
      <c r="G34" s="813"/>
    </row>
    <row r="35" spans="1:11" ht="15">
      <c r="A35" s="825" t="s">
        <v>907</v>
      </c>
      <c r="B35" s="815"/>
      <c r="C35" s="815"/>
      <c r="D35" s="815"/>
      <c r="E35" s="815"/>
      <c r="F35" s="815"/>
      <c r="G35" s="816"/>
      <c r="H35" s="817"/>
    </row>
    <row r="36" spans="1:11">
      <c r="A36" s="778" t="s">
        <v>1109</v>
      </c>
      <c r="B36" s="818"/>
      <c r="C36" s="818"/>
      <c r="D36" s="818"/>
      <c r="E36" s="818"/>
      <c r="F36" s="819"/>
      <c r="G36" s="765"/>
    </row>
    <row r="37" spans="1:11">
      <c r="A37" s="820" t="s">
        <v>896</v>
      </c>
      <c r="B37" s="818"/>
      <c r="C37" s="818"/>
      <c r="D37" s="818"/>
      <c r="E37" s="818"/>
      <c r="F37" s="819"/>
      <c r="G37" s="765"/>
    </row>
    <row r="38" spans="1:11">
      <c r="A38" s="820" t="s">
        <v>993</v>
      </c>
      <c r="B38" s="818"/>
      <c r="C38" s="818"/>
      <c r="D38" s="818"/>
      <c r="E38" s="818"/>
      <c r="F38" s="819"/>
      <c r="G38" s="765"/>
    </row>
    <row r="39" spans="1:11">
      <c r="A39" s="820" t="s">
        <v>994</v>
      </c>
      <c r="B39" s="818"/>
      <c r="C39" s="818"/>
      <c r="D39" s="818"/>
      <c r="E39" s="818"/>
      <c r="F39" s="819"/>
      <c r="G39" s="765"/>
    </row>
    <row r="40" spans="1:11">
      <c r="A40" s="820" t="s">
        <v>995</v>
      </c>
      <c r="B40" s="818"/>
      <c r="C40" s="818"/>
      <c r="D40" s="818"/>
      <c r="E40" s="818"/>
      <c r="F40" s="819"/>
      <c r="G40" s="765"/>
    </row>
    <row r="41" spans="1:11">
      <c r="A41" s="2275" t="s">
        <v>541</v>
      </c>
      <c r="B41" s="2288"/>
      <c r="C41" s="2288"/>
      <c r="D41" s="2288"/>
      <c r="E41" s="2288"/>
      <c r="F41" s="2289"/>
      <c r="G41" s="765"/>
    </row>
    <row r="42" spans="1:11">
      <c r="A42" s="820" t="s">
        <v>970</v>
      </c>
      <c r="B42" s="818"/>
      <c r="C42" s="818"/>
      <c r="D42" s="818"/>
      <c r="E42" s="818"/>
      <c r="F42" s="819"/>
      <c r="G42" s="765"/>
    </row>
    <row r="43" spans="1:11">
      <c r="A43" s="820" t="s">
        <v>971</v>
      </c>
      <c r="B43" s="818"/>
      <c r="C43" s="818"/>
      <c r="D43" s="818"/>
      <c r="E43" s="818"/>
      <c r="F43" s="819"/>
      <c r="G43" s="765"/>
    </row>
    <row r="44" spans="1:11">
      <c r="A44" s="820" t="s">
        <v>972</v>
      </c>
      <c r="B44" s="818"/>
      <c r="C44" s="818"/>
      <c r="D44" s="818"/>
      <c r="E44" s="818"/>
      <c r="F44" s="819"/>
      <c r="G44" s="765"/>
    </row>
    <row r="45" spans="1:11" ht="6.75" customHeight="1"/>
    <row r="46" spans="1:11" ht="15">
      <c r="A46" s="1530" t="s">
        <v>1807</v>
      </c>
      <c r="B46" s="408" t="s">
        <v>1675</v>
      </c>
    </row>
    <row r="47" spans="1:11" s="823" customFormat="1" ht="13.15" customHeight="1">
      <c r="A47" s="821"/>
      <c r="B47" s="822" t="s">
        <v>1676</v>
      </c>
      <c r="E47" s="822"/>
      <c r="K47" s="824"/>
    </row>
    <row r="48" spans="1:11" ht="13.15" customHeight="1">
      <c r="A48" s="1531"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B49" sqref="B49"/>
    </sheetView>
  </sheetViews>
  <sheetFormatPr defaultColWidth="9.140625" defaultRowHeight="12.75"/>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310" t="s">
        <v>1906</v>
      </c>
      <c r="B1" s="2311"/>
      <c r="C1" s="2312"/>
      <c r="D1" s="826"/>
      <c r="E1" s="827"/>
      <c r="F1" s="827"/>
      <c r="G1" s="828"/>
      <c r="H1" s="829"/>
      <c r="I1" s="830"/>
      <c r="J1" s="2308"/>
      <c r="K1" s="2309"/>
      <c r="L1" s="2309"/>
    </row>
    <row r="2" spans="1:14" ht="69.75" customHeight="1">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c r="A3" s="1628" t="s">
        <v>892</v>
      </c>
      <c r="B3" s="1629">
        <v>210</v>
      </c>
      <c r="C3" s="835"/>
      <c r="D3" s="835"/>
      <c r="E3" s="835"/>
      <c r="F3" s="1759">
        <f>(C3+D3)-E3</f>
        <v>0</v>
      </c>
      <c r="G3" s="836"/>
      <c r="H3" s="835"/>
      <c r="I3" s="835"/>
      <c r="J3" s="835"/>
      <c r="K3" s="1768">
        <f>(H3+I3)-J3</f>
        <v>0</v>
      </c>
      <c r="L3" s="1768">
        <f>F3-K3</f>
        <v>0</v>
      </c>
      <c r="M3" s="834"/>
      <c r="N3" s="834"/>
    </row>
    <row r="4" spans="1:14" ht="15" customHeight="1" thickTop="1">
      <c r="A4" s="1630" t="s">
        <v>158</v>
      </c>
      <c r="B4" s="1629">
        <v>220</v>
      </c>
      <c r="C4" s="781"/>
      <c r="D4" s="781"/>
      <c r="E4" s="781"/>
      <c r="F4" s="773"/>
      <c r="G4" s="837"/>
      <c r="H4" s="838"/>
      <c r="I4" s="838"/>
      <c r="J4" s="838"/>
      <c r="K4" s="839"/>
      <c r="L4" s="773"/>
    </row>
    <row r="5" spans="1:14" ht="13.5" thickBot="1">
      <c r="A5" s="778" t="s">
        <v>893</v>
      </c>
      <c r="B5" s="840">
        <v>221</v>
      </c>
      <c r="C5" s="841">
        <v>85616</v>
      </c>
      <c r="D5" s="841"/>
      <c r="E5" s="841"/>
      <c r="F5" s="1759">
        <f>(C5+D5)-E5</f>
        <v>85616</v>
      </c>
      <c r="G5" s="837"/>
      <c r="H5" s="842"/>
      <c r="I5" s="842"/>
      <c r="J5" s="842"/>
      <c r="K5" s="793"/>
      <c r="L5" s="1768">
        <f>F5-K5</f>
        <v>85616</v>
      </c>
    </row>
    <row r="6" spans="1:14" ht="14.25" thickTop="1" thickBot="1">
      <c r="A6" s="778" t="s">
        <v>1117</v>
      </c>
      <c r="B6" s="840">
        <v>222</v>
      </c>
      <c r="C6" s="765"/>
      <c r="D6" s="765"/>
      <c r="E6" s="765"/>
      <c r="F6" s="1759">
        <f>(C6+D6)-E6</f>
        <v>0</v>
      </c>
      <c r="G6" s="837">
        <v>50</v>
      </c>
      <c r="H6" s="765"/>
      <c r="I6" s="765"/>
      <c r="J6" s="765"/>
      <c r="K6" s="1768">
        <f>(H6+I6)-J6</f>
        <v>0</v>
      </c>
      <c r="L6" s="1768">
        <f>F6-K6</f>
        <v>0</v>
      </c>
    </row>
    <row r="7" spans="1:14" ht="15" customHeight="1" thickTop="1">
      <c r="A7" s="1630" t="s">
        <v>159</v>
      </c>
      <c r="B7" s="1629">
        <v>230</v>
      </c>
      <c r="C7" s="781"/>
      <c r="D7" s="781"/>
      <c r="E7" s="781"/>
      <c r="F7" s="773"/>
      <c r="G7" s="843"/>
      <c r="H7" s="781"/>
      <c r="I7" s="781"/>
      <c r="J7" s="781"/>
      <c r="K7" s="773"/>
      <c r="L7" s="773"/>
    </row>
    <row r="8" spans="1:14" ht="13.5" thickBot="1">
      <c r="A8" s="778" t="s">
        <v>1118</v>
      </c>
      <c r="B8" s="840">
        <v>231</v>
      </c>
      <c r="C8" s="844">
        <v>53001992</v>
      </c>
      <c r="D8" s="844">
        <v>6033</v>
      </c>
      <c r="E8" s="844"/>
      <c r="F8" s="1759">
        <f>(C8+D8)-E8</f>
        <v>53008025</v>
      </c>
      <c r="G8" s="843">
        <v>50</v>
      </c>
      <c r="H8" s="765">
        <v>14489905</v>
      </c>
      <c r="I8" s="765">
        <v>1188651</v>
      </c>
      <c r="J8" s="765"/>
      <c r="K8" s="1768">
        <f>(H8+I8)-J8</f>
        <v>15678556</v>
      </c>
      <c r="L8" s="1768">
        <f>F8-K8</f>
        <v>37329469</v>
      </c>
    </row>
    <row r="9" spans="1:14" ht="14.25" thickTop="1" thickBot="1">
      <c r="A9" s="778" t="s">
        <v>1119</v>
      </c>
      <c r="B9" s="840">
        <v>232</v>
      </c>
      <c r="C9" s="765"/>
      <c r="D9" s="765"/>
      <c r="E9" s="765"/>
      <c r="F9" s="1759">
        <f>(C9+D9)-E9</f>
        <v>0</v>
      </c>
      <c r="G9" s="843">
        <v>20</v>
      </c>
      <c r="H9" s="765"/>
      <c r="I9" s="765"/>
      <c r="J9" s="765"/>
      <c r="K9" s="1768">
        <f>(H9+I9)-J9</f>
        <v>0</v>
      </c>
      <c r="L9" s="1768">
        <f>F9-K9</f>
        <v>0</v>
      </c>
    </row>
    <row r="10" spans="1:14" ht="24" thickTop="1" thickBot="1">
      <c r="A10" s="845" t="s">
        <v>1120</v>
      </c>
      <c r="B10" s="840">
        <v>240</v>
      </c>
      <c r="C10" s="846">
        <v>1507638</v>
      </c>
      <c r="D10" s="846"/>
      <c r="E10" s="846"/>
      <c r="F10" s="1763">
        <f>(C10+D10)-E10</f>
        <v>1507638</v>
      </c>
      <c r="G10" s="843">
        <v>20</v>
      </c>
      <c r="H10" s="847">
        <v>1355258</v>
      </c>
      <c r="I10" s="847">
        <v>29539</v>
      </c>
      <c r="J10" s="847"/>
      <c r="K10" s="1768">
        <f>(H10+I10)-J10</f>
        <v>1384797</v>
      </c>
      <c r="L10" s="1768">
        <f>F10-K10</f>
        <v>122841</v>
      </c>
    </row>
    <row r="11" spans="1:14" ht="13.5" thickTop="1">
      <c r="A11" s="1631" t="s">
        <v>1136</v>
      </c>
      <c r="B11" s="1629">
        <v>250</v>
      </c>
      <c r="C11" s="781"/>
      <c r="D11" s="781"/>
      <c r="E11" s="781"/>
      <c r="F11" s="773"/>
      <c r="G11" s="843"/>
      <c r="H11" s="781"/>
      <c r="I11" s="781"/>
      <c r="J11" s="781"/>
      <c r="K11" s="773"/>
      <c r="L11" s="773"/>
    </row>
    <row r="12" spans="1:14" ht="13.5" thickBot="1">
      <c r="A12" s="848" t="s">
        <v>1121</v>
      </c>
      <c r="B12" s="840">
        <v>251</v>
      </c>
      <c r="C12" s="844">
        <v>3611786</v>
      </c>
      <c r="D12" s="844">
        <v>279093</v>
      </c>
      <c r="E12" s="844">
        <v>2960643</v>
      </c>
      <c r="F12" s="1759">
        <f>(C12+D12)-E12</f>
        <v>930236</v>
      </c>
      <c r="G12" s="843">
        <v>10</v>
      </c>
      <c r="H12" s="765">
        <v>3460247</v>
      </c>
      <c r="I12" s="765">
        <v>65443</v>
      </c>
      <c r="J12" s="765">
        <v>3034129</v>
      </c>
      <c r="K12" s="1768">
        <f>(H12+I12)-J12</f>
        <v>491561</v>
      </c>
      <c r="L12" s="1768">
        <f>F12-K12</f>
        <v>438675</v>
      </c>
    </row>
    <row r="13" spans="1:14" ht="14.25" thickTop="1" thickBot="1">
      <c r="A13" s="848" t="s">
        <v>1122</v>
      </c>
      <c r="B13" s="840">
        <v>252</v>
      </c>
      <c r="C13" s="844">
        <v>2297091</v>
      </c>
      <c r="D13" s="844"/>
      <c r="E13" s="844">
        <v>1674870</v>
      </c>
      <c r="F13" s="1759">
        <f>(C13+D13)-E13</f>
        <v>622221</v>
      </c>
      <c r="G13" s="843">
        <v>5</v>
      </c>
      <c r="H13" s="765">
        <v>2054933</v>
      </c>
      <c r="I13" s="765">
        <v>75902</v>
      </c>
      <c r="J13" s="765">
        <v>1601385</v>
      </c>
      <c r="K13" s="1768">
        <f>(H13+I13)-J13</f>
        <v>529450</v>
      </c>
      <c r="L13" s="1768">
        <f>F13-K13</f>
        <v>92771</v>
      </c>
    </row>
    <row r="14" spans="1:14" ht="14.25" thickTop="1" thickBot="1">
      <c r="A14" s="848" t="s">
        <v>1123</v>
      </c>
      <c r="B14" s="840">
        <v>253</v>
      </c>
      <c r="C14" s="765">
        <v>2810893</v>
      </c>
      <c r="D14" s="765"/>
      <c r="E14" s="765">
        <v>2810893</v>
      </c>
      <c r="F14" s="1759">
        <f>(C14+D14)-E14</f>
        <v>0</v>
      </c>
      <c r="G14" s="843">
        <v>3</v>
      </c>
      <c r="H14" s="765">
        <v>2810893</v>
      </c>
      <c r="I14" s="765"/>
      <c r="J14" s="765">
        <v>2810893</v>
      </c>
      <c r="K14" s="1768">
        <f>(H14+I14)-J14</f>
        <v>0</v>
      </c>
      <c r="L14" s="1768">
        <f>F14-K14</f>
        <v>0</v>
      </c>
    </row>
    <row r="15" spans="1:14" ht="15" customHeight="1" thickTop="1" thickBot="1">
      <c r="A15" s="1630" t="s">
        <v>528</v>
      </c>
      <c r="B15" s="1629">
        <v>260</v>
      </c>
      <c r="C15" s="844"/>
      <c r="D15" s="844"/>
      <c r="E15" s="844"/>
      <c r="F15" s="1759">
        <f>(C15+D15)-E15</f>
        <v>0</v>
      </c>
      <c r="G15" s="849" t="s">
        <v>862</v>
      </c>
      <c r="H15" s="781"/>
      <c r="I15" s="781"/>
      <c r="J15" s="781"/>
      <c r="K15" s="781"/>
      <c r="L15" s="1768">
        <f>F15-K15</f>
        <v>0</v>
      </c>
    </row>
    <row r="16" spans="1:14" ht="15" customHeight="1" thickTop="1" thickBot="1">
      <c r="A16" s="1764" t="s">
        <v>643</v>
      </c>
      <c r="B16" s="1765">
        <v>200</v>
      </c>
      <c r="C16" s="1759">
        <f>SUM(C3,C5:C6,C8:C10,C12:C15)</f>
        <v>63315016</v>
      </c>
      <c r="D16" s="1759">
        <f>SUM(D3,D5:D6,D8:D10,D12:D15)</f>
        <v>285126</v>
      </c>
      <c r="E16" s="1759">
        <f>SUM(E3,E5:E6,E8:E10,E12:E15)</f>
        <v>7446406</v>
      </c>
      <c r="F16" s="1759">
        <f>SUM(F3,F5:F6,F8:F10,F12:F15)</f>
        <v>56153736</v>
      </c>
      <c r="G16" s="843"/>
      <c r="H16" s="1759">
        <f>SUM(H3,H6,H8:H10,H12:H14,)</f>
        <v>24171236</v>
      </c>
      <c r="I16" s="1759">
        <f>SUM(I3,I6,I8:I10,I12:I14,)</f>
        <v>1359535</v>
      </c>
      <c r="J16" s="1759">
        <f>SUM(J3,J6,J8:J10,J12:J14,)</f>
        <v>7446407</v>
      </c>
      <c r="K16" s="1759">
        <f>(H16+I16)-J16</f>
        <v>18084364</v>
      </c>
      <c r="L16" s="1759">
        <f>F16-K16</f>
        <v>38069372</v>
      </c>
    </row>
    <row r="17" spans="1:12" ht="15" customHeight="1" thickTop="1" thickBot="1">
      <c r="A17" s="1632" t="s">
        <v>291</v>
      </c>
      <c r="B17" s="1629">
        <v>700</v>
      </c>
      <c r="C17" s="769"/>
      <c r="D17" s="769"/>
      <c r="E17" s="769"/>
      <c r="F17" s="1759">
        <f>SUM('Expenditures 15-22'!I114,'Expenditures 15-22'!I151,'Expenditures 15-22'!I210,'Expenditures 15-22'!I312,'Expenditures 15-22'!I342,'Expenditures 15-22'!I367)</f>
        <v>58024</v>
      </c>
      <c r="G17" s="837">
        <v>10</v>
      </c>
      <c r="H17" s="769"/>
      <c r="I17" s="1768">
        <f>F17/G17</f>
        <v>5802.4</v>
      </c>
      <c r="J17" s="769"/>
      <c r="K17" s="795"/>
      <c r="L17" s="795"/>
    </row>
    <row r="18" spans="1:12" ht="14.25" thickTop="1" thickBot="1">
      <c r="A18" s="1766" t="s">
        <v>685</v>
      </c>
      <c r="B18" s="1767"/>
      <c r="C18" s="771"/>
      <c r="D18" s="771"/>
      <c r="E18" s="771"/>
      <c r="F18" s="850"/>
      <c r="G18" s="851"/>
      <c r="H18" s="773"/>
      <c r="I18" s="1759">
        <f>SUM(I16,I17)</f>
        <v>1365337.4</v>
      </c>
      <c r="J18" s="773"/>
      <c r="K18" s="773"/>
      <c r="L18" s="773"/>
    </row>
    <row r="19" spans="1:12" ht="12" customHeight="1" thickTop="1">
      <c r="F19" s="503"/>
      <c r="L19" s="503"/>
    </row>
    <row r="20" spans="1:12" ht="12" customHeight="1">
      <c r="A20" s="852"/>
      <c r="B20" s="501"/>
      <c r="F20" s="503"/>
      <c r="L20" s="503"/>
    </row>
    <row r="21" spans="1:12" ht="12" customHeight="1">
      <c r="B21" s="501"/>
      <c r="F21" s="503"/>
      <c r="L21" s="503"/>
    </row>
    <row r="22" spans="1:12" ht="12" customHeight="1">
      <c r="B22" s="501"/>
      <c r="F22" s="503"/>
      <c r="L22" s="503"/>
    </row>
    <row r="23" spans="1:12" ht="12" customHeight="1">
      <c r="A23" s="853"/>
      <c r="B23" s="501"/>
      <c r="F23" s="503"/>
      <c r="L23" s="503"/>
    </row>
    <row r="24" spans="1:12" ht="12" customHeight="1">
      <c r="B24" s="501"/>
      <c r="F24" s="503"/>
      <c r="L24" s="503"/>
    </row>
    <row r="25" spans="1:12">
      <c r="F25" s="503"/>
      <c r="L25" s="503"/>
    </row>
    <row r="26" spans="1:12" ht="10.9" customHeight="1">
      <c r="A26" s="854"/>
      <c r="B26" s="247"/>
      <c r="D26" s="347"/>
    </row>
    <row r="27" spans="1:1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32" activePane="bottomLeft" state="frozen"/>
      <selection activeCell="B49" sqref="B49"/>
      <selection pane="bottomLeft" activeCell="B49" sqref="B49"/>
    </sheetView>
  </sheetViews>
  <sheetFormatPr defaultColWidth="8.7109375" defaultRowHeight="11.25"/>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c r="A1" s="2316" t="s">
        <v>1972</v>
      </c>
      <c r="B1" s="2317"/>
      <c r="C1" s="2317"/>
      <c r="D1" s="2317"/>
      <c r="E1" s="2317"/>
      <c r="F1" s="2318"/>
      <c r="G1" s="855"/>
    </row>
    <row r="2" spans="1:7" ht="15" customHeight="1" thickBot="1">
      <c r="A2" s="2319" t="s">
        <v>477</v>
      </c>
      <c r="B2" s="2320"/>
      <c r="C2" s="2320"/>
      <c r="D2" s="2320"/>
      <c r="E2" s="2320"/>
      <c r="F2" s="2321"/>
      <c r="G2" s="857"/>
    </row>
    <row r="3" spans="1:7" ht="5.25" customHeight="1" thickTop="1">
      <c r="A3" s="858"/>
      <c r="B3" s="859"/>
      <c r="C3" s="860"/>
      <c r="D3" s="859"/>
      <c r="E3" s="860"/>
      <c r="F3" s="859"/>
      <c r="G3" s="859"/>
    </row>
    <row r="4" spans="1:7" ht="12.4" customHeight="1">
      <c r="A4" s="861" t="s">
        <v>1077</v>
      </c>
      <c r="B4" s="862" t="s">
        <v>115</v>
      </c>
      <c r="D4" s="864" t="s">
        <v>511</v>
      </c>
      <c r="F4" s="862" t="s">
        <v>865</v>
      </c>
    </row>
    <row r="5" spans="1:7" ht="7.5" customHeight="1">
      <c r="A5" s="2322"/>
      <c r="B5" s="2323"/>
      <c r="C5" s="2323"/>
      <c r="D5" s="2323"/>
      <c r="E5" s="2323"/>
      <c r="F5" s="2323"/>
    </row>
    <row r="6" spans="1:7" ht="13.5" customHeight="1" thickBot="1">
      <c r="A6" s="2313" t="s">
        <v>1104</v>
      </c>
      <c r="B6" s="2314"/>
      <c r="C6" s="2314"/>
      <c r="D6" s="2314"/>
      <c r="E6" s="2314"/>
      <c r="F6" s="2315"/>
      <c r="G6" s="865"/>
    </row>
    <row r="7" spans="1:7" s="865" customFormat="1" ht="12" thickTop="1">
      <c r="A7" s="866" t="s">
        <v>502</v>
      </c>
      <c r="B7" s="867"/>
      <c r="C7" s="868"/>
      <c r="D7" s="867"/>
      <c r="E7" s="868"/>
      <c r="F7" s="867"/>
    </row>
    <row r="8" spans="1:7">
      <c r="A8" s="869" t="s">
        <v>459</v>
      </c>
      <c r="B8" s="870" t="s">
        <v>1468</v>
      </c>
      <c r="C8" s="871"/>
      <c r="D8" s="869" t="s">
        <v>501</v>
      </c>
      <c r="E8" s="868" t="s">
        <v>958</v>
      </c>
      <c r="F8" s="1907">
        <f>'Expenditures 15-22'!K114</f>
        <v>26010227</v>
      </c>
      <c r="G8" s="865"/>
    </row>
    <row r="9" spans="1:7">
      <c r="A9" s="869" t="s">
        <v>460</v>
      </c>
      <c r="B9" s="870" t="s">
        <v>1874</v>
      </c>
      <c r="C9" s="871"/>
      <c r="D9" s="869" t="s">
        <v>501</v>
      </c>
      <c r="E9" s="868"/>
      <c r="F9" s="1908">
        <f>'Expenditures 15-22'!K151</f>
        <v>2166327</v>
      </c>
      <c r="G9" s="872"/>
    </row>
    <row r="10" spans="1:7">
      <c r="A10" s="869" t="s">
        <v>499</v>
      </c>
      <c r="B10" s="870" t="s">
        <v>1875</v>
      </c>
      <c r="C10" s="871"/>
      <c r="D10" s="869" t="s">
        <v>501</v>
      </c>
      <c r="E10" s="868"/>
      <c r="F10" s="1908">
        <f>'Expenditures 15-22'!K174</f>
        <v>3289962</v>
      </c>
      <c r="G10" s="872"/>
    </row>
    <row r="11" spans="1:7">
      <c r="A11" s="869" t="s">
        <v>461</v>
      </c>
      <c r="B11" s="870" t="s">
        <v>1876</v>
      </c>
      <c r="C11" s="871"/>
      <c r="D11" s="869" t="s">
        <v>501</v>
      </c>
      <c r="E11" s="868"/>
      <c r="F11" s="1908">
        <f>'Expenditures 15-22'!K210</f>
        <v>1618254</v>
      </c>
      <c r="G11" s="872"/>
    </row>
    <row r="12" spans="1:7">
      <c r="A12" s="869" t="s">
        <v>462</v>
      </c>
      <c r="B12" s="870" t="s">
        <v>1877</v>
      </c>
      <c r="C12" s="871"/>
      <c r="D12" s="869" t="s">
        <v>501</v>
      </c>
      <c r="E12" s="868"/>
      <c r="F12" s="1908">
        <f>'Expenditures 15-22'!K295</f>
        <v>1262847</v>
      </c>
      <c r="G12" s="872"/>
    </row>
    <row r="13" spans="1:7">
      <c r="A13" s="869" t="s">
        <v>106</v>
      </c>
      <c r="B13" s="870" t="s">
        <v>1878</v>
      </c>
      <c r="C13" s="871"/>
      <c r="D13" s="869" t="s">
        <v>501</v>
      </c>
      <c r="E13" s="868"/>
      <c r="F13" s="1908">
        <f>'Expenditures 15-22'!K342</f>
        <v>798154</v>
      </c>
      <c r="G13" s="873"/>
    </row>
    <row r="14" spans="1:7" ht="12" customHeight="1" thickBot="1">
      <c r="A14" s="1769"/>
      <c r="B14" s="1770"/>
      <c r="C14" s="1771"/>
      <c r="D14" s="1772" t="s">
        <v>501</v>
      </c>
      <c r="E14" s="1773" t="s">
        <v>958</v>
      </c>
      <c r="F14" s="1774">
        <f>SUM(F8:F13)</f>
        <v>35145771</v>
      </c>
      <c r="G14" s="865"/>
    </row>
    <row r="15" spans="1:7" ht="3.75" customHeight="1" thickTop="1">
      <c r="A15" s="865"/>
      <c r="B15" s="865"/>
      <c r="C15" s="871"/>
      <c r="D15" s="865"/>
      <c r="E15" s="868"/>
      <c r="F15" s="865"/>
      <c r="G15" s="865"/>
    </row>
    <row r="16" spans="1:7" ht="12" customHeight="1">
      <c r="A16" s="874" t="s">
        <v>512</v>
      </c>
      <c r="B16" s="231"/>
      <c r="C16" s="231"/>
      <c r="D16" s="867"/>
      <c r="E16" s="868"/>
      <c r="F16" s="867"/>
      <c r="G16" s="865"/>
    </row>
    <row r="17" spans="1:7" ht="4.5" customHeight="1">
      <c r="A17" s="874"/>
      <c r="B17" s="231"/>
      <c r="C17" s="231"/>
      <c r="D17" s="867"/>
      <c r="E17" s="868"/>
      <c r="F17" s="867"/>
      <c r="G17" s="865"/>
    </row>
    <row r="18" spans="1:7">
      <c r="A18" s="869" t="s">
        <v>461</v>
      </c>
      <c r="B18" s="870" t="s">
        <v>1010</v>
      </c>
      <c r="C18" s="875">
        <f>'Revenues 9-14'!B43</f>
        <v>1412</v>
      </c>
      <c r="D18" s="876" t="str">
        <f>'Revenues 9-14'!A43</f>
        <v>Regular - Transp Fees from Other Districts (In State)</v>
      </c>
      <c r="E18" s="868" t="s">
        <v>958</v>
      </c>
      <c r="F18" s="1909">
        <f>'Revenues 9-14'!F43</f>
        <v>0</v>
      </c>
      <c r="G18" s="865"/>
    </row>
    <row r="19" spans="1:7">
      <c r="A19" s="869" t="s">
        <v>461</v>
      </c>
      <c r="B19" s="870" t="s">
        <v>1011</v>
      </c>
      <c r="C19" s="877">
        <f>'Revenues 9-14'!B47</f>
        <v>1421</v>
      </c>
      <c r="D19" s="878" t="str">
        <f>'Revenues 9-14'!A47</f>
        <v>Summer Sch - Transp. Fees from Pupils or Parents (In State)</v>
      </c>
      <c r="E19" s="879"/>
      <c r="F19" s="1910">
        <f>'Revenues 9-14'!F47</f>
        <v>0</v>
      </c>
      <c r="G19" s="865"/>
    </row>
    <row r="20" spans="1:7">
      <c r="A20" s="869" t="s">
        <v>461</v>
      </c>
      <c r="B20" s="870" t="s">
        <v>1012</v>
      </c>
      <c r="C20" s="875">
        <f>'Revenues 9-14'!B48</f>
        <v>1422</v>
      </c>
      <c r="D20" s="876" t="str">
        <f>'Revenues 9-14'!A48</f>
        <v>Summer Sch - Transp. Fees from Other Districts (In State)</v>
      </c>
      <c r="E20" s="868"/>
      <c r="F20" s="1911">
        <f>'Revenues 9-14'!F48</f>
        <v>0</v>
      </c>
      <c r="G20" s="865"/>
    </row>
    <row r="21" spans="1:7">
      <c r="A21" s="869" t="s">
        <v>461</v>
      </c>
      <c r="B21" s="870" t="s">
        <v>1013</v>
      </c>
      <c r="C21" s="877">
        <f>'Revenues 9-14'!B49</f>
        <v>1423</v>
      </c>
      <c r="D21" s="876" t="str">
        <f>'Revenues 9-14'!A49</f>
        <v>Summer Sch - Transp. Fees from Other Sources (In State)</v>
      </c>
      <c r="E21" s="868"/>
      <c r="F21" s="1912">
        <f>'Revenues 9-14'!F49</f>
        <v>0</v>
      </c>
      <c r="G21" s="865"/>
    </row>
    <row r="22" spans="1:7">
      <c r="A22" s="869" t="s">
        <v>461</v>
      </c>
      <c r="B22" s="870" t="s">
        <v>1014</v>
      </c>
      <c r="C22" s="877">
        <f>'Revenues 9-14'!B50</f>
        <v>1424</v>
      </c>
      <c r="D22" s="876" t="str">
        <f>'Revenues 9-14'!A50</f>
        <v>Summer Sch - Transp. Fees from Other Sources (Out of State)</v>
      </c>
      <c r="E22" s="868"/>
      <c r="F22" s="1912">
        <f>'Revenues 9-14'!F50</f>
        <v>0</v>
      </c>
      <c r="G22" s="865"/>
    </row>
    <row r="23" spans="1:7">
      <c r="A23" s="869" t="s">
        <v>461</v>
      </c>
      <c r="B23" s="870" t="s">
        <v>1015</v>
      </c>
      <c r="C23" s="875">
        <f>'Revenues 9-14'!B52</f>
        <v>1432</v>
      </c>
      <c r="D23" s="876" t="str">
        <f>'Revenues 9-14'!A52</f>
        <v>CTE - Transp Fees from Other Districts (In State)</v>
      </c>
      <c r="E23" s="868"/>
      <c r="F23" s="1912">
        <f>'Revenues 9-14'!F52</f>
        <v>0</v>
      </c>
      <c r="G23" s="865"/>
    </row>
    <row r="24" spans="1:7">
      <c r="A24" s="869" t="s">
        <v>461</v>
      </c>
      <c r="B24" s="870" t="s">
        <v>1016</v>
      </c>
      <c r="C24" s="875">
        <f>'Revenues 9-14'!B56</f>
        <v>1442</v>
      </c>
      <c r="D24" s="876" t="str">
        <f>'Revenues 9-14'!A56</f>
        <v>Special Ed - Transp Fees from Other Districts (In State)</v>
      </c>
      <c r="E24" s="868"/>
      <c r="F24" s="1912">
        <f>'Revenues 9-14'!F56</f>
        <v>0</v>
      </c>
      <c r="G24" s="865"/>
    </row>
    <row r="25" spans="1:7">
      <c r="A25" s="869" t="s">
        <v>461</v>
      </c>
      <c r="B25" s="870" t="s">
        <v>1017</v>
      </c>
      <c r="C25" s="875">
        <f>'Revenues 9-14'!B59</f>
        <v>1451</v>
      </c>
      <c r="D25" s="876" t="str">
        <f>'Revenues 9-14'!A59</f>
        <v>Adult - Transp Fees from Pupils or Parents (In State)</v>
      </c>
      <c r="E25" s="868"/>
      <c r="F25" s="1912">
        <f>'Revenues 9-14'!F59</f>
        <v>0</v>
      </c>
      <c r="G25" s="865"/>
    </row>
    <row r="26" spans="1:7">
      <c r="A26" s="869" t="s">
        <v>461</v>
      </c>
      <c r="B26" s="870" t="s">
        <v>1018</v>
      </c>
      <c r="C26" s="875">
        <f>'Revenues 9-14'!B60</f>
        <v>1452</v>
      </c>
      <c r="D26" s="876" t="str">
        <f>'Revenues 9-14'!A60</f>
        <v>Adult - Transp Fees from Other Districts (In State)</v>
      </c>
      <c r="E26" s="868"/>
      <c r="F26" s="1912">
        <f>'Revenues 9-14'!F60</f>
        <v>0</v>
      </c>
      <c r="G26" s="865"/>
    </row>
    <row r="27" spans="1:7">
      <c r="A27" s="869" t="s">
        <v>461</v>
      </c>
      <c r="B27" s="870" t="s">
        <v>1019</v>
      </c>
      <c r="C27" s="875">
        <f>'Revenues 9-14'!B61</f>
        <v>1453</v>
      </c>
      <c r="D27" s="876" t="str">
        <f>'Revenues 9-14'!A61</f>
        <v>Adult - Transp Fees from Other Sources (In State)</v>
      </c>
      <c r="E27" s="868"/>
      <c r="F27" s="1912">
        <f>'Revenues 9-14'!F61</f>
        <v>0</v>
      </c>
      <c r="G27" s="865"/>
    </row>
    <row r="28" spans="1:7">
      <c r="A28" s="869" t="s">
        <v>461</v>
      </c>
      <c r="B28" s="870" t="s">
        <v>1020</v>
      </c>
      <c r="C28" s="875">
        <f>'Revenues 9-14'!B62</f>
        <v>1454</v>
      </c>
      <c r="D28" s="876" t="str">
        <f>'Revenues 9-14'!A62</f>
        <v>Adult - Transp Fees from Other Sources (Out of State)</v>
      </c>
      <c r="E28" s="868"/>
      <c r="F28" s="1912">
        <f>'Revenues 9-14'!F62</f>
        <v>0</v>
      </c>
      <c r="G28" s="865"/>
    </row>
    <row r="29" spans="1:7">
      <c r="A29" s="869" t="s">
        <v>1097</v>
      </c>
      <c r="B29" s="870" t="s">
        <v>810</v>
      </c>
      <c r="C29" s="880">
        <f>'Revenues 9-14'!B149</f>
        <v>3410</v>
      </c>
      <c r="D29" s="881" t="str">
        <f>'Revenues 9-14'!A149</f>
        <v>Adult Ed (from ICCB)</v>
      </c>
      <c r="E29" s="868"/>
      <c r="F29" s="1912">
        <f>SUM('Revenues 9-14'!D149,'Revenues 9-14'!F149)</f>
        <v>0</v>
      </c>
      <c r="G29" s="865"/>
    </row>
    <row r="30" spans="1:7">
      <c r="A30" s="869" t="s">
        <v>1097</v>
      </c>
      <c r="B30" s="870" t="s">
        <v>1996</v>
      </c>
      <c r="C30" s="880">
        <f>'Revenues 9-14'!B150</f>
        <v>3499</v>
      </c>
      <c r="D30" s="881" t="str">
        <f>'Revenues 9-14'!A150</f>
        <v>Adult Ed - Other (Describe &amp; Itemize)</v>
      </c>
      <c r="E30" s="868"/>
      <c r="F30" s="1913">
        <f>('Revenues 9-14'!D150+'Revenues 9-14'!F150)</f>
        <v>0</v>
      </c>
      <c r="G30" s="865"/>
    </row>
    <row r="31" spans="1:7">
      <c r="A31" s="869" t="s">
        <v>1097</v>
      </c>
      <c r="B31" s="870" t="s">
        <v>1997</v>
      </c>
      <c r="C31" s="875">
        <f>'Revenues 9-14'!B211</f>
        <v>4600</v>
      </c>
      <c r="D31" s="883" t="str">
        <f>'Revenues 9-14'!A211</f>
        <v>Fed - Spec Education - Preschool Flow-Through</v>
      </c>
      <c r="E31" s="884"/>
      <c r="F31" s="1912">
        <f>SUM('Revenues 9-14'!D211,'Revenues 9-14'!F211)</f>
        <v>0</v>
      </c>
      <c r="G31" s="865"/>
    </row>
    <row r="32" spans="1:7">
      <c r="A32" s="869" t="s">
        <v>1097</v>
      </c>
      <c r="B32" s="870" t="s">
        <v>1998</v>
      </c>
      <c r="C32" s="875">
        <f>'Revenues 9-14'!B212</f>
        <v>4605</v>
      </c>
      <c r="D32" s="885" t="str">
        <f>'Revenues 9-14'!A212</f>
        <v>Fed - Spec Education - Preschool Discretionary</v>
      </c>
      <c r="E32" s="884"/>
      <c r="F32" s="1912">
        <f>SUM('Revenues 9-14'!D212,'Revenues 9-14'!F212)</f>
        <v>0</v>
      </c>
      <c r="G32" s="865"/>
    </row>
    <row r="33" spans="1:7">
      <c r="A33" s="869" t="s">
        <v>460</v>
      </c>
      <c r="B33" s="870" t="s">
        <v>1999</v>
      </c>
      <c r="C33" s="875">
        <f>'Revenues 9-14'!B222</f>
        <v>4810</v>
      </c>
      <c r="D33" s="883" t="str">
        <f>'Revenues 9-14'!A222</f>
        <v>Federal - Adult Education</v>
      </c>
      <c r="E33" s="868"/>
      <c r="F33" s="1912">
        <f>'Revenues 9-14'!D222</f>
        <v>0</v>
      </c>
      <c r="G33" s="865"/>
    </row>
    <row r="34" spans="1:7">
      <c r="A34" s="869" t="s">
        <v>459</v>
      </c>
      <c r="B34" s="869" t="s">
        <v>1469</v>
      </c>
      <c r="C34" s="886" t="str">
        <f>'Expenditures 15-22'!B7</f>
        <v>1125</v>
      </c>
      <c r="D34" s="887" t="str">
        <f>'Expenditures 15-22'!A7</f>
        <v>Pre-K Programs</v>
      </c>
      <c r="E34" s="868"/>
      <c r="F34" s="1912">
        <f>'Expenditures 15-22'!K7-SUM('Expenditures 15-22'!G7,'Expenditures 15-22'!I7)</f>
        <v>466215</v>
      </c>
      <c r="G34" s="865"/>
    </row>
    <row r="35" spans="1:7">
      <c r="A35" s="869" t="s">
        <v>459</v>
      </c>
      <c r="B35" s="869" t="s">
        <v>1470</v>
      </c>
      <c r="C35" s="886" t="str">
        <f>'Expenditures 15-22'!B9</f>
        <v>1225</v>
      </c>
      <c r="D35" s="887" t="str">
        <f>'Expenditures 15-22'!A9</f>
        <v>Special Education Programs Pre-K</v>
      </c>
      <c r="E35" s="868"/>
      <c r="F35" s="1912">
        <f>'Expenditures 15-22'!K9-SUM('Expenditures 15-22'!G9+'Expenditures 15-22'!I9)</f>
        <v>0</v>
      </c>
      <c r="G35" s="865"/>
    </row>
    <row r="36" spans="1:7">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c r="A38" s="869" t="s">
        <v>459</v>
      </c>
      <c r="B38" s="869" t="s">
        <v>1472</v>
      </c>
      <c r="C38" s="886">
        <f>'Expenditures 15-22'!B15</f>
        <v>1600</v>
      </c>
      <c r="D38" s="888" t="str">
        <f>'Expenditures 15-22'!A15</f>
        <v>Summer School Programs</v>
      </c>
      <c r="E38" s="868"/>
      <c r="F38" s="1912">
        <f>'Expenditures 15-22'!K15-SUM('Expenditures 15-22'!G15,'Expenditures 15-22'!I15)</f>
        <v>0</v>
      </c>
      <c r="G38" s="865"/>
    </row>
    <row r="39" spans="1:7">
      <c r="A39" s="869" t="s">
        <v>459</v>
      </c>
      <c r="B39" s="869" t="s">
        <v>117</v>
      </c>
      <c r="C39" s="886" t="str">
        <f>'Expenditures 15-22'!B20</f>
        <v>1910</v>
      </c>
      <c r="D39" s="888" t="str">
        <f>'Expenditures 15-22'!A20</f>
        <v>Pre-K Programs - Private Tuition</v>
      </c>
      <c r="E39" s="868"/>
      <c r="F39" s="1912">
        <f>'Expenditures 15-22'!K20</f>
        <v>0</v>
      </c>
      <c r="G39" s="865"/>
    </row>
    <row r="40" spans="1:7">
      <c r="A40" s="869" t="s">
        <v>459</v>
      </c>
      <c r="B40" s="869" t="s">
        <v>118</v>
      </c>
      <c r="C40" s="886" t="str">
        <f>'Expenditures 15-22'!B21</f>
        <v>1911</v>
      </c>
      <c r="D40" s="888" t="str">
        <f>'Expenditures 15-22'!A21</f>
        <v>Regular K-12 Programs - Private Tuition</v>
      </c>
      <c r="E40" s="868"/>
      <c r="F40" s="1912">
        <f>'Expenditures 15-22'!K21</f>
        <v>0</v>
      </c>
      <c r="G40" s="865"/>
    </row>
    <row r="41" spans="1:7">
      <c r="A41" s="869" t="s">
        <v>459</v>
      </c>
      <c r="B41" s="869" t="s">
        <v>119</v>
      </c>
      <c r="C41" s="886" t="str">
        <f>'Expenditures 15-22'!B22</f>
        <v>1912</v>
      </c>
      <c r="D41" s="888" t="str">
        <f>'Expenditures 15-22'!A22</f>
        <v>Special Education Programs K-12 - Private Tuition</v>
      </c>
      <c r="E41" s="868"/>
      <c r="F41" s="1912">
        <f>'Expenditures 15-22'!K22</f>
        <v>0</v>
      </c>
      <c r="G41" s="865"/>
    </row>
    <row r="42" spans="1:7">
      <c r="A42" s="869" t="s">
        <v>459</v>
      </c>
      <c r="B42" s="869" t="s">
        <v>120</v>
      </c>
      <c r="C42" s="889" t="str">
        <f>'Expenditures 15-22'!B23</f>
        <v>1913</v>
      </c>
      <c r="D42" s="888" t="str">
        <f>'Expenditures 15-22'!A23</f>
        <v>Special Education Programs Pre-K - Tuition</v>
      </c>
      <c r="E42" s="868"/>
      <c r="F42" s="1912">
        <f>'Expenditures 15-22'!K23</f>
        <v>0</v>
      </c>
      <c r="G42" s="865"/>
    </row>
    <row r="43" spans="1:7">
      <c r="A43" s="869" t="s">
        <v>459</v>
      </c>
      <c r="B43" s="869" t="s">
        <v>121</v>
      </c>
      <c r="C43" s="886" t="str">
        <f>'Expenditures 15-22'!B24</f>
        <v>1914</v>
      </c>
      <c r="D43" s="888" t="str">
        <f>'Expenditures 15-22'!A24</f>
        <v>Remedial/Supplemental Programs K-12 - Private Tuition</v>
      </c>
      <c r="E43" s="868"/>
      <c r="F43" s="1912">
        <f>'Expenditures 15-22'!K24</f>
        <v>0</v>
      </c>
      <c r="G43" s="865"/>
    </row>
    <row r="44" spans="1:7">
      <c r="A44" s="869" t="s">
        <v>459</v>
      </c>
      <c r="B44" s="869" t="s">
        <v>122</v>
      </c>
      <c r="C44" s="889" t="str">
        <f>'Expenditures 15-22'!B25</f>
        <v>1915</v>
      </c>
      <c r="D44" s="888" t="str">
        <f>'Expenditures 15-22'!A25</f>
        <v>Remedial/Supplemental Programs Pre-K - Private Tuition</v>
      </c>
      <c r="E44" s="868"/>
      <c r="F44" s="1912">
        <f>'Expenditures 15-22'!K25</f>
        <v>0</v>
      </c>
      <c r="G44" s="865"/>
    </row>
    <row r="45" spans="1:7">
      <c r="A45" s="869" t="s">
        <v>459</v>
      </c>
      <c r="B45" s="869" t="s">
        <v>123</v>
      </c>
      <c r="C45" s="889" t="str">
        <f>'Expenditures 15-22'!B26</f>
        <v>1916</v>
      </c>
      <c r="D45" s="888" t="str">
        <f>'Expenditures 15-22'!A26</f>
        <v>Adult/Continuing Education Programs - Private Tuition</v>
      </c>
      <c r="E45" s="868"/>
      <c r="F45" s="1912">
        <f>'Expenditures 15-22'!K26</f>
        <v>0</v>
      </c>
      <c r="G45" s="865"/>
    </row>
    <row r="46" spans="1:7">
      <c r="A46" s="869" t="s">
        <v>459</v>
      </c>
      <c r="B46" s="869" t="s">
        <v>124</v>
      </c>
      <c r="C46" s="886" t="str">
        <f>'Expenditures 15-22'!B27</f>
        <v>1917</v>
      </c>
      <c r="D46" s="888" t="str">
        <f>'Expenditures 15-22'!A27</f>
        <v>CTE Programs - Private Tuition</v>
      </c>
      <c r="E46" s="868"/>
      <c r="F46" s="1912">
        <f>'Expenditures 15-22'!K27</f>
        <v>0</v>
      </c>
      <c r="G46" s="865"/>
    </row>
    <row r="47" spans="1:7">
      <c r="A47" s="869" t="s">
        <v>459</v>
      </c>
      <c r="B47" s="869" t="s">
        <v>125</v>
      </c>
      <c r="C47" s="890" t="str">
        <f>'Expenditures 15-22'!B28</f>
        <v>1918</v>
      </c>
      <c r="D47" s="891" t="str">
        <f>'Expenditures 15-22'!A28</f>
        <v>Interscholastic Programs - Private Tuition</v>
      </c>
      <c r="E47" s="868"/>
      <c r="F47" s="1912">
        <f>'Expenditures 15-22'!K28</f>
        <v>0</v>
      </c>
      <c r="G47" s="865"/>
    </row>
    <row r="48" spans="1:7">
      <c r="A48" s="869" t="s">
        <v>459</v>
      </c>
      <c r="B48" s="869" t="s">
        <v>126</v>
      </c>
      <c r="C48" s="889" t="str">
        <f>'Expenditures 15-22'!B29</f>
        <v>1919</v>
      </c>
      <c r="D48" s="888" t="str">
        <f>'Expenditures 15-22'!A29</f>
        <v>Summer School Programs - Private Tuition</v>
      </c>
      <c r="E48" s="868"/>
      <c r="F48" s="1912">
        <f>'Expenditures 15-22'!K29</f>
        <v>0</v>
      </c>
      <c r="G48" s="865"/>
    </row>
    <row r="49" spans="1:7">
      <c r="A49" s="869" t="s">
        <v>459</v>
      </c>
      <c r="B49" s="869" t="s">
        <v>127</v>
      </c>
      <c r="C49" s="886" t="str">
        <f>'Expenditures 15-22'!B30</f>
        <v>1920</v>
      </c>
      <c r="D49" s="888" t="str">
        <f>'Expenditures 15-22'!A30</f>
        <v>Gifted Programs - Private Tuition</v>
      </c>
      <c r="E49" s="868"/>
      <c r="F49" s="1912">
        <f>'Expenditures 15-22'!K30</f>
        <v>0</v>
      </c>
      <c r="G49" s="865"/>
    </row>
    <row r="50" spans="1:7">
      <c r="A50" s="869" t="s">
        <v>459</v>
      </c>
      <c r="B50" s="869" t="s">
        <v>128</v>
      </c>
      <c r="C50" s="886" t="str">
        <f>'Expenditures 15-22'!B31</f>
        <v>1921</v>
      </c>
      <c r="D50" s="888" t="str">
        <f>'Expenditures 15-22'!A31</f>
        <v>Bilingual Programs - Private Tuition</v>
      </c>
      <c r="E50" s="868"/>
      <c r="F50" s="1912">
        <f>'Expenditures 15-22'!K31</f>
        <v>0</v>
      </c>
      <c r="G50" s="865"/>
    </row>
    <row r="51" spans="1:7">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c r="A52" s="869" t="s">
        <v>459</v>
      </c>
      <c r="B52" s="869" t="s">
        <v>1474</v>
      </c>
      <c r="C52" s="889" t="str">
        <f>'Expenditures 15-22'!B75</f>
        <v>3000</v>
      </c>
      <c r="D52" s="888" t="s">
        <v>449</v>
      </c>
      <c r="E52" s="868"/>
      <c r="F52" s="1912">
        <f>'Expenditures 15-22'!K75-SUM('Expenditures 15-22'!G75,'Expenditures 15-22'!I75)</f>
        <v>82967</v>
      </c>
      <c r="G52" s="865"/>
    </row>
    <row r="53" spans="1:7">
      <c r="A53" s="869" t="s">
        <v>459</v>
      </c>
      <c r="B53" s="869" t="s">
        <v>1475</v>
      </c>
      <c r="C53" s="889">
        <f>'Expenditures 15-22'!B102</f>
        <v>4000</v>
      </c>
      <c r="D53" s="888" t="str">
        <f>'Expenditures 15-22'!A102</f>
        <v>Total Payments to Other Govt Units</v>
      </c>
      <c r="E53" s="868"/>
      <c r="F53" s="1912">
        <f>'Expenditures 15-22'!K102</f>
        <v>1424958</v>
      </c>
      <c r="G53" s="865"/>
    </row>
    <row r="54" spans="1:7">
      <c r="A54" s="869" t="s">
        <v>459</v>
      </c>
      <c r="B54" s="869" t="s">
        <v>1476</v>
      </c>
      <c r="C54" s="889" t="s">
        <v>982</v>
      </c>
      <c r="D54" s="885" t="s">
        <v>1095</v>
      </c>
      <c r="E54" s="868"/>
      <c r="F54" s="1912">
        <f>'Expenditures 15-22'!G114</f>
        <v>247683</v>
      </c>
      <c r="G54" s="865"/>
    </row>
    <row r="55" spans="1:7">
      <c r="A55" s="869" t="s">
        <v>459</v>
      </c>
      <c r="B55" s="869" t="s">
        <v>1477</v>
      </c>
      <c r="C55" s="889" t="s">
        <v>982</v>
      </c>
      <c r="D55" s="885" t="s">
        <v>291</v>
      </c>
      <c r="E55" s="868"/>
      <c r="F55" s="1912">
        <f>'Expenditures 15-22'!I114</f>
        <v>58024</v>
      </c>
      <c r="G55" s="865"/>
    </row>
    <row r="56" spans="1:7">
      <c r="A56" s="869" t="s">
        <v>460</v>
      </c>
      <c r="B56" s="869" t="s">
        <v>1478</v>
      </c>
      <c r="C56" s="886" t="str">
        <f>'Expenditures 15-22'!B130</f>
        <v>3000</v>
      </c>
      <c r="D56" s="892" t="s">
        <v>449</v>
      </c>
      <c r="E56" s="868"/>
      <c r="F56" s="1912">
        <f>'Expenditures 15-22'!K130-SUM('Expenditures 15-22'!G130+'Expenditures 15-22'!I130)</f>
        <v>0</v>
      </c>
      <c r="G56" s="865"/>
    </row>
    <row r="57" spans="1:7">
      <c r="A57" s="869" t="s">
        <v>460</v>
      </c>
      <c r="B57" s="869" t="s">
        <v>1879</v>
      </c>
      <c r="C57" s="889">
        <f>'Expenditures 15-22'!B139</f>
        <v>4000</v>
      </c>
      <c r="D57" s="887" t="str">
        <f>'Expenditures 15-22'!A139</f>
        <v>Total Payments to Other Govt Units</v>
      </c>
      <c r="E57" s="868"/>
      <c r="F57" s="1912">
        <f>'Expenditures 15-22'!K139</f>
        <v>0</v>
      </c>
      <c r="G57" s="865"/>
    </row>
    <row r="58" spans="1:7">
      <c r="A58" s="869" t="s">
        <v>460</v>
      </c>
      <c r="B58" s="869" t="s">
        <v>1880</v>
      </c>
      <c r="C58" s="886" t="s">
        <v>982</v>
      </c>
      <c r="D58" s="885" t="s">
        <v>1095</v>
      </c>
      <c r="E58" s="868"/>
      <c r="F58" s="1914">
        <f>'Expenditures 15-22'!G151</f>
        <v>33742</v>
      </c>
      <c r="G58" s="865"/>
    </row>
    <row r="59" spans="1:7">
      <c r="A59" s="893" t="s">
        <v>460</v>
      </c>
      <c r="B59" s="856" t="s">
        <v>1881</v>
      </c>
      <c r="C59" s="894" t="s">
        <v>982</v>
      </c>
      <c r="D59" s="856" t="s">
        <v>291</v>
      </c>
      <c r="F59" s="1915">
        <f>'Expenditures 15-22'!I151</f>
        <v>0</v>
      </c>
      <c r="G59" s="865"/>
    </row>
    <row r="60" spans="1:7">
      <c r="A60" s="893" t="s">
        <v>499</v>
      </c>
      <c r="B60" s="856" t="s">
        <v>1882</v>
      </c>
      <c r="C60" s="894">
        <v>4000</v>
      </c>
      <c r="D60" s="856" t="s">
        <v>312</v>
      </c>
      <c r="F60" s="1913">
        <f>'Expenditures 15-22'!K160</f>
        <v>0</v>
      </c>
      <c r="G60" s="865"/>
    </row>
    <row r="61" spans="1:7">
      <c r="A61" s="895" t="s">
        <v>499</v>
      </c>
      <c r="B61" s="895" t="s">
        <v>1883</v>
      </c>
      <c r="C61" s="896" t="str">
        <f>'Expenditures 15-22'!B170</f>
        <v>5300</v>
      </c>
      <c r="D61" s="897" t="s">
        <v>311</v>
      </c>
      <c r="E61" s="879"/>
      <c r="F61" s="1912">
        <f>'Expenditures 15-22'!K170</f>
        <v>2255000</v>
      </c>
      <c r="G61" s="865"/>
    </row>
    <row r="62" spans="1:7">
      <c r="A62" s="869" t="s">
        <v>461</v>
      </c>
      <c r="B62" s="869" t="s">
        <v>1884</v>
      </c>
      <c r="C62" s="886">
        <f>'Expenditures 15-22'!B185</f>
        <v>3000</v>
      </c>
      <c r="D62" s="876" t="s">
        <v>449</v>
      </c>
      <c r="E62" s="868"/>
      <c r="F62" s="1912">
        <f>'Expenditures 15-22'!K185-SUM('Expenditures 15-22'!G185,'Expenditures 15-22'!I185)</f>
        <v>0</v>
      </c>
      <c r="G62" s="865"/>
    </row>
    <row r="63" spans="1:7">
      <c r="A63" s="869" t="s">
        <v>461</v>
      </c>
      <c r="B63" s="869" t="s">
        <v>1885</v>
      </c>
      <c r="C63" s="886" t="str">
        <f>'Expenditures 15-22'!B196</f>
        <v>4000</v>
      </c>
      <c r="D63" s="887" t="str">
        <f>'Expenditures 15-22'!A196</f>
        <v>Total Payments to Other Govt Units</v>
      </c>
      <c r="E63" s="868"/>
      <c r="F63" s="1912">
        <f>'Expenditures 15-22'!K196</f>
        <v>0</v>
      </c>
      <c r="G63" s="865"/>
    </row>
    <row r="64" spans="1:7">
      <c r="A64" s="895" t="s">
        <v>461</v>
      </c>
      <c r="B64" s="895" t="s">
        <v>1886</v>
      </c>
      <c r="C64" s="896" t="str">
        <f>'Expenditures 15-22'!B206</f>
        <v>5300</v>
      </c>
      <c r="D64" s="892" t="s">
        <v>311</v>
      </c>
      <c r="E64" s="868"/>
      <c r="F64" s="1912">
        <f>'Expenditures 15-22'!K206</f>
        <v>0</v>
      </c>
      <c r="G64" s="865"/>
    </row>
    <row r="65" spans="1:8">
      <c r="A65" s="869" t="s">
        <v>461</v>
      </c>
      <c r="B65" s="869" t="s">
        <v>1887</v>
      </c>
      <c r="C65" s="886" t="s">
        <v>982</v>
      </c>
      <c r="D65" s="885" t="s">
        <v>1095</v>
      </c>
      <c r="E65" s="868"/>
      <c r="F65" s="1912">
        <f>'Expenditures 15-22'!G210</f>
        <v>6690</v>
      </c>
      <c r="G65" s="865"/>
    </row>
    <row r="66" spans="1:8">
      <c r="A66" s="869" t="s">
        <v>461</v>
      </c>
      <c r="B66" s="869" t="s">
        <v>1888</v>
      </c>
      <c r="C66" s="886" t="s">
        <v>982</v>
      </c>
      <c r="D66" s="885" t="s">
        <v>291</v>
      </c>
      <c r="E66" s="868"/>
      <c r="F66" s="1912">
        <f>'Expenditures 15-22'!I210</f>
        <v>0</v>
      </c>
      <c r="G66" s="865"/>
    </row>
    <row r="67" spans="1:8">
      <c r="A67" s="869" t="s">
        <v>462</v>
      </c>
      <c r="B67" s="869" t="s">
        <v>1889</v>
      </c>
      <c r="C67" s="886" t="str">
        <f>'Expenditures 15-22'!B216</f>
        <v>1125</v>
      </c>
      <c r="D67" s="892" t="str">
        <f>'Expenditures 15-22'!A216</f>
        <v>Pre-K Programs</v>
      </c>
      <c r="E67" s="868"/>
      <c r="F67" s="1912">
        <f>'Expenditures 15-22'!K216</f>
        <v>22268</v>
      </c>
      <c r="G67" s="865"/>
    </row>
    <row r="68" spans="1:8">
      <c r="A68" s="869" t="s">
        <v>462</v>
      </c>
      <c r="B68" s="869" t="s">
        <v>1479</v>
      </c>
      <c r="C68" s="886" t="str">
        <f>'Expenditures 15-22'!B218</f>
        <v>1225</v>
      </c>
      <c r="D68" s="892" t="str">
        <f>'Expenditures 15-22'!A218</f>
        <v>Special Education Programs - Pre-K</v>
      </c>
      <c r="E68" s="868"/>
      <c r="F68" s="1912">
        <f>'Expenditures 15-22'!K218</f>
        <v>0</v>
      </c>
      <c r="G68" s="865"/>
    </row>
    <row r="69" spans="1:8">
      <c r="A69" s="869" t="s">
        <v>462</v>
      </c>
      <c r="B69" s="869" t="s">
        <v>1890</v>
      </c>
      <c r="C69" s="886" t="str">
        <f>'Expenditures 15-22'!B220</f>
        <v>1275</v>
      </c>
      <c r="D69" s="892" t="str">
        <f>'Expenditures 15-22'!A220</f>
        <v>Remedial and Supplemental Programs - Pre-K</v>
      </c>
      <c r="E69" s="868"/>
      <c r="F69" s="1912">
        <f>'Expenditures 15-22'!K220</f>
        <v>0</v>
      </c>
      <c r="G69" s="865"/>
    </row>
    <row r="70" spans="1:8">
      <c r="A70" s="869" t="s">
        <v>462</v>
      </c>
      <c r="B70" s="869" t="s">
        <v>1891</v>
      </c>
      <c r="C70" s="886">
        <f>'Expenditures 15-22'!B221</f>
        <v>1300</v>
      </c>
      <c r="D70" s="887" t="str">
        <f>'Expenditures 15-22'!A221</f>
        <v>Adult/Continuing Education Programs</v>
      </c>
      <c r="E70" s="868"/>
      <c r="F70" s="1912">
        <f>'Expenditures 15-22'!K221</f>
        <v>0</v>
      </c>
      <c r="G70" s="865"/>
    </row>
    <row r="71" spans="1:8">
      <c r="A71" s="869" t="s">
        <v>462</v>
      </c>
      <c r="B71" s="869" t="s">
        <v>1892</v>
      </c>
      <c r="C71" s="886">
        <f>'Expenditures 15-22'!B224</f>
        <v>1600</v>
      </c>
      <c r="D71" s="887" t="str">
        <f>'Expenditures 15-22'!A224</f>
        <v>Summer School Programs</v>
      </c>
      <c r="E71" s="868"/>
      <c r="F71" s="1912">
        <f>'Expenditures 15-22'!K224</f>
        <v>0</v>
      </c>
      <c r="G71" s="865"/>
    </row>
    <row r="72" spans="1:8">
      <c r="A72" s="869" t="s">
        <v>462</v>
      </c>
      <c r="B72" s="869" t="s">
        <v>1893</v>
      </c>
      <c r="C72" s="886">
        <f>'Expenditures 15-22'!B280</f>
        <v>3000</v>
      </c>
      <c r="D72" s="876" t="s">
        <v>449</v>
      </c>
      <c r="E72" s="868"/>
      <c r="F72" s="1912">
        <f>'Expenditures 15-22'!K280</f>
        <v>6446</v>
      </c>
      <c r="G72" s="865"/>
    </row>
    <row r="73" spans="1:8">
      <c r="A73" s="869" t="s">
        <v>462</v>
      </c>
      <c r="B73" s="869" t="s">
        <v>1894</v>
      </c>
      <c r="C73" s="886" t="str">
        <f>'Expenditures 15-22'!B285</f>
        <v>4000</v>
      </c>
      <c r="D73" s="887" t="str">
        <f>'Expenditures 15-22'!A285</f>
        <v>Total Payments to Other Govt Units</v>
      </c>
      <c r="E73" s="868"/>
      <c r="F73" s="1912">
        <f>'Expenditures 15-22'!K285</f>
        <v>0</v>
      </c>
      <c r="G73" s="865"/>
    </row>
    <row r="74" spans="1:8">
      <c r="A74" s="869" t="s">
        <v>436</v>
      </c>
      <c r="B74" s="869" t="s">
        <v>1895</v>
      </c>
      <c r="C74" s="886" t="s">
        <v>860</v>
      </c>
      <c r="D74" s="887" t="s">
        <v>1487</v>
      </c>
      <c r="E74" s="868"/>
      <c r="F74" s="1916">
        <f>'Expenditures 15-22'!K334</f>
        <v>0</v>
      </c>
      <c r="G74" s="865"/>
    </row>
    <row r="75" spans="1:8" ht="5.25" customHeight="1">
      <c r="A75" s="865"/>
      <c r="B75" s="875"/>
      <c r="C75" s="875"/>
      <c r="D75" s="865"/>
      <c r="E75" s="868"/>
      <c r="F75" s="882"/>
      <c r="G75" s="867"/>
    </row>
    <row r="76" spans="1:8" ht="12" thickBot="1">
      <c r="A76" s="1769"/>
      <c r="B76" s="1775"/>
      <c r="C76" s="1771"/>
      <c r="D76" s="1776" t="s">
        <v>1896</v>
      </c>
      <c r="E76" s="1773" t="s">
        <v>958</v>
      </c>
      <c r="F76" s="1777">
        <f>SUM(F18:F74)</f>
        <v>4603993</v>
      </c>
      <c r="G76" s="865"/>
    </row>
    <row r="77" spans="1:8" s="893" customFormat="1" ht="12" customHeight="1" thickTop="1" thickBot="1">
      <c r="A77" s="1778"/>
      <c r="B77" s="1775"/>
      <c r="C77" s="1771"/>
      <c r="D77" s="1776" t="s">
        <v>1897</v>
      </c>
      <c r="E77" s="1773"/>
      <c r="F77" s="1779">
        <f>(F14-F76)</f>
        <v>30541778</v>
      </c>
      <c r="G77" s="869"/>
    </row>
    <row r="78" spans="1:8" s="893" customFormat="1" ht="12" customHeight="1" thickTop="1">
      <c r="A78" s="1780"/>
      <c r="B78" s="1775"/>
      <c r="C78" s="1771"/>
      <c r="D78" s="1776" t="s">
        <v>2059</v>
      </c>
      <c r="E78" s="1773"/>
      <c r="F78" s="898">
        <v>2386.71</v>
      </c>
      <c r="G78" s="899"/>
      <c r="H78" s="869"/>
    </row>
    <row r="79" spans="1:8" s="893" customFormat="1" ht="12" customHeight="1" thickBot="1">
      <c r="A79" s="1781"/>
      <c r="B79" s="1775"/>
      <c r="C79" s="1771"/>
      <c r="D79" s="1776" t="s">
        <v>1898</v>
      </c>
      <c r="E79" s="1773" t="s">
        <v>958</v>
      </c>
      <c r="F79" s="1782">
        <f>IF(F78&gt;0,F77/F78," Complete Line 78")</f>
        <v>12796.602017002484</v>
      </c>
      <c r="G79" s="869"/>
    </row>
    <row r="80" spans="1:8" s="893" customFormat="1" ht="8.25" customHeight="1" thickTop="1">
      <c r="A80" s="900"/>
      <c r="B80" s="869"/>
      <c r="C80" s="871"/>
      <c r="D80" s="901"/>
      <c r="E80" s="868"/>
      <c r="F80" s="902"/>
      <c r="G80" s="869"/>
    </row>
    <row r="81" spans="1:7" s="893" customFormat="1" ht="12" thickBot="1">
      <c r="A81" s="2313" t="s">
        <v>1105</v>
      </c>
      <c r="B81" s="2314"/>
      <c r="C81" s="2314"/>
      <c r="D81" s="2314"/>
      <c r="E81" s="2314"/>
      <c r="F81" s="2315"/>
      <c r="G81" s="869"/>
    </row>
    <row r="82" spans="1:7" s="893" customFormat="1" ht="5.25" customHeight="1" thickTop="1">
      <c r="A82" s="869"/>
      <c r="B82" s="869"/>
      <c r="C82" s="871"/>
      <c r="D82" s="869"/>
      <c r="E82" s="871"/>
      <c r="F82" s="869"/>
      <c r="G82" s="903"/>
    </row>
    <row r="83" spans="1:7" ht="12" customHeight="1">
      <c r="A83" s="904" t="s">
        <v>813</v>
      </c>
      <c r="B83" s="905"/>
      <c r="C83" s="906"/>
      <c r="D83" s="907"/>
      <c r="E83" s="906"/>
      <c r="F83" s="905"/>
      <c r="G83" s="905"/>
    </row>
    <row r="84" spans="1:7">
      <c r="A84" s="908" t="s">
        <v>461</v>
      </c>
      <c r="B84" s="909" t="s">
        <v>146</v>
      </c>
      <c r="C84" s="910">
        <f>'Revenues 9-14'!B42</f>
        <v>1411</v>
      </c>
      <c r="D84" s="911" t="str">
        <f>'Revenues 9-14'!A42</f>
        <v>Regular -Transp Fees from Pupils or Parents (In State)</v>
      </c>
      <c r="E84" s="906" t="s">
        <v>958</v>
      </c>
      <c r="F84" s="1906">
        <f>'Revenues 9-14'!F42</f>
        <v>19050</v>
      </c>
      <c r="G84" s="912"/>
    </row>
    <row r="85" spans="1:7">
      <c r="A85" s="908" t="s">
        <v>461</v>
      </c>
      <c r="B85" s="908" t="s">
        <v>183</v>
      </c>
      <c r="C85" s="913">
        <f>'Revenues 9-14'!B44</f>
        <v>1413</v>
      </c>
      <c r="D85" s="911" t="str">
        <f>'Revenues 9-14'!A44</f>
        <v>Regular - Transp Fees from Other Sources (In State)</v>
      </c>
      <c r="E85" s="906"/>
      <c r="F85" s="1788">
        <f>'Revenues 9-14'!F44</f>
        <v>24316</v>
      </c>
      <c r="G85" s="914"/>
    </row>
    <row r="86" spans="1:7">
      <c r="A86" s="908" t="s">
        <v>461</v>
      </c>
      <c r="B86" s="908" t="s">
        <v>166</v>
      </c>
      <c r="C86" s="910">
        <f>'Revenues 9-14'!B45</f>
        <v>1415</v>
      </c>
      <c r="D86" s="911" t="str">
        <f>'Revenues 9-14'!A45</f>
        <v>Regular - Transp Fees from Co-curricular Activities (In State)</v>
      </c>
      <c r="E86" s="906"/>
      <c r="F86" s="1788">
        <f>'Revenues 9-14'!F45</f>
        <v>0</v>
      </c>
      <c r="G86" s="914"/>
    </row>
    <row r="87" spans="1:7">
      <c r="A87" s="908" t="s">
        <v>461</v>
      </c>
      <c r="B87" s="908" t="s">
        <v>167</v>
      </c>
      <c r="C87" s="910">
        <v>1416</v>
      </c>
      <c r="D87" s="911" t="str">
        <f>'Revenues 9-14'!A46</f>
        <v>Regular Transp Fees from Other Sources (Out of State)</v>
      </c>
      <c r="E87" s="906"/>
      <c r="F87" s="1788">
        <f>'Revenues 9-14'!F46</f>
        <v>0</v>
      </c>
      <c r="G87" s="914"/>
    </row>
    <row r="88" spans="1:7">
      <c r="A88" s="908" t="s">
        <v>461</v>
      </c>
      <c r="B88" s="908" t="s">
        <v>168</v>
      </c>
      <c r="C88" s="910">
        <f>'Revenues 9-14'!B51</f>
        <v>1431</v>
      </c>
      <c r="D88" s="911" t="str">
        <f>'Revenues 9-14'!A51</f>
        <v>CTE - Transp Fees from Pupils or Parents (In State)</v>
      </c>
      <c r="E88" s="906"/>
      <c r="F88" s="1788">
        <f>'Revenues 9-14'!F51</f>
        <v>0</v>
      </c>
      <c r="G88" s="914"/>
    </row>
    <row r="89" spans="1:7">
      <c r="A89" s="908" t="s">
        <v>461</v>
      </c>
      <c r="B89" s="908" t="s">
        <v>169</v>
      </c>
      <c r="C89" s="910">
        <f>'Revenues 9-14'!B53</f>
        <v>1433</v>
      </c>
      <c r="D89" s="911" t="str">
        <f>'Revenues 9-14'!A53</f>
        <v>CTE - Transp Fees from Other Sources (In State)</v>
      </c>
      <c r="E89" s="906"/>
      <c r="F89" s="1788">
        <f>'Revenues 9-14'!F53</f>
        <v>0</v>
      </c>
      <c r="G89" s="914"/>
    </row>
    <row r="90" spans="1:7">
      <c r="A90" s="908" t="s">
        <v>461</v>
      </c>
      <c r="B90" s="908" t="s">
        <v>170</v>
      </c>
      <c r="C90" s="910">
        <f>'Revenues 9-14'!B54</f>
        <v>1434</v>
      </c>
      <c r="D90" s="911" t="str">
        <f>'Revenues 9-14'!A54</f>
        <v>CTE - Transp Fees from Other Sources (Out of State)</v>
      </c>
      <c r="E90" s="906"/>
      <c r="F90" s="1788">
        <f>'Revenues 9-14'!F54</f>
        <v>0</v>
      </c>
      <c r="G90" s="914"/>
    </row>
    <row r="91" spans="1:7">
      <c r="A91" s="908" t="s">
        <v>461</v>
      </c>
      <c r="B91" s="908" t="s">
        <v>171</v>
      </c>
      <c r="C91" s="915">
        <f>'Revenues 9-14'!B55</f>
        <v>1441</v>
      </c>
      <c r="D91" s="911" t="str">
        <f>'Revenues 9-14'!A55</f>
        <v>Special Ed - Transp Fees from Pupils or Parents (In State)</v>
      </c>
      <c r="E91" s="906"/>
      <c r="F91" s="1788">
        <f>'Revenues 9-14'!F55</f>
        <v>0</v>
      </c>
      <c r="G91" s="914"/>
    </row>
    <row r="92" spans="1:7">
      <c r="A92" s="908" t="s">
        <v>461</v>
      </c>
      <c r="B92" s="908" t="s">
        <v>172</v>
      </c>
      <c r="C92" s="910">
        <f>'Revenues 9-14'!B57</f>
        <v>1443</v>
      </c>
      <c r="D92" s="911" t="str">
        <f>'Revenues 9-14'!A57</f>
        <v>Special Ed - Transp Fees from Other Sources (In State)</v>
      </c>
      <c r="E92" s="906"/>
      <c r="F92" s="1788">
        <f>'Revenues 9-14'!F57</f>
        <v>0</v>
      </c>
      <c r="G92" s="916"/>
    </row>
    <row r="93" spans="1:7">
      <c r="A93" s="908" t="s">
        <v>461</v>
      </c>
      <c r="B93" s="908" t="s">
        <v>173</v>
      </c>
      <c r="C93" s="910">
        <f>'Revenues 9-14'!B58</f>
        <v>1444</v>
      </c>
      <c r="D93" s="911" t="str">
        <f>'Revenues 9-14'!A58</f>
        <v>Special Ed - Transp Fees from Other Sources (Out of State)</v>
      </c>
      <c r="E93" s="906"/>
      <c r="F93" s="1788">
        <f>'Revenues 9-14'!F58</f>
        <v>0</v>
      </c>
      <c r="G93" s="916"/>
    </row>
    <row r="94" spans="1:7">
      <c r="A94" s="908" t="s">
        <v>459</v>
      </c>
      <c r="B94" s="908" t="s">
        <v>174</v>
      </c>
      <c r="C94" s="910">
        <v>1600</v>
      </c>
      <c r="D94" s="917" t="str">
        <f>'Revenues 9-14'!A75</f>
        <v>Total Food Service</v>
      </c>
      <c r="E94" s="906"/>
      <c r="F94" s="1788">
        <f>'Revenues 9-14'!C75</f>
        <v>9447</v>
      </c>
      <c r="G94" s="912"/>
    </row>
    <row r="95" spans="1:7">
      <c r="A95" s="908" t="s">
        <v>140</v>
      </c>
      <c r="B95" s="908" t="s">
        <v>175</v>
      </c>
      <c r="C95" s="910">
        <v>1700</v>
      </c>
      <c r="D95" s="918" t="str">
        <f>'Revenues 9-14'!A82</f>
        <v>Total District/School Activity Income</v>
      </c>
      <c r="E95" s="906"/>
      <c r="F95" s="1788">
        <f>SUM('Revenues 9-14'!C82,'Revenues 9-14'!D82)</f>
        <v>8710</v>
      </c>
      <c r="G95" s="912"/>
    </row>
    <row r="96" spans="1:7">
      <c r="A96" s="908" t="s">
        <v>459</v>
      </c>
      <c r="B96" s="908" t="s">
        <v>176</v>
      </c>
      <c r="C96" s="910">
        <f>'Revenues 9-14'!B84</f>
        <v>1811</v>
      </c>
      <c r="D96" s="911" t="str">
        <f>'Revenues 9-14'!A84</f>
        <v>Rentals - Regular Textbooks</v>
      </c>
      <c r="E96" s="906"/>
      <c r="F96" s="1788">
        <f>'Revenues 9-14'!C84</f>
        <v>0</v>
      </c>
      <c r="G96" s="912"/>
    </row>
    <row r="97" spans="1:7">
      <c r="A97" s="908" t="s">
        <v>459</v>
      </c>
      <c r="B97" s="908" t="s">
        <v>177</v>
      </c>
      <c r="C97" s="910">
        <f>'Revenues 9-14'!B87</f>
        <v>1819</v>
      </c>
      <c r="D97" s="911" t="str">
        <f>'Revenues 9-14'!A87</f>
        <v>Rentals - Other (Describe &amp; Itemize)</v>
      </c>
      <c r="E97" s="906"/>
      <c r="F97" s="1788">
        <f>'Revenues 9-14'!C87</f>
        <v>0</v>
      </c>
      <c r="G97" s="912"/>
    </row>
    <row r="98" spans="1:7">
      <c r="A98" s="908" t="s">
        <v>459</v>
      </c>
      <c r="B98" s="908" t="s">
        <v>178</v>
      </c>
      <c r="C98" s="910">
        <f>'Revenues 9-14'!B88</f>
        <v>1821</v>
      </c>
      <c r="D98" s="911" t="str">
        <f>'Revenues 9-14'!A88</f>
        <v>Sales - Regular Textbooks</v>
      </c>
      <c r="E98" s="906"/>
      <c r="F98" s="1788">
        <f>'Revenues 9-14'!C88</f>
        <v>0</v>
      </c>
      <c r="G98" s="912"/>
    </row>
    <row r="99" spans="1:7">
      <c r="A99" s="908" t="s">
        <v>459</v>
      </c>
      <c r="B99" s="908" t="s">
        <v>179</v>
      </c>
      <c r="C99" s="910">
        <f>'Revenues 9-14'!B91</f>
        <v>1829</v>
      </c>
      <c r="D99" s="911" t="str">
        <f>'Revenues 9-14'!A91</f>
        <v>Sales - Other (Describe &amp; Itemize)</v>
      </c>
      <c r="E99" s="906"/>
      <c r="F99" s="1788">
        <f>'Revenues 9-14'!C91</f>
        <v>0</v>
      </c>
      <c r="G99" s="912"/>
    </row>
    <row r="100" spans="1:7">
      <c r="A100" s="908" t="s">
        <v>459</v>
      </c>
      <c r="B100" s="908" t="s">
        <v>180</v>
      </c>
      <c r="C100" s="910">
        <f>'Revenues 9-14'!B92</f>
        <v>1890</v>
      </c>
      <c r="D100" s="911" t="str">
        <f>'Revenues 9-14'!A92</f>
        <v>Other (Describe &amp; Itemize)</v>
      </c>
      <c r="E100" s="906"/>
      <c r="F100" s="1788">
        <f>'Revenues 9-14'!C92</f>
        <v>0</v>
      </c>
      <c r="G100" s="912"/>
    </row>
    <row r="101" spans="1:7">
      <c r="A101" s="908" t="s">
        <v>140</v>
      </c>
      <c r="B101" s="908" t="s">
        <v>181</v>
      </c>
      <c r="C101" s="910">
        <f>'Revenues 9-14'!B95</f>
        <v>1910</v>
      </c>
      <c r="D101" s="911" t="str">
        <f>'Revenues 9-14'!A95</f>
        <v>Rentals</v>
      </c>
      <c r="E101" s="906"/>
      <c r="F101" s="1788">
        <f>SUM('Revenues 9-14'!C95:D95)</f>
        <v>33196</v>
      </c>
      <c r="G101" s="912"/>
    </row>
    <row r="102" spans="1:7">
      <c r="A102" s="908" t="s">
        <v>503</v>
      </c>
      <c r="B102" s="908" t="s">
        <v>182</v>
      </c>
      <c r="C102" s="910">
        <f>'Revenues 9-14'!B98</f>
        <v>1940</v>
      </c>
      <c r="D102" s="911" t="str">
        <f>'Revenues 9-14'!A98</f>
        <v>Services Provided Other Districts</v>
      </c>
      <c r="E102" s="906"/>
      <c r="F102" s="1788">
        <f>SUM('Revenues 9-14'!C98,'Revenues 9-14'!D98,'Revenues 9-14'!F98)</f>
        <v>43042</v>
      </c>
      <c r="G102" s="912"/>
    </row>
    <row r="103" spans="1:7">
      <c r="A103" s="908" t="s">
        <v>1009</v>
      </c>
      <c r="B103" s="908" t="s">
        <v>801</v>
      </c>
      <c r="C103" s="910">
        <f>'Revenues 9-14'!B104</f>
        <v>1991</v>
      </c>
      <c r="D103" s="919" t="str">
        <f>'Revenues 9-14'!A104</f>
        <v>Payment from Other Districts</v>
      </c>
      <c r="E103" s="906"/>
      <c r="F103" s="1788">
        <f>SUM('Revenues 9-14'!C104,'Revenues 9-14'!D104,'Revenues 9-14'!E104,'Revenues 9-14'!F104,'Revenues 9-14'!G104)</f>
        <v>113240</v>
      </c>
      <c r="G103" s="912"/>
    </row>
    <row r="104" spans="1:7">
      <c r="A104" s="908" t="s">
        <v>459</v>
      </c>
      <c r="B104" s="908" t="s">
        <v>808</v>
      </c>
      <c r="C104" s="910">
        <f>'Revenues 9-14'!B106</f>
        <v>1993</v>
      </c>
      <c r="D104" s="911" t="str">
        <f>'Revenues 9-14'!A106</f>
        <v>Other Local Fees (Describe &amp; Itemize)</v>
      </c>
      <c r="E104" s="906"/>
      <c r="F104" s="1788">
        <f>('Revenues 9-14'!C106)</f>
        <v>0</v>
      </c>
      <c r="G104" s="912"/>
    </row>
    <row r="105" spans="1:7">
      <c r="A105" s="908" t="s">
        <v>503</v>
      </c>
      <c r="B105" s="908" t="s">
        <v>2000</v>
      </c>
      <c r="C105" s="913">
        <v>3100</v>
      </c>
      <c r="D105" s="919" t="str">
        <f>'Revenues 9-14'!A132</f>
        <v>Total Special Education</v>
      </c>
      <c r="E105" s="906"/>
      <c r="F105" s="1788">
        <f>SUM('Revenues 9-14'!C132:D132,'Revenues 9-14'!F132)</f>
        <v>41593</v>
      </c>
      <c r="G105" s="912"/>
    </row>
    <row r="106" spans="1:7">
      <c r="A106" s="908" t="s">
        <v>673</v>
      </c>
      <c r="B106" s="908" t="s">
        <v>2001</v>
      </c>
      <c r="C106" s="920">
        <v>3200</v>
      </c>
      <c r="D106" s="911" t="str">
        <f>'Revenues 9-14'!A141</f>
        <v>Total Career and Technical Education</v>
      </c>
      <c r="E106" s="906"/>
      <c r="F106" s="1788">
        <f>SUM('Revenues 9-14'!C141,'Revenues 9-14'!D141,'Revenues 9-14'!G141)</f>
        <v>0</v>
      </c>
      <c r="G106" s="912"/>
    </row>
    <row r="107" spans="1:7">
      <c r="A107" s="921" t="s">
        <v>664</v>
      </c>
      <c r="B107" s="908" t="s">
        <v>2002</v>
      </c>
      <c r="C107" s="920">
        <v>3300</v>
      </c>
      <c r="D107" s="911" t="str">
        <f>'Revenues 9-14'!A145</f>
        <v>Total Bilingual Ed</v>
      </c>
      <c r="E107" s="906"/>
      <c r="F107" s="1788">
        <f>SUM('Revenues 9-14'!C145,'Revenues 9-14'!G145)</f>
        <v>0</v>
      </c>
      <c r="G107" s="912"/>
    </row>
    <row r="108" spans="1:7">
      <c r="A108" s="908" t="s">
        <v>459</v>
      </c>
      <c r="B108" s="908" t="s">
        <v>2003</v>
      </c>
      <c r="C108" s="920">
        <f>'Revenues 9-14'!B146</f>
        <v>3360</v>
      </c>
      <c r="D108" s="911" t="str">
        <f>'Revenues 9-14'!A146</f>
        <v>State Free Lunch &amp; Breakfast</v>
      </c>
      <c r="E108" s="906"/>
      <c r="F108" s="1788">
        <f>'Revenues 9-14'!C146</f>
        <v>36180</v>
      </c>
      <c r="G108" s="912"/>
    </row>
    <row r="109" spans="1:7">
      <c r="A109" s="908" t="s">
        <v>673</v>
      </c>
      <c r="B109" s="908" t="s">
        <v>2004</v>
      </c>
      <c r="C109" s="920">
        <f>'Revenues 9-14'!B147</f>
        <v>3365</v>
      </c>
      <c r="D109" s="911" t="str">
        <f>'Revenues 9-14'!A147</f>
        <v>School Breakfast Initiative</v>
      </c>
      <c r="E109" s="906"/>
      <c r="F109" s="1788">
        <f>SUM('Revenues 9-14'!C147,'Revenues 9-14'!D147,'Revenues 9-14'!G147)</f>
        <v>0</v>
      </c>
      <c r="G109" s="912"/>
    </row>
    <row r="110" spans="1:7">
      <c r="A110" s="908" t="s">
        <v>140</v>
      </c>
      <c r="B110" s="908" t="s">
        <v>2005</v>
      </c>
      <c r="C110" s="920">
        <f>'Revenues 9-14'!B148</f>
        <v>3370</v>
      </c>
      <c r="D110" s="911" t="str">
        <f>'Revenues 9-14'!A148</f>
        <v>Driver Education</v>
      </c>
      <c r="E110" s="906"/>
      <c r="F110" s="1788">
        <f>SUM('Revenues 9-14'!C148,'Revenues 9-14'!D148)</f>
        <v>0</v>
      </c>
      <c r="G110" s="912"/>
    </row>
    <row r="111" spans="1:7">
      <c r="A111" s="908" t="s">
        <v>668</v>
      </c>
      <c r="B111" s="908" t="s">
        <v>2006</v>
      </c>
      <c r="C111" s="922">
        <v>3500</v>
      </c>
      <c r="D111" s="911" t="str">
        <f>'Revenues 9-14'!A155</f>
        <v>Total Transportation</v>
      </c>
      <c r="E111" s="906"/>
      <c r="F111" s="1788">
        <f>SUM('Revenues 9-14'!C155,'Revenues 9-14'!D155,'Revenues 9-14'!F155,'Revenues 9-14'!G155)</f>
        <v>654535</v>
      </c>
      <c r="G111" s="912"/>
    </row>
    <row r="112" spans="1:7">
      <c r="A112" s="908" t="s">
        <v>459</v>
      </c>
      <c r="B112" s="908" t="s">
        <v>2007</v>
      </c>
      <c r="C112" s="920">
        <f>'Revenues 9-14'!B156</f>
        <v>3610</v>
      </c>
      <c r="D112" s="911" t="str">
        <f>'Revenues 9-14'!A156</f>
        <v>Learning Improvement - Change Grants</v>
      </c>
      <c r="E112" s="906"/>
      <c r="F112" s="1788">
        <f>'Revenues 9-14'!C156</f>
        <v>0</v>
      </c>
      <c r="G112" s="912"/>
    </row>
    <row r="113" spans="1:7">
      <c r="A113" s="908" t="s">
        <v>668</v>
      </c>
      <c r="B113" s="908" t="s">
        <v>2008</v>
      </c>
      <c r="C113" s="920">
        <f>'Revenues 9-14'!B157</f>
        <v>3660</v>
      </c>
      <c r="D113" s="911" t="str">
        <f>'Revenues 9-14'!A157</f>
        <v>Scientific Literacy</v>
      </c>
      <c r="E113" s="906"/>
      <c r="F113" s="1788">
        <f>SUM('Revenues 9-14'!C157,'Revenues 9-14'!D157,'Revenues 9-14'!F157,'Revenues 9-14'!G157)</f>
        <v>0</v>
      </c>
      <c r="G113" s="912"/>
    </row>
    <row r="114" spans="1:7">
      <c r="A114" s="908" t="s">
        <v>5</v>
      </c>
      <c r="B114" s="908" t="s">
        <v>2009</v>
      </c>
      <c r="C114" s="920">
        <f>'Revenues 9-14'!B158</f>
        <v>3695</v>
      </c>
      <c r="D114" s="911" t="str">
        <f>'Revenues 9-14'!A158</f>
        <v>Truant Alternative/Optional Education</v>
      </c>
      <c r="E114" s="906"/>
      <c r="F114" s="1788">
        <f>SUM('Revenues 9-14'!C158,'Revenues 9-14'!F158,'Revenues 9-14'!G158)</f>
        <v>0</v>
      </c>
      <c r="G114" s="912"/>
    </row>
    <row r="115" spans="1:7">
      <c r="A115" s="908" t="s">
        <v>668</v>
      </c>
      <c r="B115" s="908" t="s">
        <v>2010</v>
      </c>
      <c r="C115" s="920">
        <f>'Revenues 9-14'!B160</f>
        <v>3766</v>
      </c>
      <c r="D115" s="911" t="str">
        <f>'Revenues 9-14'!A160</f>
        <v>Chicago General Education Block Grant</v>
      </c>
      <c r="E115" s="906"/>
      <c r="F115" s="1788">
        <f>SUM('Revenues 9-14'!C160,'Revenues 9-14'!D160,'Revenues 9-14'!F160,'Revenues 9-14'!G160)</f>
        <v>0</v>
      </c>
      <c r="G115" s="912"/>
    </row>
    <row r="116" spans="1:7">
      <c r="A116" s="908" t="s">
        <v>668</v>
      </c>
      <c r="B116" s="908" t="s">
        <v>2011</v>
      </c>
      <c r="C116" s="920">
        <f>'Revenues 9-14'!B161</f>
        <v>3767</v>
      </c>
      <c r="D116" s="911" t="str">
        <f>'Revenues 9-14'!A161</f>
        <v>Chicago Educational Services Block Grant</v>
      </c>
      <c r="E116" s="906"/>
      <c r="F116" s="1788">
        <f>SUM('Revenues 9-14'!C161,'Revenues 9-14'!D161,'Revenues 9-14'!F161,'Revenues 9-14'!G161)</f>
        <v>0</v>
      </c>
      <c r="G116" s="912"/>
    </row>
    <row r="117" spans="1:7">
      <c r="A117" s="923" t="s">
        <v>1009</v>
      </c>
      <c r="B117" s="923" t="s">
        <v>2012</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c r="A118" s="923" t="s">
        <v>1009</v>
      </c>
      <c r="B118" s="923" t="s">
        <v>2013</v>
      </c>
      <c r="C118" s="924">
        <f>'Revenues 9-14'!B163</f>
        <v>3780</v>
      </c>
      <c r="D118" s="925" t="str">
        <f>'Revenues 9-14'!A163</f>
        <v>Technology - Technology for Success</v>
      </c>
      <c r="E118" s="906"/>
      <c r="F118" s="1906">
        <f>SUM('Revenues 9-14'!C163:G163)</f>
        <v>0</v>
      </c>
      <c r="G118" s="912"/>
    </row>
    <row r="119" spans="1:7">
      <c r="A119" s="923" t="s">
        <v>504</v>
      </c>
      <c r="B119" s="923" t="s">
        <v>2014</v>
      </c>
      <c r="C119" s="924">
        <f>'Revenues 9-14'!B164</f>
        <v>3815</v>
      </c>
      <c r="D119" s="925" t="str">
        <f>'Revenues 9-14'!A164</f>
        <v>State Charter Schools</v>
      </c>
      <c r="E119" s="906"/>
      <c r="F119" s="1906">
        <f>SUM('Revenues 9-14'!C164,'Revenues 9-14'!F164)</f>
        <v>0</v>
      </c>
      <c r="G119" s="912"/>
    </row>
    <row r="120" spans="1:7">
      <c r="A120" s="927" t="s">
        <v>460</v>
      </c>
      <c r="B120" s="927" t="s">
        <v>2015</v>
      </c>
      <c r="C120" s="928">
        <f>'Revenues 9-14'!B167</f>
        <v>3925</v>
      </c>
      <c r="D120" s="929" t="str">
        <f>'Revenues 9-14'!A167</f>
        <v>School Infrastructure - Maintenance Projects</v>
      </c>
      <c r="E120" s="906"/>
      <c r="F120" s="1788">
        <f>'Revenues 9-14'!D167</f>
        <v>0</v>
      </c>
      <c r="G120" s="930"/>
    </row>
    <row r="121" spans="1:7">
      <c r="A121" s="927" t="s">
        <v>500</v>
      </c>
      <c r="B121" s="927" t="s">
        <v>2016</v>
      </c>
      <c r="C121" s="928">
        <f>'Revenues 9-14'!B168</f>
        <v>3999</v>
      </c>
      <c r="D121" s="929" t="s">
        <v>543</v>
      </c>
      <c r="E121" s="931"/>
      <c r="F121" s="1788">
        <f>SUM('Revenues 9-14'!C168:G168,'Revenues 9-14'!J168)</f>
        <v>37500</v>
      </c>
      <c r="G121" s="930"/>
    </row>
    <row r="122" spans="1:7">
      <c r="A122" s="927" t="s">
        <v>459</v>
      </c>
      <c r="B122" s="927" t="s">
        <v>2017</v>
      </c>
      <c r="C122" s="932">
        <f>'Revenues 9-14'!B177</f>
        <v>4045</v>
      </c>
      <c r="D122" s="929" t="str">
        <f>'Revenues 9-14'!A177 &amp; " (Subtract)"</f>
        <v>Head Start (Subtract)</v>
      </c>
      <c r="E122" s="906"/>
      <c r="F122" s="1788">
        <f>SUM(-'Revenues 9-14'!C177)</f>
        <v>0</v>
      </c>
      <c r="G122" s="930"/>
    </row>
    <row r="123" spans="1:7">
      <c r="A123" s="927" t="s">
        <v>668</v>
      </c>
      <c r="B123" s="927" t="s">
        <v>2018</v>
      </c>
      <c r="C123" s="932" t="s">
        <v>982</v>
      </c>
      <c r="D123" s="929" t="str">
        <f>('Revenues 9-14'!A181)</f>
        <v>Total Restricted Grants-In-Aid Received Directly from Federal Govt</v>
      </c>
      <c r="E123" s="906"/>
      <c r="F123" s="1788">
        <f>SUM('Revenues 9-14'!C181,'Revenues 9-14'!D181,'Revenues 9-14'!F181,'Revenues 9-14'!G181)</f>
        <v>0</v>
      </c>
      <c r="G123" s="930"/>
    </row>
    <row r="124" spans="1:7">
      <c r="A124" s="927" t="s">
        <v>668</v>
      </c>
      <c r="B124" s="927" t="s">
        <v>2019</v>
      </c>
      <c r="C124" s="932">
        <v>4100</v>
      </c>
      <c r="D124" s="933" t="str">
        <f>'Revenues 9-14'!A188</f>
        <v>Total Title V</v>
      </c>
      <c r="E124" s="906"/>
      <c r="F124" s="1788">
        <f>SUM('Revenues 9-14'!C188,'Revenues 9-14'!D188,'Revenues 9-14'!F188,'Revenues 9-14'!G188)</f>
        <v>0</v>
      </c>
      <c r="G124" s="930"/>
    </row>
    <row r="125" spans="1:7">
      <c r="A125" s="927" t="s">
        <v>664</v>
      </c>
      <c r="B125" s="927" t="s">
        <v>2020</v>
      </c>
      <c r="C125" s="932">
        <v>4200</v>
      </c>
      <c r="D125" s="929" t="str">
        <f>'Revenues 9-14'!A198</f>
        <v>Total Food Service</v>
      </c>
      <c r="E125" s="906"/>
      <c r="F125" s="1788">
        <f>SUM('Revenues 9-14'!C198,'Revenues 9-14'!G198)</f>
        <v>1866378</v>
      </c>
      <c r="G125" s="930"/>
    </row>
    <row r="126" spans="1:7">
      <c r="A126" s="927" t="s">
        <v>668</v>
      </c>
      <c r="B126" s="927" t="s">
        <v>2021</v>
      </c>
      <c r="C126" s="932">
        <v>4300</v>
      </c>
      <c r="D126" s="933" t="str">
        <f>'Revenues 9-14'!A204</f>
        <v>Total Title I</v>
      </c>
      <c r="E126" s="906"/>
      <c r="F126" s="1788">
        <f>SUM('Revenues 9-14'!C204,'Revenues 9-14'!D204,'Revenues 9-14'!F204,'Revenues 9-14'!G204)</f>
        <v>1084778</v>
      </c>
      <c r="G126" s="930"/>
    </row>
    <row r="127" spans="1:7">
      <c r="A127" s="927" t="s">
        <v>668</v>
      </c>
      <c r="B127" s="927" t="s">
        <v>2022</v>
      </c>
      <c r="C127" s="932">
        <v>4400</v>
      </c>
      <c r="D127" s="933" t="str">
        <f>'Revenues 9-14'!A209</f>
        <v>Total Title IV</v>
      </c>
      <c r="E127" s="906"/>
      <c r="F127" s="1788">
        <f>SUM('Revenues 9-14'!C209,'Revenues 9-14'!D209,'Revenues 9-14'!F209,'Revenues 9-14'!G209)</f>
        <v>89922</v>
      </c>
      <c r="G127" s="930"/>
    </row>
    <row r="128" spans="1:7">
      <c r="A128" s="927" t="s">
        <v>668</v>
      </c>
      <c r="B128" s="927" t="s">
        <v>2023</v>
      </c>
      <c r="C128" s="932">
        <f>'Revenues 9-14'!B213</f>
        <v>4620</v>
      </c>
      <c r="D128" s="933" t="str">
        <f>'Revenues 9-14'!A213</f>
        <v>Fed - Spec Education - IDEA - Flow Through</v>
      </c>
      <c r="E128" s="906"/>
      <c r="F128" s="1788">
        <f>SUM('Revenues 9-14'!C213:D213,'Revenues 9-14'!F213:G213)</f>
        <v>566016</v>
      </c>
      <c r="G128" s="930"/>
    </row>
    <row r="129" spans="1:7">
      <c r="A129" s="927" t="s">
        <v>668</v>
      </c>
      <c r="B129" s="927" t="s">
        <v>2024</v>
      </c>
      <c r="C129" s="932">
        <f>'Revenues 9-14'!B214</f>
        <v>4625</v>
      </c>
      <c r="D129" s="933" t="str">
        <f>'Revenues 9-14'!A214</f>
        <v>Fed - Spec Education - IDEA - Room &amp; Board</v>
      </c>
      <c r="E129" s="906"/>
      <c r="F129" s="1788">
        <f>SUM('Revenues 9-14'!C214,'Revenues 9-14'!D214,'Revenues 9-14'!F214,'Revenues 9-14'!G214)</f>
        <v>5672</v>
      </c>
      <c r="G129" s="930"/>
    </row>
    <row r="130" spans="1:7">
      <c r="A130" s="927" t="s">
        <v>668</v>
      </c>
      <c r="B130" s="927" t="s">
        <v>2025</v>
      </c>
      <c r="C130" s="932">
        <f>'Revenues 9-14'!B215</f>
        <v>4630</v>
      </c>
      <c r="D130" s="933" t="str">
        <f>'Revenues 9-14'!A215</f>
        <v>Fed - Spec Education - IDEA - Discretionary</v>
      </c>
      <c r="E130" s="906"/>
      <c r="F130" s="1788">
        <f>SUM('Revenues 9-14'!C215:D215,'Revenues 9-14'!F215:G215)</f>
        <v>0</v>
      </c>
      <c r="G130" s="930">
        <v>6297</v>
      </c>
    </row>
    <row r="131" spans="1:7">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c r="A132" s="927" t="s">
        <v>673</v>
      </c>
      <c r="B132" s="927" t="s">
        <v>2026</v>
      </c>
      <c r="C132" s="932">
        <v>4700</v>
      </c>
      <c r="D132" s="929" t="str">
        <f>'Revenues 9-14'!A221</f>
        <v>Total CTE - Perkins</v>
      </c>
      <c r="E132" s="906"/>
      <c r="F132" s="1788">
        <f>SUM('Revenues 9-14'!C221,'Revenues 9-14'!D221,'Revenues 9-14'!G221)</f>
        <v>0</v>
      </c>
      <c r="G132" s="930">
        <v>6303</v>
      </c>
    </row>
    <row r="133" spans="1:7" s="867" customFormat="1" hidden="1">
      <c r="A133" s="934" t="s">
        <v>206</v>
      </c>
      <c r="B133" s="934" t="s">
        <v>2027</v>
      </c>
      <c r="C133" s="935" t="s">
        <v>207</v>
      </c>
      <c r="D133" s="936" t="str">
        <f>'Revenues 9-14'!A224</f>
        <v>ARRA - Title I - Low Income</v>
      </c>
      <c r="E133" s="937"/>
      <c r="F133" s="1906">
        <f>SUM('Revenues 9-14'!$C$224:$D$224,'Revenues 9-14'!$F$224:$G$224)</f>
        <v>0</v>
      </c>
      <c r="G133" s="905"/>
    </row>
    <row r="134" spans="1:7" s="867" customFormat="1" hidden="1">
      <c r="A134" s="934" t="s">
        <v>206</v>
      </c>
      <c r="B134" s="934" t="s">
        <v>2028</v>
      </c>
      <c r="C134" s="935" t="s">
        <v>208</v>
      </c>
      <c r="D134" s="936" t="str">
        <f>'Revenues 9-14'!A225</f>
        <v>ARRA - Title I - Neglected, Private</v>
      </c>
      <c r="E134" s="937"/>
      <c r="F134" s="1788">
        <f>SUM('Revenues 9-14'!C225:G225,'Revenues 9-14'!J225)</f>
        <v>0</v>
      </c>
      <c r="G134" s="905"/>
    </row>
    <row r="135" spans="1:7" s="867" customFormat="1" hidden="1">
      <c r="A135" s="934" t="s">
        <v>206</v>
      </c>
      <c r="B135" s="934" t="s">
        <v>2029</v>
      </c>
      <c r="C135" s="935" t="s">
        <v>209</v>
      </c>
      <c r="D135" s="936" t="str">
        <f>'Revenues 9-14'!A226</f>
        <v>ARRA - Title I - Delinquent, Private</v>
      </c>
      <c r="E135" s="937"/>
      <c r="F135" s="1788">
        <f>SUM('Revenues 9-14'!C226:G226,'Revenues 9-14'!J226)</f>
        <v>0</v>
      </c>
      <c r="G135" s="905"/>
    </row>
    <row r="136" spans="1:7" s="867" customFormat="1" hidden="1">
      <c r="A136" s="934" t="s">
        <v>206</v>
      </c>
      <c r="B136" s="934" t="s">
        <v>2030</v>
      </c>
      <c r="C136" s="935" t="s">
        <v>210</v>
      </c>
      <c r="D136" s="936" t="str">
        <f>'Revenues 9-14'!A227</f>
        <v>ARRA - Title I - School Improvement (Part A)</v>
      </c>
      <c r="E136" s="937"/>
      <c r="F136" s="1788">
        <f>SUM('Revenues 9-14'!C227:G227,'Revenues 9-14'!J227)</f>
        <v>0</v>
      </c>
      <c r="G136" s="905"/>
    </row>
    <row r="137" spans="1:7" s="867" customFormat="1" hidden="1">
      <c r="A137" s="934" t="s">
        <v>206</v>
      </c>
      <c r="B137" s="934" t="s">
        <v>2031</v>
      </c>
      <c r="C137" s="935" t="s">
        <v>211</v>
      </c>
      <c r="D137" s="936" t="str">
        <f>'Revenues 9-14'!A228</f>
        <v>ARRA - Title I - School Improvement (Section 1003g)</v>
      </c>
      <c r="E137" s="937"/>
      <c r="F137" s="1788">
        <f>SUM('Revenues 9-14'!C228:G228,'Revenues 9-14'!J228)</f>
        <v>0</v>
      </c>
      <c r="G137" s="905"/>
    </row>
    <row r="138" spans="1:7" s="867" customFormat="1" hidden="1">
      <c r="A138" s="934" t="s">
        <v>206</v>
      </c>
      <c r="B138" s="934" t="s">
        <v>2032</v>
      </c>
      <c r="C138" s="935" t="s">
        <v>212</v>
      </c>
      <c r="D138" s="936" t="str">
        <f>'Revenues 9-14'!A229</f>
        <v>ARRA - IDEA - Part B - Preschool</v>
      </c>
      <c r="E138" s="937"/>
      <c r="F138" s="1788">
        <v>0</v>
      </c>
      <c r="G138" s="905"/>
    </row>
    <row r="139" spans="1:7" s="867" customFormat="1" hidden="1">
      <c r="A139" s="934" t="s">
        <v>206</v>
      </c>
      <c r="B139" s="934" t="s">
        <v>2033</v>
      </c>
      <c r="C139" s="935" t="s">
        <v>213</v>
      </c>
      <c r="D139" s="936" t="str">
        <f>'Revenues 9-14'!A230</f>
        <v>ARRA - IDEA - Part B - Flow-Through</v>
      </c>
      <c r="E139" s="937"/>
      <c r="F139" s="1788">
        <f>SUM('Revenues 9-14'!C230:G230,'Revenues 9-14'!J230)</f>
        <v>0</v>
      </c>
      <c r="G139" s="905"/>
    </row>
    <row r="140" spans="1:7" s="867" customFormat="1" hidden="1">
      <c r="A140" s="934" t="s">
        <v>206</v>
      </c>
      <c r="B140" s="934" t="s">
        <v>2034</v>
      </c>
      <c r="C140" s="935" t="s">
        <v>214</v>
      </c>
      <c r="D140" s="936" t="str">
        <f>'Revenues 9-14'!A231</f>
        <v>ARRA - Title IID - Technology-Formula</v>
      </c>
      <c r="E140" s="937"/>
      <c r="F140" s="1788">
        <f>SUM('Revenues 9-14'!C231:G231,'Revenues 9-14'!J231)</f>
        <v>0</v>
      </c>
      <c r="G140" s="905"/>
    </row>
    <row r="141" spans="1:7" s="867" customFormat="1" hidden="1">
      <c r="A141" s="934" t="s">
        <v>206</v>
      </c>
      <c r="B141" s="934" t="s">
        <v>2035</v>
      </c>
      <c r="C141" s="935" t="s">
        <v>216</v>
      </c>
      <c r="D141" s="936" t="str">
        <f>'Revenues 9-14'!A232</f>
        <v>ARRA - Title IID - Technology-Competitive</v>
      </c>
      <c r="E141" s="937"/>
      <c r="F141" s="1788">
        <f>SUM('Revenues 9-14'!C232:G232,'Revenues 9-14'!J232)</f>
        <v>0</v>
      </c>
      <c r="G141" s="905"/>
    </row>
    <row r="142" spans="1:7" s="867" customFormat="1" hidden="1">
      <c r="A142" s="934" t="s">
        <v>668</v>
      </c>
      <c r="B142" s="934" t="s">
        <v>2036</v>
      </c>
      <c r="C142" s="935" t="s">
        <v>217</v>
      </c>
      <c r="D142" s="936" t="str">
        <f>'Revenues 9-14'!A233</f>
        <v>ARRA - McKinney - Vento Homeless Education</v>
      </c>
      <c r="E142" s="937"/>
      <c r="F142" s="1788">
        <f>SUM('Revenues 9-14'!C233:G233,'Revenues 9-14'!J233)</f>
        <v>0</v>
      </c>
      <c r="G142" s="905"/>
    </row>
    <row r="143" spans="1:7" s="867" customFormat="1" hidden="1">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c r="A146" s="934" t="s">
        <v>206</v>
      </c>
      <c r="B146" s="934" t="s">
        <v>2037</v>
      </c>
      <c r="C146" s="935" t="s">
        <v>223</v>
      </c>
      <c r="D146" s="936" t="str">
        <f>'Revenues 9-14'!A240</f>
        <v>Build America Bond Interest Reimbursement</v>
      </c>
      <c r="E146" s="937"/>
      <c r="F146" s="1788">
        <f>SUM('Revenues 9-14'!C240:G240,'Revenues 9-14'!J240)</f>
        <v>0</v>
      </c>
      <c r="G146" s="905"/>
    </row>
    <row r="147" spans="1:7" s="867" customFormat="1" hidden="1">
      <c r="A147" s="934" t="s">
        <v>206</v>
      </c>
      <c r="B147" s="934" t="s">
        <v>2038</v>
      </c>
      <c r="C147" s="935" t="s">
        <v>225</v>
      </c>
      <c r="D147" s="936" t="str">
        <f>'Revenues 9-14'!A242</f>
        <v>Other ARRA Funds - II</v>
      </c>
      <c r="E147" s="937"/>
      <c r="F147" s="1788">
        <f>SUM('Revenues 9-14'!C242:G242,'Revenues 9-14'!J242)</f>
        <v>0</v>
      </c>
      <c r="G147" s="905"/>
    </row>
    <row r="148" spans="1:7" s="867" customFormat="1" hidden="1">
      <c r="A148" s="934" t="s">
        <v>206</v>
      </c>
      <c r="B148" s="934" t="s">
        <v>2039</v>
      </c>
      <c r="C148" s="935" t="s">
        <v>226</v>
      </c>
      <c r="D148" s="936" t="str">
        <f>'Revenues 9-14'!A243</f>
        <v>Other ARRA Funds - III</v>
      </c>
      <c r="E148" s="937"/>
      <c r="F148" s="1788">
        <f>SUM('Revenues 9-14'!C243:G243,'Revenues 9-14'!J243)</f>
        <v>0</v>
      </c>
      <c r="G148" s="905"/>
    </row>
    <row r="149" spans="1:7" s="867" customFormat="1" hidden="1">
      <c r="A149" s="934" t="s">
        <v>206</v>
      </c>
      <c r="B149" s="934" t="s">
        <v>220</v>
      </c>
      <c r="C149" s="935" t="s">
        <v>228</v>
      </c>
      <c r="D149" s="936" t="str">
        <f>'Revenues 9-14'!A244</f>
        <v>Other ARRA Funds - IV</v>
      </c>
      <c r="E149" s="937"/>
      <c r="F149" s="1788">
        <f>SUM('Revenues 9-14'!C244:G244,'Revenues 9-14'!J244)</f>
        <v>0</v>
      </c>
      <c r="G149" s="905"/>
    </row>
    <row r="150" spans="1:7" s="867" customFormat="1" hidden="1">
      <c r="A150" s="934" t="s">
        <v>206</v>
      </c>
      <c r="B150" s="934" t="s">
        <v>222</v>
      </c>
      <c r="C150" s="935" t="s">
        <v>230</v>
      </c>
      <c r="D150" s="936" t="str">
        <f>'Revenues 9-14'!A245</f>
        <v>Other ARRA Funds - V</v>
      </c>
      <c r="E150" s="937"/>
      <c r="F150" s="1788">
        <f>SUM('Revenues 9-14'!C245:G245,'Revenues 9-14'!J245)</f>
        <v>0</v>
      </c>
      <c r="G150" s="905"/>
    </row>
    <row r="151" spans="1:7" s="867" customFormat="1" hidden="1">
      <c r="A151" s="934" t="s">
        <v>206</v>
      </c>
      <c r="B151" s="934" t="s">
        <v>224</v>
      </c>
      <c r="C151" s="935" t="s">
        <v>232</v>
      </c>
      <c r="D151" s="936" t="str">
        <f>'Revenues 9-14'!A246</f>
        <v>ARRA - Early Childhood</v>
      </c>
      <c r="E151" s="937"/>
      <c r="F151" s="1788">
        <v>0</v>
      </c>
      <c r="G151" s="905"/>
    </row>
    <row r="152" spans="1:7" s="867" customFormat="1" hidden="1">
      <c r="A152" s="934" t="s">
        <v>206</v>
      </c>
      <c r="B152" s="934" t="s">
        <v>1417</v>
      </c>
      <c r="C152" s="935" t="s">
        <v>233</v>
      </c>
      <c r="D152" s="936" t="str">
        <f>'Revenues 9-14'!A247</f>
        <v>Other ARRA Funds VII</v>
      </c>
      <c r="E152" s="937"/>
      <c r="F152" s="1788">
        <f>SUM('Revenues 9-14'!C247:G247,'Revenues 9-14'!J247)</f>
        <v>0</v>
      </c>
      <c r="G152" s="905"/>
    </row>
    <row r="153" spans="1:7" s="867" customFormat="1" hidden="1">
      <c r="A153" s="934" t="s">
        <v>206</v>
      </c>
      <c r="B153" s="934" t="s">
        <v>2040</v>
      </c>
      <c r="C153" s="935" t="s">
        <v>234</v>
      </c>
      <c r="D153" s="936" t="str">
        <f>'Revenues 9-14'!A248</f>
        <v>Other ARRA Funds VIII</v>
      </c>
      <c r="E153" s="937"/>
      <c r="F153" s="1788">
        <f>SUM('Revenues 9-14'!C248:G248,'Revenues 9-14'!J248)</f>
        <v>0</v>
      </c>
      <c r="G153" s="905"/>
    </row>
    <row r="154" spans="1:7" s="867" customFormat="1" hidden="1">
      <c r="A154" s="934" t="s">
        <v>206</v>
      </c>
      <c r="B154" s="934" t="s">
        <v>227</v>
      </c>
      <c r="C154" s="935" t="s">
        <v>235</v>
      </c>
      <c r="D154" s="936" t="str">
        <f>'Revenues 9-14'!A249</f>
        <v>Other ARRA Funds IX</v>
      </c>
      <c r="E154" s="937"/>
      <c r="F154" s="1788">
        <f>SUM('Revenues 9-14'!C249:G249,'Revenues 9-14'!J249)</f>
        <v>0</v>
      </c>
      <c r="G154" s="905"/>
    </row>
    <row r="155" spans="1:7" s="867" customFormat="1" hidden="1">
      <c r="A155" s="934" t="s">
        <v>206</v>
      </c>
      <c r="B155" s="934" t="s">
        <v>229</v>
      </c>
      <c r="C155" s="935" t="s">
        <v>236</v>
      </c>
      <c r="D155" s="936" t="str">
        <f>'Revenues 9-14'!A250</f>
        <v>Other ARRA Funds X</v>
      </c>
      <c r="E155" s="937"/>
      <c r="F155" s="1788">
        <f>SUM('Revenues 9-14'!C250:G250,'Revenues 9-14'!J250)</f>
        <v>0</v>
      </c>
      <c r="G155" s="905"/>
    </row>
    <row r="156" spans="1:7" s="867" customFormat="1" hidden="1">
      <c r="A156" s="934" t="s">
        <v>206</v>
      </c>
      <c r="B156" s="934" t="s">
        <v>231</v>
      </c>
      <c r="C156" s="935" t="s">
        <v>237</v>
      </c>
      <c r="D156" s="936" t="str">
        <f>'Revenues 9-14'!A251</f>
        <v>Other ARRA Funds Ed Job Fund Program</v>
      </c>
      <c r="E156" s="937"/>
      <c r="F156" s="1788">
        <f>SUM('Revenues 9-14'!C251:G251,'Revenues 9-14'!J251)</f>
        <v>0</v>
      </c>
      <c r="G156" s="905"/>
    </row>
    <row r="157" spans="1:7" s="867" customFormat="1">
      <c r="A157" s="938" t="s">
        <v>500</v>
      </c>
      <c r="B157" s="939" t="s">
        <v>2041</v>
      </c>
      <c r="C157" s="940" t="s">
        <v>841</v>
      </c>
      <c r="D157" s="941" t="s">
        <v>777</v>
      </c>
      <c r="E157" s="942"/>
      <c r="F157" s="1788">
        <f>SUM(F133:F156)</f>
        <v>0</v>
      </c>
      <c r="G157" s="905"/>
    </row>
    <row r="158" spans="1:7" s="867" customFormat="1">
      <c r="A158" s="938" t="s">
        <v>459</v>
      </c>
      <c r="B158" s="939" t="s">
        <v>2042</v>
      </c>
      <c r="C158" s="940" t="s">
        <v>1427</v>
      </c>
      <c r="D158" s="941" t="s">
        <v>1428</v>
      </c>
      <c r="E158" s="942"/>
      <c r="F158" s="1788">
        <f>SUM('Revenues 9-14'!C253)</f>
        <v>0</v>
      </c>
      <c r="G158" s="905"/>
    </row>
    <row r="159" spans="1:7" s="867" customFormat="1">
      <c r="A159" s="938" t="s">
        <v>500</v>
      </c>
      <c r="B159" s="939" t="s">
        <v>2043</v>
      </c>
      <c r="C159" s="940" t="s">
        <v>1466</v>
      </c>
      <c r="D159" s="941" t="s">
        <v>1467</v>
      </c>
      <c r="E159" s="942"/>
      <c r="F159" s="1788">
        <f>SUM('Revenues 9-14'!C254:H254,'Revenues 9-14'!J254:K254)</f>
        <v>0</v>
      </c>
      <c r="G159" s="905"/>
    </row>
    <row r="160" spans="1:7">
      <c r="A160" s="927" t="s">
        <v>5</v>
      </c>
      <c r="B160" s="927" t="s">
        <v>2044</v>
      </c>
      <c r="C160" s="932">
        <f>'Revenues 9-14'!B255</f>
        <v>4905</v>
      </c>
      <c r="D160" s="929" t="str">
        <f>'Revenues 9-14'!A255</f>
        <v>Title III - Immigrant Education Program (IEP)</v>
      </c>
      <c r="E160" s="906"/>
      <c r="F160" s="1788">
        <f>SUM('Revenues 9-14'!C255,'Revenues 9-14'!F255,'Revenues 9-14'!G255)</f>
        <v>9391</v>
      </c>
      <c r="G160" s="943">
        <v>6306</v>
      </c>
    </row>
    <row r="161" spans="1:7">
      <c r="A161" s="927" t="s">
        <v>5</v>
      </c>
      <c r="B161" s="927" t="s">
        <v>2045</v>
      </c>
      <c r="C161" s="932">
        <f>'Revenues 9-14'!B256</f>
        <v>4909</v>
      </c>
      <c r="D161" s="929" t="str">
        <f>'Revenues 9-14'!A256</f>
        <v>Title III - Language Inst Program - Limited Eng (LIPLEP)</v>
      </c>
      <c r="E161" s="906"/>
      <c r="F161" s="1788">
        <f>SUM('Revenues 9-14'!C256,'Revenues 9-14'!F256,'Revenues 9-14'!G256)</f>
        <v>86399</v>
      </c>
      <c r="G161" s="943"/>
    </row>
    <row r="162" spans="1:7">
      <c r="A162" s="927" t="s">
        <v>668</v>
      </c>
      <c r="B162" s="927" t="s">
        <v>2046</v>
      </c>
      <c r="C162" s="932">
        <f>'Revenues 9-14'!B257</f>
        <v>4920</v>
      </c>
      <c r="D162" s="929" t="str">
        <f>'Revenues 9-14'!A257</f>
        <v>McKinney Education for Homeless Children</v>
      </c>
      <c r="E162" s="906"/>
      <c r="F162" s="1788">
        <f>SUM('Revenues 9-14'!C257,'Revenues 9-14'!D257,'Revenues 9-14'!F257,'Revenues 9-14'!G257)</f>
        <v>0</v>
      </c>
      <c r="G162" s="930"/>
    </row>
    <row r="163" spans="1:7">
      <c r="A163" s="944" t="s">
        <v>668</v>
      </c>
      <c r="B163" s="944" t="s">
        <v>2047</v>
      </c>
      <c r="C163" s="945">
        <f>'Revenues 9-14'!B258</f>
        <v>4930</v>
      </c>
      <c r="D163" s="946" t="str">
        <f>'Revenues 9-14'!A258</f>
        <v>Title II - Eisenhower Professional Development Formula</v>
      </c>
      <c r="E163" s="926"/>
      <c r="F163" s="1906">
        <f>SUM('Revenues 9-14'!C258:D258,'Revenues 9-14'!F258,'Revenues 9-14'!G258)</f>
        <v>0</v>
      </c>
      <c r="G163" s="930"/>
    </row>
    <row r="164" spans="1:7">
      <c r="A164" s="927" t="s">
        <v>668</v>
      </c>
      <c r="B164" s="927" t="s">
        <v>2048</v>
      </c>
      <c r="C164" s="932">
        <f>'Revenues 9-14'!B259</f>
        <v>4932</v>
      </c>
      <c r="D164" s="933" t="str">
        <f>'Revenues 9-14'!A259</f>
        <v>Title II - Teacher Quality</v>
      </c>
      <c r="E164" s="906"/>
      <c r="F164" s="1906">
        <f>SUM('Revenues 9-14'!C259,'Revenues 9-14'!D259,'Revenues 9-14'!F259,'Revenues 9-14'!G259)</f>
        <v>0</v>
      </c>
      <c r="G164" s="930"/>
    </row>
    <row r="165" spans="1:7">
      <c r="A165" s="927" t="s">
        <v>668</v>
      </c>
      <c r="B165" s="927" t="s">
        <v>2049</v>
      </c>
      <c r="C165" s="932">
        <f>'Revenues 9-14'!B260</f>
        <v>4960</v>
      </c>
      <c r="D165" s="929" t="str">
        <f>'Revenues 9-14'!A260</f>
        <v>Federal Charter Schools</v>
      </c>
      <c r="E165" s="906"/>
      <c r="F165" s="1788">
        <f>SUM('Revenues 9-14'!C260:D260,'Revenues 9-14'!F260:G260)</f>
        <v>0</v>
      </c>
      <c r="G165" s="930"/>
    </row>
    <row r="166" spans="1:7">
      <c r="A166" s="927" t="s">
        <v>668</v>
      </c>
      <c r="B166" s="927" t="s">
        <v>1994</v>
      </c>
      <c r="C166" s="932">
        <f>'Revenues 9-14'!B261</f>
        <v>4981</v>
      </c>
      <c r="D166" s="929" t="str">
        <f>'Revenues 9-14'!A261</f>
        <v>State Assessment Grants</v>
      </c>
      <c r="E166" s="906"/>
      <c r="F166" s="1788">
        <f>SUM('Revenues 9-14'!C261:D261,'Revenues 9-14'!F261:G261)</f>
        <v>0</v>
      </c>
      <c r="G166" s="930"/>
    </row>
    <row r="167" spans="1:7">
      <c r="A167" s="927" t="s">
        <v>668</v>
      </c>
      <c r="B167" s="927" t="s">
        <v>1995</v>
      </c>
      <c r="C167" s="932">
        <f>'Revenues 9-14'!B262</f>
        <v>4982</v>
      </c>
      <c r="D167" s="929" t="str">
        <f>'Revenues 9-14'!A262</f>
        <v>Grant for State Assessments and Related Activities</v>
      </c>
      <c r="E167" s="906"/>
      <c r="F167" s="1788">
        <f>SUM('Revenues 9-14'!C262:D262,'Revenues 9-14'!F262:G262)</f>
        <v>0</v>
      </c>
      <c r="G167" s="930"/>
    </row>
    <row r="168" spans="1:7">
      <c r="A168" s="927" t="s">
        <v>668</v>
      </c>
      <c r="B168" s="927" t="s">
        <v>2050</v>
      </c>
      <c r="C168" s="932">
        <f>'Revenues 9-14'!B263</f>
        <v>4991</v>
      </c>
      <c r="D168" s="933" t="str">
        <f>'Revenues 9-14'!A263</f>
        <v>Medicaid Matching Funds - Administrative Outreach</v>
      </c>
      <c r="E168" s="906"/>
      <c r="F168" s="1788">
        <f>SUM('Revenues 9-14'!C263:D263,'Revenues 9-14'!F263:G263)</f>
        <v>87698</v>
      </c>
      <c r="G168" s="947">
        <v>6320</v>
      </c>
    </row>
    <row r="169" spans="1:7">
      <c r="A169" s="927" t="s">
        <v>668</v>
      </c>
      <c r="B169" s="927" t="s">
        <v>2051</v>
      </c>
      <c r="C169" s="932">
        <f>'Revenues 9-14'!B264</f>
        <v>4992</v>
      </c>
      <c r="D169" s="933" t="str">
        <f>'Revenues 9-14'!A264</f>
        <v>Medicaid Matching Funds - Fee-for-Service Program</v>
      </c>
      <c r="E169" s="906"/>
      <c r="F169" s="1788">
        <f>SUM('Revenues 9-14'!C264:D264,'Revenues 9-14'!F264:G264)</f>
        <v>165855</v>
      </c>
      <c r="G169" s="947"/>
    </row>
    <row r="170" spans="1:7">
      <c r="A170" s="948" t="s">
        <v>668</v>
      </c>
      <c r="B170" s="944" t="s">
        <v>2052</v>
      </c>
      <c r="C170" s="945">
        <f>'Revenues 9-14'!B265</f>
        <v>4999</v>
      </c>
      <c r="D170" s="946" t="str">
        <f>'Revenues 9-14'!A265</f>
        <v>Other Restricted Revenue from Federal Sources (Describe &amp; Itemize)</v>
      </c>
      <c r="E170" s="906"/>
      <c r="F170" s="1788">
        <f>SUM('Revenues 9-14'!C265:D265,'Revenues 9-14'!F265:G265)</f>
        <v>0</v>
      </c>
      <c r="G170" s="927"/>
    </row>
    <row r="171" spans="1:7">
      <c r="A171" s="1917" t="s">
        <v>5</v>
      </c>
      <c r="B171" s="1918" t="s">
        <v>1917</v>
      </c>
      <c r="C171" s="1919">
        <v>3100</v>
      </c>
      <c r="D171" s="1920" t="s">
        <v>1919</v>
      </c>
      <c r="E171" s="906"/>
      <c r="F171" s="1905">
        <v>978710</v>
      </c>
      <c r="G171" s="927"/>
    </row>
    <row r="172" spans="1:7">
      <c r="A172" s="1917" t="s">
        <v>664</v>
      </c>
      <c r="B172" s="1918" t="s">
        <v>1917</v>
      </c>
      <c r="C172" s="1919">
        <v>3300</v>
      </c>
      <c r="D172" s="1920" t="s">
        <v>1920</v>
      </c>
      <c r="E172" s="906"/>
      <c r="F172" s="1905">
        <v>392290</v>
      </c>
      <c r="G172" s="927"/>
    </row>
    <row r="173" spans="1:7" ht="6" customHeight="1">
      <c r="A173" s="927"/>
      <c r="B173" s="927"/>
      <c r="C173" s="949"/>
      <c r="D173" s="927"/>
      <c r="E173" s="906"/>
      <c r="F173" s="950"/>
      <c r="G173" s="947"/>
    </row>
    <row r="174" spans="1:7">
      <c r="A174" s="1769"/>
      <c r="B174" s="1783"/>
      <c r="C174" s="1784"/>
      <c r="D174" s="1785" t="s">
        <v>2053</v>
      </c>
      <c r="E174" s="1786" t="s">
        <v>958</v>
      </c>
      <c r="F174" s="1787">
        <f>SUM(F84:F132,F157:F172)</f>
        <v>6353918</v>
      </c>
    </row>
    <row r="175" spans="1:7" ht="12" customHeight="1">
      <c r="A175" s="1769"/>
      <c r="B175" s="1783"/>
      <c r="C175" s="1784"/>
      <c r="D175" s="1785" t="s">
        <v>2054</v>
      </c>
      <c r="E175" s="1786"/>
      <c r="F175" s="1788">
        <f>'PCTC-OEPP 27-28'!F77-F174</f>
        <v>24187860</v>
      </c>
    </row>
    <row r="176" spans="1:7" ht="12" customHeight="1">
      <c r="A176" s="1769"/>
      <c r="B176" s="1783"/>
      <c r="C176" s="1784"/>
      <c r="D176" s="1785" t="s">
        <v>1814</v>
      </c>
      <c r="E176" s="1786"/>
      <c r="F176" s="1788">
        <f>'Cap Outlay Deprec 26'!I18</f>
        <v>1365337.4</v>
      </c>
    </row>
    <row r="177" spans="1:7" ht="12" customHeight="1">
      <c r="A177" s="1769"/>
      <c r="B177" s="1783"/>
      <c r="C177" s="1784"/>
      <c r="D177" s="1785" t="s">
        <v>2055</v>
      </c>
      <c r="E177" s="1786"/>
      <c r="F177" s="1788">
        <f>F175+F176</f>
        <v>25553197.399999999</v>
      </c>
    </row>
    <row r="178" spans="1:7" ht="12" customHeight="1">
      <c r="A178" s="1769"/>
      <c r="B178" s="1789"/>
      <c r="C178" s="1784"/>
      <c r="D178" s="1785" t="str">
        <f>D78</f>
        <v>9 Month ADA from District Average Daily Attendance/Prior General State Aid Inquiry 2018-2019</v>
      </c>
      <c r="E178" s="1786"/>
      <c r="F178" s="1790">
        <f>'PCTC-OEPP 27-28'!F78</f>
        <v>2386.71</v>
      </c>
      <c r="G178" s="930"/>
    </row>
    <row r="179" spans="1:7" ht="12" customHeight="1" thickBot="1">
      <c r="A179" s="1769"/>
      <c r="B179" s="1789"/>
      <c r="C179" s="1784"/>
      <c r="D179" s="1785" t="s">
        <v>2056</v>
      </c>
      <c r="E179" s="1786" t="s">
        <v>1545</v>
      </c>
      <c r="F179" s="1791">
        <f>F177/F178</f>
        <v>10706.452564408746</v>
      </c>
      <c r="G179" s="856">
        <v>6323</v>
      </c>
    </row>
    <row r="180" spans="1:7" ht="12" thickTop="1">
      <c r="B180" s="930"/>
      <c r="C180" s="949"/>
      <c r="D180" s="930"/>
      <c r="E180" s="949"/>
      <c r="F180" s="930"/>
      <c r="G180" s="951">
        <v>6326</v>
      </c>
    </row>
    <row r="181" spans="1:7" ht="12.4" customHeight="1">
      <c r="A181" s="930" t="s">
        <v>1918</v>
      </c>
      <c r="B181" s="930"/>
      <c r="C181" s="949"/>
      <c r="D181" s="930"/>
      <c r="E181" s="949"/>
      <c r="F181" s="930"/>
      <c r="G181" s="930"/>
    </row>
    <row r="182" spans="1:7" s="1921" customFormat="1" ht="12.4" customHeight="1">
      <c r="A182" s="1921" t="s">
        <v>1991</v>
      </c>
      <c r="B182" s="1922"/>
      <c r="C182" s="1923"/>
      <c r="D182" s="1922"/>
      <c r="E182" s="1923"/>
      <c r="F182" s="1922"/>
      <c r="G182" s="1922"/>
    </row>
    <row r="183" spans="1:7" s="1921" customFormat="1" ht="12.4" customHeight="1">
      <c r="A183" s="1924" t="s">
        <v>1993</v>
      </c>
      <c r="C183" s="1923"/>
      <c r="D183" s="1922"/>
      <c r="E183" s="1923"/>
      <c r="F183" s="1922"/>
      <c r="G183" s="1922"/>
    </row>
    <row r="184" spans="1:7" ht="12" customHeight="1">
      <c r="C184" s="949"/>
      <c r="D184" s="930"/>
      <c r="E184" s="949"/>
      <c r="F184" s="930"/>
      <c r="G184" s="930"/>
    </row>
    <row r="185" spans="1:7">
      <c r="A185" s="1925" t="s">
        <v>1922</v>
      </c>
      <c r="B185" s="1926" t="s">
        <v>1921</v>
      </c>
      <c r="C185" s="949"/>
      <c r="D185" s="930"/>
      <c r="E185" s="949"/>
      <c r="F185" s="930"/>
      <c r="G185" s="930"/>
    </row>
    <row r="186" spans="1:7">
      <c r="A186" s="930"/>
      <c r="B186" s="930"/>
      <c r="C186" s="949"/>
      <c r="D186" s="930"/>
      <c r="E186" s="949"/>
      <c r="F186" s="930"/>
      <c r="G186" s="930"/>
    </row>
    <row r="187" spans="1:7">
      <c r="A187" s="930"/>
      <c r="B187" s="930"/>
      <c r="C187" s="949"/>
      <c r="D187" s="930"/>
      <c r="E187" s="949"/>
      <c r="F187" s="930"/>
      <c r="G187" s="930"/>
    </row>
    <row r="188" spans="1:7">
      <c r="A188" s="930"/>
      <c r="B188" s="930"/>
      <c r="C188" s="949"/>
      <c r="D188" s="930"/>
      <c r="E188" s="949"/>
      <c r="F188" s="930"/>
      <c r="G188" s="930"/>
    </row>
    <row r="189" spans="1:7">
      <c r="A189" s="930"/>
      <c r="B189" s="930"/>
      <c r="C189" s="949"/>
      <c r="D189" s="930"/>
      <c r="E189" s="949"/>
      <c r="F189" s="930"/>
      <c r="G189" s="930"/>
    </row>
    <row r="190" spans="1:7">
      <c r="A190" s="930"/>
      <c r="B190" s="930"/>
      <c r="C190" s="949"/>
      <c r="D190" s="930"/>
      <c r="E190" s="949"/>
      <c r="F190" s="930"/>
      <c r="G190" s="930"/>
    </row>
    <row r="191" spans="1:7">
      <c r="A191" s="930"/>
      <c r="B191" s="930"/>
      <c r="C191" s="949"/>
      <c r="D191" s="930"/>
      <c r="E191" s="949"/>
      <c r="F191" s="930"/>
      <c r="G191" s="930"/>
    </row>
    <row r="192" spans="1:7">
      <c r="A192" s="930"/>
      <c r="B192" s="930"/>
      <c r="C192" s="949"/>
      <c r="D192" s="930"/>
      <c r="E192" s="949"/>
      <c r="F192" s="930"/>
      <c r="G192" s="930"/>
    </row>
    <row r="193" spans="1:7">
      <c r="A193" s="930"/>
      <c r="B193" s="930"/>
      <c r="C193" s="949"/>
      <c r="D193" s="930"/>
      <c r="E193" s="949"/>
      <c r="F193" s="930"/>
      <c r="G193" s="930"/>
    </row>
    <row r="194" spans="1:7">
      <c r="A194" s="930"/>
      <c r="B194" s="930"/>
      <c r="C194" s="949"/>
      <c r="D194" s="930"/>
      <c r="E194" s="949"/>
      <c r="F194" s="930"/>
      <c r="G194" s="930"/>
    </row>
    <row r="195" spans="1:7">
      <c r="A195" s="930"/>
      <c r="B195" s="930"/>
      <c r="C195" s="949"/>
      <c r="D195" s="930"/>
      <c r="E195" s="949"/>
      <c r="F195" s="930"/>
      <c r="G195" s="930"/>
    </row>
    <row r="196" spans="1:7">
      <c r="A196" s="930"/>
      <c r="B196" s="930"/>
      <c r="C196" s="949"/>
      <c r="D196" s="930"/>
      <c r="E196" s="949"/>
      <c r="F196" s="930"/>
      <c r="G196" s="930"/>
    </row>
    <row r="197" spans="1:7">
      <c r="A197" s="930"/>
      <c r="B197" s="930"/>
      <c r="C197" s="949"/>
      <c r="D197" s="930"/>
      <c r="E197" s="949"/>
      <c r="F197" s="930"/>
      <c r="G197" s="930"/>
    </row>
    <row r="198" spans="1:7">
      <c r="A198" s="930"/>
      <c r="B198" s="930"/>
      <c r="C198" s="949"/>
      <c r="D198" s="930"/>
      <c r="E198" s="949"/>
      <c r="F198" s="930"/>
      <c r="G198" s="930"/>
    </row>
    <row r="199" spans="1:7">
      <c r="A199" s="930"/>
      <c r="B199" s="930"/>
      <c r="C199" s="949"/>
      <c r="D199" s="930"/>
      <c r="E199" s="949"/>
      <c r="F199" s="930"/>
      <c r="G199" s="930"/>
    </row>
    <row r="200" spans="1:7">
      <c r="A200" s="930"/>
      <c r="B200" s="930"/>
      <c r="C200" s="949"/>
      <c r="D200" s="930"/>
      <c r="E200" s="949"/>
      <c r="F200" s="930"/>
      <c r="G200" s="930"/>
    </row>
    <row r="201" spans="1:7">
      <c r="A201" s="930"/>
      <c r="B201" s="930"/>
      <c r="C201" s="949"/>
      <c r="D201" s="930"/>
      <c r="E201" s="949"/>
      <c r="F201" s="930"/>
      <c r="G201" s="930"/>
    </row>
    <row r="202" spans="1:7">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0" zoomScaleNormal="100" workbookViewId="0">
      <selection activeCell="B49" sqref="B49"/>
    </sheetView>
  </sheetViews>
  <sheetFormatPr defaultColWidth="9.140625" defaultRowHeight="1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c r="A1" s="1658" t="s">
        <v>1829</v>
      </c>
      <c r="B1" s="1659"/>
      <c r="C1" s="1659"/>
      <c r="D1" s="1659"/>
      <c r="E1" s="1659"/>
      <c r="F1" s="1659"/>
      <c r="G1" s="1659"/>
    </row>
    <row r="2" spans="1:7">
      <c r="A2" s="1656"/>
      <c r="B2" s="1656"/>
      <c r="C2" s="1657" t="s">
        <v>979</v>
      </c>
      <c r="D2" s="1656"/>
      <c r="E2" s="1656"/>
      <c r="F2" s="1656"/>
      <c r="G2" s="1656"/>
    </row>
    <row r="3" spans="1:7" ht="5.25" customHeight="1">
      <c r="A3" s="1544"/>
      <c r="B3" s="1544"/>
      <c r="C3" s="1544"/>
      <c r="D3" s="1544"/>
      <c r="E3" s="1544"/>
      <c r="F3" s="1544"/>
      <c r="G3" s="1544"/>
    </row>
    <row r="4" spans="1:7" ht="18.75" customHeight="1">
      <c r="A4" s="2327" t="s">
        <v>1815</v>
      </c>
      <c r="B4" s="2328"/>
      <c r="C4" s="2328"/>
      <c r="D4" s="2328"/>
      <c r="E4" s="2328"/>
      <c r="F4" s="2328"/>
      <c r="G4" s="2329"/>
    </row>
    <row r="5" spans="1:7">
      <c r="A5" s="2330"/>
      <c r="B5" s="2331"/>
      <c r="C5" s="2331"/>
      <c r="D5" s="2331"/>
      <c r="E5" s="2331"/>
      <c r="F5" s="2331"/>
      <c r="G5" s="2332"/>
    </row>
    <row r="6" spans="1:7" ht="18.75">
      <c r="A6" s="1533" t="s">
        <v>1816</v>
      </c>
      <c r="B6" s="1534"/>
      <c r="C6" s="1534"/>
      <c r="D6" s="1534"/>
      <c r="E6" s="1534"/>
      <c r="F6" s="1534"/>
      <c r="G6" s="1535"/>
    </row>
    <row r="7" spans="1:7" ht="31.15" customHeight="1">
      <c r="A7" s="2333" t="s">
        <v>1929</v>
      </c>
      <c r="B7" s="2334"/>
      <c r="C7" s="2334"/>
      <c r="D7" s="2334"/>
      <c r="E7" s="2334"/>
      <c r="F7" s="2334"/>
      <c r="G7" s="2335"/>
    </row>
    <row r="8" spans="1:7" ht="15.75" customHeight="1">
      <c r="A8" s="2336" t="s">
        <v>1904</v>
      </c>
      <c r="B8" s="2337"/>
      <c r="C8" s="2337"/>
      <c r="D8" s="2337"/>
      <c r="E8" s="2337"/>
      <c r="F8" s="2337"/>
      <c r="G8" s="2338"/>
    </row>
    <row r="9" spans="1:7" ht="35.25" customHeight="1">
      <c r="A9" s="2333" t="s">
        <v>1932</v>
      </c>
      <c r="B9" s="2334"/>
      <c r="C9" s="2334"/>
      <c r="D9" s="2334"/>
      <c r="E9" s="2334"/>
      <c r="F9" s="2334"/>
      <c r="G9" s="2335"/>
    </row>
    <row r="10" spans="1:7" ht="15" customHeight="1">
      <c r="A10" s="1536" t="s">
        <v>1817</v>
      </c>
      <c r="B10" s="1537"/>
      <c r="C10" s="1537"/>
      <c r="D10" s="1537"/>
      <c r="E10" s="1537"/>
      <c r="F10" s="1537"/>
      <c r="G10" s="1538"/>
    </row>
    <row r="11" spans="1:7" ht="17.25" customHeight="1">
      <c r="A11" s="2333" t="s">
        <v>1931</v>
      </c>
      <c r="B11" s="2334"/>
      <c r="C11" s="2334"/>
      <c r="D11" s="2334"/>
      <c r="E11" s="2334"/>
      <c r="F11" s="2334"/>
      <c r="G11" s="2335"/>
    </row>
    <row r="12" spans="1:7" ht="15" customHeight="1">
      <c r="A12" s="1536" t="s">
        <v>1822</v>
      </c>
      <c r="B12" s="1537"/>
      <c r="C12" s="1537"/>
      <c r="D12" s="1537"/>
      <c r="E12" s="1537"/>
      <c r="F12" s="1537"/>
      <c r="G12" s="1538"/>
    </row>
    <row r="13" spans="1:7" ht="32.25" customHeight="1">
      <c r="A13" s="2324" t="s">
        <v>1973</v>
      </c>
      <c r="B13" s="2325"/>
      <c r="C13" s="2325"/>
      <c r="D13" s="2325"/>
      <c r="E13" s="2325"/>
      <c r="F13" s="2325"/>
      <c r="G13" s="2326"/>
    </row>
    <row r="14" spans="1:7">
      <c r="A14" s="1660" t="s">
        <v>1830</v>
      </c>
      <c r="B14" s="1661"/>
      <c r="C14" s="1661"/>
      <c r="D14" s="1661"/>
      <c r="E14" s="1661"/>
      <c r="F14" s="1661"/>
      <c r="G14" s="1662"/>
    </row>
    <row r="15" spans="1:7" ht="61.5" customHeight="1">
      <c r="A15" s="1545" t="s">
        <v>1823</v>
      </c>
      <c r="B15" s="1545" t="s">
        <v>1824</v>
      </c>
      <c r="C15" s="1545" t="s">
        <v>1825</v>
      </c>
      <c r="D15" s="1546" t="s">
        <v>1826</v>
      </c>
      <c r="E15" s="1546" t="s">
        <v>1818</v>
      </c>
      <c r="F15" s="1546" t="s">
        <v>1827</v>
      </c>
      <c r="G15" s="1546" t="s">
        <v>1828</v>
      </c>
    </row>
    <row r="16" spans="1:7">
      <c r="A16" s="1647" t="s">
        <v>1831</v>
      </c>
      <c r="B16" s="1648" t="s">
        <v>1821</v>
      </c>
      <c r="C16" s="1649" t="s">
        <v>1819</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c r="A17" s="1929"/>
      <c r="B17" s="1934"/>
      <c r="C17" s="1655"/>
      <c r="D17" s="1843">
        <v>0.1</v>
      </c>
      <c r="E17" s="1539">
        <f t="shared" ref="E17:E141" si="0">IF(D17&lt;=25000,D17,IF(D17&gt;25000,25000,0))</f>
        <v>0.1</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2">
        <f>IF(F17=0,0,D17-F17)</f>
        <v>0</v>
      </c>
      <c r="H17" s="1646"/>
    </row>
    <row r="18" spans="1:8">
      <c r="A18" s="1652"/>
      <c r="B18" s="1934"/>
      <c r="C18" s="1655"/>
      <c r="D18" s="1843"/>
      <c r="E18" s="1539">
        <f t="shared" ref="E18:E140" si="2">IF(D18&lt;=25000,D18,IF(D18&gt;25000,25000,0))</f>
        <v>0</v>
      </c>
      <c r="F18" s="1932">
        <f t="shared" si="1"/>
        <v>0</v>
      </c>
      <c r="G18" s="1792">
        <f t="shared" ref="G18:G140" si="3">IF(F18=0,0,D18-F18)</f>
        <v>0</v>
      </c>
    </row>
    <row r="19" spans="1:8">
      <c r="A19" s="1652"/>
      <c r="B19" s="1934"/>
      <c r="C19" s="1655"/>
      <c r="D19" s="1843"/>
      <c r="E19" s="1539">
        <f t="shared" si="2"/>
        <v>0</v>
      </c>
      <c r="F19" s="1932">
        <f t="shared" si="1"/>
        <v>0</v>
      </c>
      <c r="G19" s="1792">
        <f t="shared" si="3"/>
        <v>0</v>
      </c>
    </row>
    <row r="20" spans="1:8">
      <c r="A20" s="1652"/>
      <c r="B20" s="1934"/>
      <c r="C20" s="1655"/>
      <c r="D20" s="1843"/>
      <c r="E20" s="1539">
        <f t="shared" si="2"/>
        <v>0</v>
      </c>
      <c r="F20" s="1932">
        <f t="shared" si="1"/>
        <v>0</v>
      </c>
      <c r="G20" s="1792">
        <f t="shared" si="3"/>
        <v>0</v>
      </c>
    </row>
    <row r="21" spans="1:8">
      <c r="A21" s="1652"/>
      <c r="B21" s="1934"/>
      <c r="C21" s="1655"/>
      <c r="D21" s="1843"/>
      <c r="E21" s="1539">
        <f t="shared" si="2"/>
        <v>0</v>
      </c>
      <c r="F21" s="1932">
        <f t="shared" si="1"/>
        <v>0</v>
      </c>
      <c r="G21" s="1792">
        <f t="shared" si="3"/>
        <v>0</v>
      </c>
    </row>
    <row r="22" spans="1:8">
      <c r="A22" s="1652"/>
      <c r="B22" s="1934"/>
      <c r="C22" s="1655"/>
      <c r="D22" s="1843"/>
      <c r="E22" s="1539">
        <f t="shared" si="2"/>
        <v>0</v>
      </c>
      <c r="F22" s="1932">
        <f t="shared" si="1"/>
        <v>0</v>
      </c>
      <c r="G22" s="1792">
        <f t="shared" si="3"/>
        <v>0</v>
      </c>
    </row>
    <row r="23" spans="1:8">
      <c r="A23" s="1652"/>
      <c r="B23" s="1934"/>
      <c r="C23" s="1655"/>
      <c r="D23" s="1843"/>
      <c r="E23" s="1539">
        <f t="shared" si="2"/>
        <v>0</v>
      </c>
      <c r="F23" s="1932">
        <f t="shared" si="1"/>
        <v>0</v>
      </c>
      <c r="G23" s="1792">
        <f t="shared" si="3"/>
        <v>0</v>
      </c>
    </row>
    <row r="24" spans="1:8">
      <c r="A24" s="1652"/>
      <c r="B24" s="1934"/>
      <c r="C24" s="1655"/>
      <c r="D24" s="1843"/>
      <c r="E24" s="1539">
        <f t="shared" si="2"/>
        <v>0</v>
      </c>
      <c r="F24" s="1932">
        <f t="shared" si="1"/>
        <v>0</v>
      </c>
      <c r="G24" s="1792">
        <f t="shared" si="3"/>
        <v>0</v>
      </c>
    </row>
    <row r="25" spans="1:8">
      <c r="A25" s="1652"/>
      <c r="B25" s="1934"/>
      <c r="C25" s="1655"/>
      <c r="D25" s="1843"/>
      <c r="E25" s="1539">
        <f t="shared" si="2"/>
        <v>0</v>
      </c>
      <c r="F25" s="1932">
        <f t="shared" si="1"/>
        <v>0</v>
      </c>
      <c r="G25" s="1792">
        <f t="shared" si="3"/>
        <v>0</v>
      </c>
    </row>
    <row r="26" spans="1:8">
      <c r="A26" s="1652"/>
      <c r="B26" s="1934"/>
      <c r="C26" s="1653"/>
      <c r="D26" s="1843"/>
      <c r="E26" s="1539">
        <f t="shared" si="2"/>
        <v>0</v>
      </c>
      <c r="F26" s="1932">
        <f t="shared" si="1"/>
        <v>0</v>
      </c>
      <c r="G26" s="1792">
        <f t="shared" si="3"/>
        <v>0</v>
      </c>
    </row>
    <row r="27" spans="1:8">
      <c r="A27" s="1652"/>
      <c r="B27" s="1934"/>
      <c r="C27" s="1653"/>
      <c r="D27" s="1843"/>
      <c r="E27" s="1539">
        <f t="shared" si="2"/>
        <v>0</v>
      </c>
      <c r="F27" s="1932">
        <f t="shared" si="1"/>
        <v>0</v>
      </c>
      <c r="G27" s="1792">
        <f t="shared" si="3"/>
        <v>0</v>
      </c>
    </row>
    <row r="28" spans="1:8">
      <c r="A28" s="1652"/>
      <c r="B28" s="1934"/>
      <c r="C28" s="1653"/>
      <c r="D28" s="1843"/>
      <c r="E28" s="1539">
        <f t="shared" si="2"/>
        <v>0</v>
      </c>
      <c r="F28" s="1932">
        <f t="shared" si="1"/>
        <v>0</v>
      </c>
      <c r="G28" s="1792">
        <f t="shared" si="3"/>
        <v>0</v>
      </c>
    </row>
    <row r="29" spans="1:8">
      <c r="A29" s="1652"/>
      <c r="B29" s="1934"/>
      <c r="C29" s="1653"/>
      <c r="D29" s="1843"/>
      <c r="E29" s="1539">
        <f t="shared" si="2"/>
        <v>0</v>
      </c>
      <c r="F29" s="1932">
        <f t="shared" si="1"/>
        <v>0</v>
      </c>
      <c r="G29" s="1792">
        <f t="shared" si="3"/>
        <v>0</v>
      </c>
    </row>
    <row r="30" spans="1:8">
      <c r="A30" s="1652"/>
      <c r="B30" s="1934"/>
      <c r="C30" s="1653"/>
      <c r="D30" s="1843"/>
      <c r="E30" s="1539">
        <f t="shared" si="2"/>
        <v>0</v>
      </c>
      <c r="F30" s="1932">
        <f t="shared" si="1"/>
        <v>0</v>
      </c>
      <c r="G30" s="1792">
        <f t="shared" si="3"/>
        <v>0</v>
      </c>
    </row>
    <row r="31" spans="1:8">
      <c r="A31" s="1652"/>
      <c r="B31" s="1934"/>
      <c r="C31" s="1653"/>
      <c r="D31" s="1843"/>
      <c r="E31" s="1539">
        <f t="shared" si="2"/>
        <v>0</v>
      </c>
      <c r="F31" s="1932">
        <f t="shared" si="1"/>
        <v>0</v>
      </c>
      <c r="G31" s="1792">
        <f t="shared" si="3"/>
        <v>0</v>
      </c>
    </row>
    <row r="32" spans="1:8">
      <c r="A32" s="1652"/>
      <c r="B32" s="1934"/>
      <c r="C32" s="1653"/>
      <c r="D32" s="1843"/>
      <c r="E32" s="1539">
        <f t="shared" si="2"/>
        <v>0</v>
      </c>
      <c r="F32" s="1932">
        <f t="shared" si="1"/>
        <v>0</v>
      </c>
      <c r="G32" s="1792">
        <f t="shared" si="3"/>
        <v>0</v>
      </c>
    </row>
    <row r="33" spans="1:7">
      <c r="A33" s="1652"/>
      <c r="B33" s="1934"/>
      <c r="C33" s="1653"/>
      <c r="D33" s="1843"/>
      <c r="E33" s="1539">
        <f t="shared" si="2"/>
        <v>0</v>
      </c>
      <c r="F33" s="1932">
        <f t="shared" si="1"/>
        <v>0</v>
      </c>
      <c r="G33" s="1792">
        <f t="shared" si="3"/>
        <v>0</v>
      </c>
    </row>
    <row r="34" spans="1:7">
      <c r="A34" s="1652"/>
      <c r="B34" s="1934"/>
      <c r="C34" s="1653"/>
      <c r="D34" s="1843"/>
      <c r="E34" s="1539">
        <f t="shared" si="2"/>
        <v>0</v>
      </c>
      <c r="F34" s="1932">
        <f t="shared" si="1"/>
        <v>0</v>
      </c>
      <c r="G34" s="1792">
        <f t="shared" si="3"/>
        <v>0</v>
      </c>
    </row>
    <row r="35" spans="1:7">
      <c r="A35" s="1652"/>
      <c r="B35" s="1934"/>
      <c r="C35" s="1653"/>
      <c r="D35" s="1843"/>
      <c r="E35" s="1539">
        <f t="shared" si="2"/>
        <v>0</v>
      </c>
      <c r="F35" s="1932">
        <f t="shared" si="1"/>
        <v>0</v>
      </c>
      <c r="G35" s="1792">
        <f t="shared" si="3"/>
        <v>0</v>
      </c>
    </row>
    <row r="36" spans="1:7">
      <c r="A36" s="1652"/>
      <c r="B36" s="1934"/>
      <c r="C36" s="1653"/>
      <c r="D36" s="1843"/>
      <c r="E36" s="1539">
        <f t="shared" si="2"/>
        <v>0</v>
      </c>
      <c r="F36" s="1932">
        <f t="shared" si="1"/>
        <v>0</v>
      </c>
      <c r="G36" s="1792">
        <f t="shared" si="3"/>
        <v>0</v>
      </c>
    </row>
    <row r="37" spans="1:7">
      <c r="A37" s="1652"/>
      <c r="B37" s="1934"/>
      <c r="C37" s="1653"/>
      <c r="D37" s="1843"/>
      <c r="E37" s="1539">
        <f t="shared" si="2"/>
        <v>0</v>
      </c>
      <c r="F37" s="1932">
        <f t="shared" si="1"/>
        <v>0</v>
      </c>
      <c r="G37" s="1792">
        <f t="shared" si="3"/>
        <v>0</v>
      </c>
    </row>
    <row r="38" spans="1:7">
      <c r="A38" s="1652"/>
      <c r="B38" s="1935"/>
      <c r="C38" s="1653"/>
      <c r="D38" s="1843"/>
      <c r="E38" s="1539">
        <f t="shared" si="2"/>
        <v>0</v>
      </c>
      <c r="F38" s="1932">
        <f t="shared" si="1"/>
        <v>0</v>
      </c>
      <c r="G38" s="1792">
        <f t="shared" si="3"/>
        <v>0</v>
      </c>
    </row>
    <row r="39" spans="1:7">
      <c r="A39" s="1652"/>
      <c r="B39" s="1935"/>
      <c r="C39" s="1653"/>
      <c r="D39" s="1843"/>
      <c r="E39" s="1539">
        <f t="shared" si="2"/>
        <v>0</v>
      </c>
      <c r="F39" s="1932">
        <f t="shared" si="1"/>
        <v>0</v>
      </c>
      <c r="G39" s="1792">
        <f t="shared" si="3"/>
        <v>0</v>
      </c>
    </row>
    <row r="40" spans="1:7">
      <c r="A40" s="1652"/>
      <c r="B40" s="1935"/>
      <c r="C40" s="1653"/>
      <c r="D40" s="1843"/>
      <c r="E40" s="1539">
        <f t="shared" si="2"/>
        <v>0</v>
      </c>
      <c r="F40" s="1932">
        <f t="shared" si="1"/>
        <v>0</v>
      </c>
      <c r="G40" s="1792">
        <f t="shared" si="3"/>
        <v>0</v>
      </c>
    </row>
    <row r="41" spans="1:7">
      <c r="A41" s="1652"/>
      <c r="B41" s="1935"/>
      <c r="C41" s="1653"/>
      <c r="D41" s="1843"/>
      <c r="E41" s="1539">
        <f t="shared" si="2"/>
        <v>0</v>
      </c>
      <c r="F41" s="1932">
        <f t="shared" si="1"/>
        <v>0</v>
      </c>
      <c r="G41" s="1792">
        <f t="shared" si="3"/>
        <v>0</v>
      </c>
    </row>
    <row r="42" spans="1:7">
      <c r="A42" s="1652"/>
      <c r="B42" s="1935"/>
      <c r="C42" s="1653"/>
      <c r="D42" s="1843"/>
      <c r="E42" s="1539">
        <f t="shared" si="2"/>
        <v>0</v>
      </c>
      <c r="F42" s="1932">
        <f t="shared" si="1"/>
        <v>0</v>
      </c>
      <c r="G42" s="1792">
        <f t="shared" si="3"/>
        <v>0</v>
      </c>
    </row>
    <row r="43" spans="1:7">
      <c r="A43" s="1652"/>
      <c r="B43" s="1935"/>
      <c r="C43" s="1653"/>
      <c r="D43" s="1843"/>
      <c r="E43" s="1539">
        <f t="shared" si="2"/>
        <v>0</v>
      </c>
      <c r="F43" s="1932">
        <f t="shared" si="1"/>
        <v>0</v>
      </c>
      <c r="G43" s="1792">
        <f t="shared" si="3"/>
        <v>0</v>
      </c>
    </row>
    <row r="44" spans="1:7">
      <c r="A44" s="1652"/>
      <c r="B44" s="1935"/>
      <c r="C44" s="1653"/>
      <c r="D44" s="1843"/>
      <c r="E44" s="1539">
        <f t="shared" si="2"/>
        <v>0</v>
      </c>
      <c r="F44" s="1932">
        <f t="shared" si="1"/>
        <v>0</v>
      </c>
      <c r="G44" s="1792">
        <f t="shared" si="3"/>
        <v>0</v>
      </c>
    </row>
    <row r="45" spans="1:7">
      <c r="A45" s="1652"/>
      <c r="B45" s="1935"/>
      <c r="C45" s="1653"/>
      <c r="D45" s="1843"/>
      <c r="E45" s="1539">
        <f t="shared" si="2"/>
        <v>0</v>
      </c>
      <c r="F45" s="1932">
        <f t="shared" si="1"/>
        <v>0</v>
      </c>
      <c r="G45" s="1792">
        <f t="shared" si="3"/>
        <v>0</v>
      </c>
    </row>
    <row r="46" spans="1:7">
      <c r="A46" s="1652"/>
      <c r="B46" s="1666"/>
      <c r="C46" s="1653"/>
      <c r="D46" s="1843"/>
      <c r="E46" s="1539">
        <f t="shared" si="2"/>
        <v>0</v>
      </c>
      <c r="F46" s="1932">
        <f t="shared" si="1"/>
        <v>0</v>
      </c>
      <c r="G46" s="1792">
        <f t="shared" si="3"/>
        <v>0</v>
      </c>
    </row>
    <row r="47" spans="1:7">
      <c r="A47" s="1652"/>
      <c r="B47" s="1666"/>
      <c r="C47" s="1653"/>
      <c r="D47" s="1843"/>
      <c r="E47" s="1539">
        <f t="shared" si="2"/>
        <v>0</v>
      </c>
      <c r="F47" s="1932">
        <f t="shared" si="1"/>
        <v>0</v>
      </c>
      <c r="G47" s="1792">
        <f t="shared" si="3"/>
        <v>0</v>
      </c>
    </row>
    <row r="48" spans="1:7">
      <c r="A48" s="1652"/>
      <c r="B48" s="1666"/>
      <c r="C48" s="1653"/>
      <c r="D48" s="1843"/>
      <c r="E48" s="1539">
        <f t="shared" si="2"/>
        <v>0</v>
      </c>
      <c r="F48" s="1932">
        <f t="shared" si="1"/>
        <v>0</v>
      </c>
      <c r="G48" s="1792">
        <f t="shared" si="3"/>
        <v>0</v>
      </c>
    </row>
    <row r="49" spans="1:7">
      <c r="A49" s="1652"/>
      <c r="B49" s="1666"/>
      <c r="C49" s="1653"/>
      <c r="D49" s="1843"/>
      <c r="E49" s="1539">
        <f t="shared" si="2"/>
        <v>0</v>
      </c>
      <c r="F49" s="1932">
        <f t="shared" si="1"/>
        <v>0</v>
      </c>
      <c r="G49" s="1792">
        <f t="shared" si="3"/>
        <v>0</v>
      </c>
    </row>
    <row r="50" spans="1:7">
      <c r="A50" s="1652"/>
      <c r="B50" s="1666"/>
      <c r="C50" s="1653"/>
      <c r="D50" s="1843"/>
      <c r="E50" s="1539">
        <f t="shared" si="2"/>
        <v>0</v>
      </c>
      <c r="F50" s="1932">
        <f t="shared" si="1"/>
        <v>0</v>
      </c>
      <c r="G50" s="1792">
        <f t="shared" si="3"/>
        <v>0</v>
      </c>
    </row>
    <row r="51" spans="1:7">
      <c r="A51" s="1652"/>
      <c r="B51" s="1666"/>
      <c r="C51" s="1653"/>
      <c r="D51" s="1843"/>
      <c r="E51" s="1539">
        <f t="shared" si="2"/>
        <v>0</v>
      </c>
      <c r="F51" s="1932">
        <f t="shared" si="1"/>
        <v>0</v>
      </c>
      <c r="G51" s="1792">
        <f t="shared" si="3"/>
        <v>0</v>
      </c>
    </row>
    <row r="52" spans="1:7">
      <c r="A52" s="1652"/>
      <c r="B52" s="1666"/>
      <c r="C52" s="1653"/>
      <c r="D52" s="1843"/>
      <c r="E52" s="1539">
        <f t="shared" si="2"/>
        <v>0</v>
      </c>
      <c r="F52" s="1932">
        <f t="shared" si="1"/>
        <v>0</v>
      </c>
      <c r="G52" s="1792">
        <f t="shared" si="3"/>
        <v>0</v>
      </c>
    </row>
    <row r="53" spans="1:7">
      <c r="A53" s="1652"/>
      <c r="B53" s="1666"/>
      <c r="C53" s="1653"/>
      <c r="D53" s="1843"/>
      <c r="E53" s="1539">
        <f t="shared" si="2"/>
        <v>0</v>
      </c>
      <c r="F53" s="1932">
        <f t="shared" si="1"/>
        <v>0</v>
      </c>
      <c r="G53" s="1792">
        <f t="shared" si="3"/>
        <v>0</v>
      </c>
    </row>
    <row r="54" spans="1:7">
      <c r="A54" s="1652"/>
      <c r="B54" s="1666"/>
      <c r="C54" s="1653"/>
      <c r="D54" s="1843"/>
      <c r="E54" s="1539">
        <f t="shared" si="2"/>
        <v>0</v>
      </c>
      <c r="F54" s="1932">
        <f t="shared" si="1"/>
        <v>0</v>
      </c>
      <c r="G54" s="1792">
        <f t="shared" si="3"/>
        <v>0</v>
      </c>
    </row>
    <row r="55" spans="1:7">
      <c r="A55" s="1652"/>
      <c r="B55" s="1666"/>
      <c r="C55" s="1653"/>
      <c r="D55" s="1843"/>
      <c r="E55" s="1539">
        <f t="shared" si="2"/>
        <v>0</v>
      </c>
      <c r="F55" s="1932">
        <f t="shared" si="1"/>
        <v>0</v>
      </c>
      <c r="G55" s="1792">
        <f t="shared" si="3"/>
        <v>0</v>
      </c>
    </row>
    <row r="56" spans="1:7">
      <c r="A56" s="1652"/>
      <c r="B56" s="1666"/>
      <c r="C56" s="1653"/>
      <c r="D56" s="1843"/>
      <c r="E56" s="1539">
        <f t="shared" si="2"/>
        <v>0</v>
      </c>
      <c r="F56" s="1932">
        <f t="shared" si="1"/>
        <v>0</v>
      </c>
      <c r="G56" s="1792">
        <f t="shared" si="3"/>
        <v>0</v>
      </c>
    </row>
    <row r="57" spans="1:7">
      <c r="A57" s="1652"/>
      <c r="B57" s="1666"/>
      <c r="C57" s="1653"/>
      <c r="D57" s="1843"/>
      <c r="E57" s="1539">
        <f t="shared" si="2"/>
        <v>0</v>
      </c>
      <c r="F57" s="1932">
        <f t="shared" si="1"/>
        <v>0</v>
      </c>
      <c r="G57" s="1792">
        <f t="shared" si="3"/>
        <v>0</v>
      </c>
    </row>
    <row r="58" spans="1:7">
      <c r="A58" s="1652"/>
      <c r="B58" s="1666"/>
      <c r="C58" s="1653"/>
      <c r="D58" s="1843"/>
      <c r="E58" s="1539">
        <f t="shared" si="2"/>
        <v>0</v>
      </c>
      <c r="F58" s="1932">
        <f t="shared" si="1"/>
        <v>0</v>
      </c>
      <c r="G58" s="1792">
        <f t="shared" si="3"/>
        <v>0</v>
      </c>
    </row>
    <row r="59" spans="1:7">
      <c r="A59" s="1652"/>
      <c r="B59" s="1666"/>
      <c r="C59" s="1653"/>
      <c r="D59" s="1843"/>
      <c r="E59" s="1539">
        <f t="shared" si="2"/>
        <v>0</v>
      </c>
      <c r="F59" s="1932">
        <f t="shared" si="1"/>
        <v>0</v>
      </c>
      <c r="G59" s="1792">
        <f t="shared" si="3"/>
        <v>0</v>
      </c>
    </row>
    <row r="60" spans="1:7">
      <c r="A60" s="1652"/>
      <c r="B60" s="1666"/>
      <c r="C60" s="1653"/>
      <c r="D60" s="1843"/>
      <c r="E60" s="1539">
        <f t="shared" si="2"/>
        <v>0</v>
      </c>
      <c r="F60" s="1932">
        <f t="shared" si="1"/>
        <v>0</v>
      </c>
      <c r="G60" s="1792">
        <f t="shared" si="3"/>
        <v>0</v>
      </c>
    </row>
    <row r="61" spans="1:7">
      <c r="A61" s="1652"/>
      <c r="B61" s="1666"/>
      <c r="C61" s="1653"/>
      <c r="D61" s="1843"/>
      <c r="E61" s="1539">
        <f t="shared" si="2"/>
        <v>0</v>
      </c>
      <c r="F61" s="1932">
        <f t="shared" si="1"/>
        <v>0</v>
      </c>
      <c r="G61" s="1792">
        <f t="shared" si="3"/>
        <v>0</v>
      </c>
    </row>
    <row r="62" spans="1:7">
      <c r="A62" s="1652"/>
      <c r="B62" s="1666"/>
      <c r="C62" s="1653"/>
      <c r="D62" s="1843"/>
      <c r="E62" s="1539">
        <f t="shared" si="2"/>
        <v>0</v>
      </c>
      <c r="F62" s="1932">
        <f t="shared" si="1"/>
        <v>0</v>
      </c>
      <c r="G62" s="1792">
        <f t="shared" si="3"/>
        <v>0</v>
      </c>
    </row>
    <row r="63" spans="1:7">
      <c r="A63" s="1652"/>
      <c r="B63" s="1666"/>
      <c r="C63" s="1653"/>
      <c r="D63" s="1843"/>
      <c r="E63" s="1539">
        <f t="shared" si="2"/>
        <v>0</v>
      </c>
      <c r="F63" s="1932">
        <f t="shared" si="1"/>
        <v>0</v>
      </c>
      <c r="G63" s="1792">
        <f t="shared" si="3"/>
        <v>0</v>
      </c>
    </row>
    <row r="64" spans="1:7">
      <c r="A64" s="1654"/>
      <c r="B64" s="1666"/>
      <c r="C64" s="1655"/>
      <c r="D64" s="1843"/>
      <c r="E64" s="1539">
        <f t="shared" si="2"/>
        <v>0</v>
      </c>
      <c r="F64" s="1932">
        <f t="shared" si="1"/>
        <v>0</v>
      </c>
      <c r="G64" s="1792">
        <f t="shared" si="3"/>
        <v>0</v>
      </c>
    </row>
    <row r="65" spans="1:7">
      <c r="A65" s="1652"/>
      <c r="B65" s="1666"/>
      <c r="C65" s="1653"/>
      <c r="D65" s="1843"/>
      <c r="E65" s="1539">
        <f t="shared" si="2"/>
        <v>0</v>
      </c>
      <c r="F65" s="1932">
        <f t="shared" si="1"/>
        <v>0</v>
      </c>
      <c r="G65" s="1792">
        <f t="shared" si="3"/>
        <v>0</v>
      </c>
    </row>
    <row r="66" spans="1:7">
      <c r="A66" s="1652"/>
      <c r="B66" s="1666"/>
      <c r="C66" s="1653"/>
      <c r="D66" s="1843"/>
      <c r="E66" s="1539">
        <f t="shared" si="2"/>
        <v>0</v>
      </c>
      <c r="F66" s="1932">
        <f t="shared" si="1"/>
        <v>0</v>
      </c>
      <c r="G66" s="1792">
        <f t="shared" si="3"/>
        <v>0</v>
      </c>
    </row>
    <row r="67" spans="1:7">
      <c r="A67" s="1652"/>
      <c r="B67" s="1666"/>
      <c r="C67" s="1653"/>
      <c r="D67" s="1843"/>
      <c r="E67" s="1539">
        <f t="shared" si="2"/>
        <v>0</v>
      </c>
      <c r="F67" s="1932">
        <f t="shared" si="1"/>
        <v>0</v>
      </c>
      <c r="G67" s="1792">
        <f t="shared" si="3"/>
        <v>0</v>
      </c>
    </row>
    <row r="68" spans="1:7">
      <c r="A68" s="1652"/>
      <c r="B68" s="1666"/>
      <c r="C68" s="1653"/>
      <c r="D68" s="1843"/>
      <c r="E68" s="1539">
        <f t="shared" si="2"/>
        <v>0</v>
      </c>
      <c r="F68" s="1932">
        <f t="shared" si="1"/>
        <v>0</v>
      </c>
      <c r="G68" s="1792">
        <f t="shared" si="3"/>
        <v>0</v>
      </c>
    </row>
    <row r="69" spans="1:7">
      <c r="A69" s="1652"/>
      <c r="B69" s="1666"/>
      <c r="C69" s="1653"/>
      <c r="D69" s="1843"/>
      <c r="E69" s="1539">
        <f t="shared" si="2"/>
        <v>0</v>
      </c>
      <c r="F69" s="1932">
        <f t="shared" si="1"/>
        <v>0</v>
      </c>
      <c r="G69" s="1792">
        <f t="shared" si="3"/>
        <v>0</v>
      </c>
    </row>
    <row r="70" spans="1:7">
      <c r="A70" s="1652"/>
      <c r="B70" s="1666"/>
      <c r="C70" s="1653"/>
      <c r="D70" s="1843"/>
      <c r="E70" s="1539">
        <f t="shared" si="2"/>
        <v>0</v>
      </c>
      <c r="F70" s="1932">
        <f t="shared" si="1"/>
        <v>0</v>
      </c>
      <c r="G70" s="1792">
        <f t="shared" si="3"/>
        <v>0</v>
      </c>
    </row>
    <row r="71" spans="1:7">
      <c r="A71" s="1652"/>
      <c r="B71" s="1666"/>
      <c r="C71" s="1653"/>
      <c r="D71" s="1843"/>
      <c r="E71" s="1539">
        <f t="shared" si="2"/>
        <v>0</v>
      </c>
      <c r="F71" s="1932">
        <f t="shared" si="1"/>
        <v>0</v>
      </c>
      <c r="G71" s="1792">
        <f t="shared" si="3"/>
        <v>0</v>
      </c>
    </row>
    <row r="72" spans="1:7">
      <c r="A72" s="1652"/>
      <c r="B72" s="1666"/>
      <c r="C72" s="1653"/>
      <c r="D72" s="1843"/>
      <c r="E72" s="1539">
        <f t="shared" si="2"/>
        <v>0</v>
      </c>
      <c r="F72" s="1932">
        <f t="shared" si="1"/>
        <v>0</v>
      </c>
      <c r="G72" s="1792">
        <f t="shared" si="3"/>
        <v>0</v>
      </c>
    </row>
    <row r="73" spans="1:7">
      <c r="A73" s="1652"/>
      <c r="B73" s="1666"/>
      <c r="C73" s="1653"/>
      <c r="D73" s="1843"/>
      <c r="E73" s="1539">
        <f t="shared" ref="E73:E84" si="4">IF(D73&lt;=25000,D73,IF(D73&gt;25000,25000,0))</f>
        <v>0</v>
      </c>
      <c r="F73" s="1932">
        <f t="shared" si="1"/>
        <v>0</v>
      </c>
      <c r="G73" s="1792">
        <f t="shared" ref="G73:G84" si="5">IF(F73=0,0,D73-F73)</f>
        <v>0</v>
      </c>
    </row>
    <row r="74" spans="1:7">
      <c r="A74" s="1652"/>
      <c r="B74" s="1666"/>
      <c r="C74" s="1653"/>
      <c r="D74" s="1843"/>
      <c r="E74" s="1539">
        <f t="shared" si="4"/>
        <v>0</v>
      </c>
      <c r="F74" s="1932">
        <f t="shared" si="1"/>
        <v>0</v>
      </c>
      <c r="G74" s="1792">
        <f t="shared" si="5"/>
        <v>0</v>
      </c>
    </row>
    <row r="75" spans="1:7">
      <c r="A75" s="1652"/>
      <c r="B75" s="1666"/>
      <c r="C75" s="1653"/>
      <c r="D75" s="1843"/>
      <c r="E75" s="1539">
        <f t="shared" si="4"/>
        <v>0</v>
      </c>
      <c r="F75" s="1932">
        <f t="shared" si="1"/>
        <v>0</v>
      </c>
      <c r="G75" s="1792">
        <f t="shared" si="5"/>
        <v>0</v>
      </c>
    </row>
    <row r="76" spans="1:7">
      <c r="A76" s="1652"/>
      <c r="B76" s="1666"/>
      <c r="C76" s="1653"/>
      <c r="D76" s="1843"/>
      <c r="E76" s="1539">
        <f t="shared" si="4"/>
        <v>0</v>
      </c>
      <c r="F76" s="1932">
        <f t="shared" si="1"/>
        <v>0</v>
      </c>
      <c r="G76" s="1792">
        <f t="shared" si="5"/>
        <v>0</v>
      </c>
    </row>
    <row r="77" spans="1:7">
      <c r="A77" s="1652"/>
      <c r="B77" s="1666"/>
      <c r="C77" s="1653"/>
      <c r="D77" s="1843"/>
      <c r="E77" s="1539">
        <f t="shared" si="4"/>
        <v>0</v>
      </c>
      <c r="F77" s="1932">
        <f t="shared" si="1"/>
        <v>0</v>
      </c>
      <c r="G77" s="1792">
        <f t="shared" si="5"/>
        <v>0</v>
      </c>
    </row>
    <row r="78" spans="1:7">
      <c r="A78" s="1652"/>
      <c r="B78" s="1666"/>
      <c r="C78" s="1653"/>
      <c r="D78" s="1843"/>
      <c r="E78" s="1539">
        <f t="shared" si="4"/>
        <v>0</v>
      </c>
      <c r="F78" s="1932">
        <f t="shared" si="1"/>
        <v>0</v>
      </c>
      <c r="G78" s="1792">
        <f t="shared" si="5"/>
        <v>0</v>
      </c>
    </row>
    <row r="79" spans="1:7">
      <c r="A79" s="1652"/>
      <c r="B79" s="1666"/>
      <c r="C79" s="1653"/>
      <c r="D79" s="1843"/>
      <c r="E79" s="1539">
        <f t="shared" si="4"/>
        <v>0</v>
      </c>
      <c r="F79" s="1932">
        <f t="shared" si="1"/>
        <v>0</v>
      </c>
      <c r="G79" s="1792">
        <f t="shared" si="5"/>
        <v>0</v>
      </c>
    </row>
    <row r="80" spans="1:7">
      <c r="A80" s="1652"/>
      <c r="B80" s="1666"/>
      <c r="C80" s="1653"/>
      <c r="D80" s="1843"/>
      <c r="E80" s="1539">
        <f t="shared" si="4"/>
        <v>0</v>
      </c>
      <c r="F80" s="1932">
        <f t="shared" si="1"/>
        <v>0</v>
      </c>
      <c r="G80" s="1792">
        <f t="shared" si="5"/>
        <v>0</v>
      </c>
    </row>
    <row r="81" spans="1:7">
      <c r="A81" s="1652"/>
      <c r="B81" s="1666"/>
      <c r="C81" s="1653"/>
      <c r="D81" s="1843"/>
      <c r="E81" s="1539">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c r="A82" s="1652"/>
      <c r="B82" s="1666"/>
      <c r="C82" s="1653"/>
      <c r="D82" s="1843"/>
      <c r="E82" s="1539">
        <f t="shared" si="4"/>
        <v>0</v>
      </c>
      <c r="F82" s="1932">
        <f t="shared" si="6"/>
        <v>0</v>
      </c>
      <c r="G82" s="1792">
        <f t="shared" si="5"/>
        <v>0</v>
      </c>
    </row>
    <row r="83" spans="1:7">
      <c r="A83" s="1652"/>
      <c r="B83" s="1666"/>
      <c r="C83" s="1653"/>
      <c r="D83" s="1843"/>
      <c r="E83" s="1539">
        <f t="shared" si="4"/>
        <v>0</v>
      </c>
      <c r="F83" s="1932">
        <f t="shared" si="6"/>
        <v>0</v>
      </c>
      <c r="G83" s="1792">
        <f t="shared" si="5"/>
        <v>0</v>
      </c>
    </row>
    <row r="84" spans="1:7">
      <c r="A84" s="1652"/>
      <c r="B84" s="1666"/>
      <c r="C84" s="1653"/>
      <c r="D84" s="1843"/>
      <c r="E84" s="1539">
        <f t="shared" si="4"/>
        <v>0</v>
      </c>
      <c r="F84" s="1932">
        <f t="shared" si="6"/>
        <v>0</v>
      </c>
      <c r="G84" s="1792">
        <f t="shared" si="5"/>
        <v>0</v>
      </c>
    </row>
    <row r="85" spans="1:7">
      <c r="A85" s="1652"/>
      <c r="B85" s="1666"/>
      <c r="C85" s="1653"/>
      <c r="D85" s="1843"/>
      <c r="E85" s="1539">
        <f t="shared" si="2"/>
        <v>0</v>
      </c>
      <c r="F85" s="1932">
        <f t="shared" si="6"/>
        <v>0</v>
      </c>
      <c r="G85" s="1792">
        <f t="shared" si="3"/>
        <v>0</v>
      </c>
    </row>
    <row r="86" spans="1:7">
      <c r="A86" s="1652"/>
      <c r="B86" s="1666"/>
      <c r="C86" s="1653"/>
      <c r="D86" s="1843"/>
      <c r="E86" s="1539">
        <f t="shared" si="2"/>
        <v>0</v>
      </c>
      <c r="F86" s="1932">
        <f t="shared" si="6"/>
        <v>0</v>
      </c>
      <c r="G86" s="1792">
        <f t="shared" si="3"/>
        <v>0</v>
      </c>
    </row>
    <row r="87" spans="1:7">
      <c r="A87" s="1652"/>
      <c r="B87" s="1666"/>
      <c r="C87" s="1653"/>
      <c r="D87" s="1843"/>
      <c r="E87" s="1539">
        <f t="shared" si="2"/>
        <v>0</v>
      </c>
      <c r="F87" s="1932">
        <f t="shared" si="6"/>
        <v>0</v>
      </c>
      <c r="G87" s="1792">
        <f t="shared" si="3"/>
        <v>0</v>
      </c>
    </row>
    <row r="88" spans="1:7">
      <c r="A88" s="1652"/>
      <c r="B88" s="1666"/>
      <c r="C88" s="1653"/>
      <c r="D88" s="1843"/>
      <c r="E88" s="1539">
        <f t="shared" si="2"/>
        <v>0</v>
      </c>
      <c r="F88" s="1932">
        <f t="shared" si="6"/>
        <v>0</v>
      </c>
      <c r="G88" s="1792">
        <f t="shared" si="3"/>
        <v>0</v>
      </c>
    </row>
    <row r="89" spans="1:7">
      <c r="A89" s="1652"/>
      <c r="B89" s="1666"/>
      <c r="C89" s="1653"/>
      <c r="D89" s="1843"/>
      <c r="E89" s="1539">
        <f t="shared" si="2"/>
        <v>0</v>
      </c>
      <c r="F89" s="1932">
        <f t="shared" si="6"/>
        <v>0</v>
      </c>
      <c r="G89" s="1792">
        <f t="shared" si="3"/>
        <v>0</v>
      </c>
    </row>
    <row r="90" spans="1:7">
      <c r="A90" s="1652"/>
      <c r="B90" s="1666"/>
      <c r="C90" s="1653"/>
      <c r="D90" s="1843"/>
      <c r="E90" s="1539">
        <f t="shared" si="2"/>
        <v>0</v>
      </c>
      <c r="F90" s="1932">
        <f t="shared" si="6"/>
        <v>0</v>
      </c>
      <c r="G90" s="1792">
        <f t="shared" si="3"/>
        <v>0</v>
      </c>
    </row>
    <row r="91" spans="1:7">
      <c r="A91" s="1652"/>
      <c r="B91" s="1666"/>
      <c r="C91" s="1653"/>
      <c r="D91" s="1843"/>
      <c r="E91" s="1539">
        <f t="shared" si="2"/>
        <v>0</v>
      </c>
      <c r="F91" s="1932">
        <f t="shared" si="6"/>
        <v>0</v>
      </c>
      <c r="G91" s="1792">
        <f t="shared" si="3"/>
        <v>0</v>
      </c>
    </row>
    <row r="92" spans="1:7">
      <c r="A92" s="1652"/>
      <c r="B92" s="1666"/>
      <c r="C92" s="1653"/>
      <c r="D92" s="1843"/>
      <c r="E92" s="1539">
        <f t="shared" si="2"/>
        <v>0</v>
      </c>
      <c r="F92" s="1932">
        <f t="shared" si="6"/>
        <v>0</v>
      </c>
      <c r="G92" s="1792">
        <f t="shared" si="3"/>
        <v>0</v>
      </c>
    </row>
    <row r="93" spans="1:7">
      <c r="A93" s="1652"/>
      <c r="B93" s="1666"/>
      <c r="C93" s="1653"/>
      <c r="D93" s="1843"/>
      <c r="E93" s="1539">
        <f t="shared" ref="E93" si="7">IF(D93&lt;=25000,D93,IF(D93&gt;25000,25000,0))</f>
        <v>0</v>
      </c>
      <c r="F93" s="1932">
        <f t="shared" si="6"/>
        <v>0</v>
      </c>
      <c r="G93" s="1792">
        <f t="shared" ref="G93" si="8">IF(F93=0,0,D93-F93)</f>
        <v>0</v>
      </c>
    </row>
    <row r="94" spans="1:7">
      <c r="A94" s="1652"/>
      <c r="B94" s="1666"/>
      <c r="C94" s="1653"/>
      <c r="D94" s="1843"/>
      <c r="E94" s="1539">
        <f t="shared" si="2"/>
        <v>0</v>
      </c>
      <c r="F94" s="1932">
        <f t="shared" si="6"/>
        <v>0</v>
      </c>
      <c r="G94" s="1792">
        <f t="shared" si="3"/>
        <v>0</v>
      </c>
    </row>
    <row r="95" spans="1:7">
      <c r="A95" s="1652"/>
      <c r="B95" s="1666"/>
      <c r="C95" s="1653"/>
      <c r="D95" s="1843"/>
      <c r="E95" s="1539">
        <f t="shared" ref="E95:E98" si="9">IF(D95&lt;=25000,D95,IF(D95&gt;25000,25000,0))</f>
        <v>0</v>
      </c>
      <c r="F95" s="1932">
        <f t="shared" si="6"/>
        <v>0</v>
      </c>
      <c r="G95" s="1792">
        <f t="shared" ref="G95:G98" si="10">IF(F95=0,0,D95-F95)</f>
        <v>0</v>
      </c>
    </row>
    <row r="96" spans="1:7">
      <c r="A96" s="1652"/>
      <c r="B96" s="1666"/>
      <c r="C96" s="1653"/>
      <c r="D96" s="1843"/>
      <c r="E96" s="1539">
        <f t="shared" si="9"/>
        <v>0</v>
      </c>
      <c r="F96" s="1932">
        <f t="shared" si="6"/>
        <v>0</v>
      </c>
      <c r="G96" s="1792">
        <f t="shared" si="10"/>
        <v>0</v>
      </c>
    </row>
    <row r="97" spans="1:7">
      <c r="A97" s="1652"/>
      <c r="B97" s="1666"/>
      <c r="C97" s="1653"/>
      <c r="D97" s="1843"/>
      <c r="E97" s="1539">
        <f t="shared" si="9"/>
        <v>0</v>
      </c>
      <c r="F97" s="1932">
        <f t="shared" si="6"/>
        <v>0</v>
      </c>
      <c r="G97" s="1792">
        <f t="shared" si="10"/>
        <v>0</v>
      </c>
    </row>
    <row r="98" spans="1:7">
      <c r="A98" s="1652"/>
      <c r="B98" s="1666"/>
      <c r="C98" s="1653"/>
      <c r="D98" s="1843"/>
      <c r="E98" s="1539">
        <f t="shared" si="9"/>
        <v>0</v>
      </c>
      <c r="F98" s="1932">
        <f t="shared" si="6"/>
        <v>0</v>
      </c>
      <c r="G98" s="1792">
        <f t="shared" si="10"/>
        <v>0</v>
      </c>
    </row>
    <row r="99" spans="1:7">
      <c r="A99" s="1652"/>
      <c r="B99" s="1666"/>
      <c r="C99" s="1653"/>
      <c r="D99" s="1843"/>
      <c r="E99" s="1539">
        <f t="shared" ref="E99" si="11">IF(D99&lt;=25000,D99,IF(D99&gt;25000,25000,0))</f>
        <v>0</v>
      </c>
      <c r="F99" s="1932">
        <f t="shared" si="6"/>
        <v>0</v>
      </c>
      <c r="G99" s="1792">
        <f t="shared" ref="G99" si="12">IF(F99=0,0,D99-F99)</f>
        <v>0</v>
      </c>
    </row>
    <row r="100" spans="1:7">
      <c r="A100" s="1652"/>
      <c r="B100" s="1666"/>
      <c r="C100" s="1653"/>
      <c r="D100" s="1843"/>
      <c r="E100" s="1539">
        <f t="shared" ref="E100:E112" si="13">IF(D100&lt;=25000,D100,IF(D100&gt;25000,25000,0))</f>
        <v>0</v>
      </c>
      <c r="F100" s="1932">
        <f t="shared" si="6"/>
        <v>0</v>
      </c>
      <c r="G100" s="1792">
        <f t="shared" ref="G100:G112" si="14">IF(F100=0,0,D100-F100)</f>
        <v>0</v>
      </c>
    </row>
    <row r="101" spans="1:7">
      <c r="A101" s="1652"/>
      <c r="B101" s="1666"/>
      <c r="C101" s="1653"/>
      <c r="D101" s="1843"/>
      <c r="E101" s="1539">
        <f t="shared" si="13"/>
        <v>0</v>
      </c>
      <c r="F101" s="1932">
        <f t="shared" si="6"/>
        <v>0</v>
      </c>
      <c r="G101" s="1792">
        <f t="shared" si="14"/>
        <v>0</v>
      </c>
    </row>
    <row r="102" spans="1:7">
      <c r="A102" s="1652"/>
      <c r="B102" s="1666"/>
      <c r="C102" s="1653"/>
      <c r="D102" s="1843"/>
      <c r="E102" s="1539">
        <f t="shared" si="13"/>
        <v>0</v>
      </c>
      <c r="F102" s="1932">
        <f t="shared" si="6"/>
        <v>0</v>
      </c>
      <c r="G102" s="1792">
        <f t="shared" si="14"/>
        <v>0</v>
      </c>
    </row>
    <row r="103" spans="1:7">
      <c r="A103" s="1652"/>
      <c r="B103" s="1666"/>
      <c r="C103" s="1653"/>
      <c r="D103" s="1843"/>
      <c r="E103" s="1539">
        <f t="shared" si="13"/>
        <v>0</v>
      </c>
      <c r="F103" s="1932">
        <f t="shared" si="6"/>
        <v>0</v>
      </c>
      <c r="G103" s="1792">
        <f t="shared" si="14"/>
        <v>0</v>
      </c>
    </row>
    <row r="104" spans="1:7">
      <c r="A104" s="1652"/>
      <c r="B104" s="1666"/>
      <c r="C104" s="1653"/>
      <c r="D104" s="1843"/>
      <c r="E104" s="1539">
        <f t="shared" si="13"/>
        <v>0</v>
      </c>
      <c r="F104" s="1932">
        <f t="shared" si="6"/>
        <v>0</v>
      </c>
      <c r="G104" s="1792">
        <f t="shared" si="14"/>
        <v>0</v>
      </c>
    </row>
    <row r="105" spans="1:7">
      <c r="A105" s="1652"/>
      <c r="B105" s="1666"/>
      <c r="C105" s="1653"/>
      <c r="D105" s="1843"/>
      <c r="E105" s="1539">
        <f t="shared" si="13"/>
        <v>0</v>
      </c>
      <c r="F105" s="1932">
        <f t="shared" si="6"/>
        <v>0</v>
      </c>
      <c r="G105" s="1792">
        <f t="shared" si="14"/>
        <v>0</v>
      </c>
    </row>
    <row r="106" spans="1:7">
      <c r="A106" s="1652"/>
      <c r="B106" s="1666"/>
      <c r="C106" s="1653"/>
      <c r="D106" s="1843"/>
      <c r="E106" s="1539">
        <f t="shared" si="13"/>
        <v>0</v>
      </c>
      <c r="F106" s="1932">
        <f t="shared" si="6"/>
        <v>0</v>
      </c>
      <c r="G106" s="1792">
        <f t="shared" si="14"/>
        <v>0</v>
      </c>
    </row>
    <row r="107" spans="1:7">
      <c r="A107" s="1652"/>
      <c r="B107" s="1666"/>
      <c r="C107" s="1653"/>
      <c r="D107" s="1843"/>
      <c r="E107" s="1539">
        <f t="shared" si="13"/>
        <v>0</v>
      </c>
      <c r="F107" s="1932">
        <f t="shared" si="6"/>
        <v>0</v>
      </c>
      <c r="G107" s="1792">
        <f t="shared" si="14"/>
        <v>0</v>
      </c>
    </row>
    <row r="108" spans="1:7">
      <c r="A108" s="1652"/>
      <c r="B108" s="1666"/>
      <c r="C108" s="1653"/>
      <c r="D108" s="1843"/>
      <c r="E108" s="1539">
        <f t="shared" si="13"/>
        <v>0</v>
      </c>
      <c r="F108" s="1932">
        <f t="shared" si="6"/>
        <v>0</v>
      </c>
      <c r="G108" s="1792">
        <f t="shared" si="14"/>
        <v>0</v>
      </c>
    </row>
    <row r="109" spans="1:7">
      <c r="A109" s="1652"/>
      <c r="B109" s="1666"/>
      <c r="C109" s="1653"/>
      <c r="D109" s="1843"/>
      <c r="E109" s="1539">
        <f t="shared" si="13"/>
        <v>0</v>
      </c>
      <c r="F109" s="1932">
        <f t="shared" si="6"/>
        <v>0</v>
      </c>
      <c r="G109" s="1792">
        <f t="shared" si="14"/>
        <v>0</v>
      </c>
    </row>
    <row r="110" spans="1:7">
      <c r="A110" s="1652"/>
      <c r="B110" s="1666"/>
      <c r="C110" s="1653"/>
      <c r="D110" s="1843"/>
      <c r="E110" s="1539">
        <f t="shared" si="13"/>
        <v>0</v>
      </c>
      <c r="F110" s="1932">
        <f t="shared" si="6"/>
        <v>0</v>
      </c>
      <c r="G110" s="1792">
        <f t="shared" si="14"/>
        <v>0</v>
      </c>
    </row>
    <row r="111" spans="1:7">
      <c r="A111" s="1652"/>
      <c r="B111" s="1666"/>
      <c r="C111" s="1653"/>
      <c r="D111" s="1843"/>
      <c r="E111" s="1539">
        <f t="shared" si="13"/>
        <v>0</v>
      </c>
      <c r="F111" s="1932">
        <f t="shared" si="6"/>
        <v>0</v>
      </c>
      <c r="G111" s="1792">
        <f t="shared" si="14"/>
        <v>0</v>
      </c>
    </row>
    <row r="112" spans="1:7">
      <c r="A112" s="1652"/>
      <c r="B112" s="1666"/>
      <c r="C112" s="1653"/>
      <c r="D112" s="1843"/>
      <c r="E112" s="1539">
        <f t="shared" si="13"/>
        <v>0</v>
      </c>
      <c r="F112" s="1932">
        <f t="shared" si="6"/>
        <v>0</v>
      </c>
      <c r="G112" s="1792">
        <f t="shared" si="14"/>
        <v>0</v>
      </c>
    </row>
    <row r="113" spans="1:7">
      <c r="A113" s="1652"/>
      <c r="B113" s="1666"/>
      <c r="C113" s="1653"/>
      <c r="D113" s="1843"/>
      <c r="E113" s="1539">
        <f t="shared" ref="E113:E125" si="15">IF(D113&lt;=25000,D113,IF(D113&gt;25000,25000,0))</f>
        <v>0</v>
      </c>
      <c r="F113" s="1932">
        <f t="shared" si="6"/>
        <v>0</v>
      </c>
      <c r="G113" s="1792">
        <f t="shared" ref="G113:G125" si="16">IF(F113=0,0,D113-F113)</f>
        <v>0</v>
      </c>
    </row>
    <row r="114" spans="1:7">
      <c r="A114" s="1652"/>
      <c r="B114" s="1666"/>
      <c r="C114" s="1653"/>
      <c r="D114" s="1843"/>
      <c r="E114" s="1539">
        <f t="shared" si="15"/>
        <v>0</v>
      </c>
      <c r="F114" s="1932">
        <f t="shared" si="6"/>
        <v>0</v>
      </c>
      <c r="G114" s="1792">
        <f t="shared" si="16"/>
        <v>0</v>
      </c>
    </row>
    <row r="115" spans="1:7">
      <c r="A115" s="1652"/>
      <c r="B115" s="1666"/>
      <c r="C115" s="1653"/>
      <c r="D115" s="1843"/>
      <c r="E115" s="1539">
        <f t="shared" si="15"/>
        <v>0</v>
      </c>
      <c r="F115" s="1932">
        <f t="shared" si="6"/>
        <v>0</v>
      </c>
      <c r="G115" s="1792">
        <f t="shared" si="16"/>
        <v>0</v>
      </c>
    </row>
    <row r="116" spans="1:7">
      <c r="A116" s="1652"/>
      <c r="B116" s="1666"/>
      <c r="C116" s="1653"/>
      <c r="D116" s="1843"/>
      <c r="E116" s="1539">
        <f t="shared" si="15"/>
        <v>0</v>
      </c>
      <c r="F116" s="1932">
        <f t="shared" si="6"/>
        <v>0</v>
      </c>
      <c r="G116" s="1792">
        <f t="shared" si="16"/>
        <v>0</v>
      </c>
    </row>
    <row r="117" spans="1:7">
      <c r="A117" s="1652"/>
      <c r="B117" s="1666"/>
      <c r="C117" s="1653"/>
      <c r="D117" s="1843"/>
      <c r="E117" s="1539">
        <f t="shared" si="15"/>
        <v>0</v>
      </c>
      <c r="F117" s="1932">
        <f t="shared" si="6"/>
        <v>0</v>
      </c>
      <c r="G117" s="1792">
        <f t="shared" si="16"/>
        <v>0</v>
      </c>
    </row>
    <row r="118" spans="1:7">
      <c r="A118" s="1652"/>
      <c r="B118" s="1666"/>
      <c r="C118" s="1653"/>
      <c r="D118" s="1843"/>
      <c r="E118" s="1539">
        <f t="shared" si="15"/>
        <v>0</v>
      </c>
      <c r="F118" s="1932">
        <f t="shared" si="6"/>
        <v>0</v>
      </c>
      <c r="G118" s="1792">
        <f t="shared" si="16"/>
        <v>0</v>
      </c>
    </row>
    <row r="119" spans="1:7">
      <c r="A119" s="1652"/>
      <c r="B119" s="1666"/>
      <c r="C119" s="1653"/>
      <c r="D119" s="1843"/>
      <c r="E119" s="1539">
        <f t="shared" si="15"/>
        <v>0</v>
      </c>
      <c r="F119" s="1932">
        <f t="shared" si="6"/>
        <v>0</v>
      </c>
      <c r="G119" s="1792">
        <f t="shared" si="16"/>
        <v>0</v>
      </c>
    </row>
    <row r="120" spans="1:7">
      <c r="A120" s="1652"/>
      <c r="B120" s="1666"/>
      <c r="C120" s="1653"/>
      <c r="D120" s="1843"/>
      <c r="E120" s="1539">
        <f t="shared" si="15"/>
        <v>0</v>
      </c>
      <c r="F120" s="1932">
        <f t="shared" si="6"/>
        <v>0</v>
      </c>
      <c r="G120" s="1792">
        <f t="shared" si="16"/>
        <v>0</v>
      </c>
    </row>
    <row r="121" spans="1:7">
      <c r="A121" s="1652"/>
      <c r="B121" s="1666"/>
      <c r="C121" s="1653"/>
      <c r="D121" s="1843"/>
      <c r="E121" s="1539">
        <f t="shared" si="15"/>
        <v>0</v>
      </c>
      <c r="F121" s="1932">
        <f t="shared" si="6"/>
        <v>0</v>
      </c>
      <c r="G121" s="1792">
        <f t="shared" si="16"/>
        <v>0</v>
      </c>
    </row>
    <row r="122" spans="1:7">
      <c r="A122" s="1652"/>
      <c r="B122" s="1666"/>
      <c r="C122" s="1653"/>
      <c r="D122" s="1843"/>
      <c r="E122" s="1539">
        <f t="shared" si="15"/>
        <v>0</v>
      </c>
      <c r="F122" s="1932">
        <f t="shared" si="6"/>
        <v>0</v>
      </c>
      <c r="G122" s="1792">
        <f t="shared" si="16"/>
        <v>0</v>
      </c>
    </row>
    <row r="123" spans="1:7">
      <c r="A123" s="1652"/>
      <c r="B123" s="1666"/>
      <c r="C123" s="1653"/>
      <c r="D123" s="1843"/>
      <c r="E123" s="1539">
        <f t="shared" si="15"/>
        <v>0</v>
      </c>
      <c r="F123" s="1932">
        <f t="shared" si="6"/>
        <v>0</v>
      </c>
      <c r="G123" s="1792">
        <f t="shared" si="16"/>
        <v>0</v>
      </c>
    </row>
    <row r="124" spans="1:7">
      <c r="A124" s="1652"/>
      <c r="B124" s="1666"/>
      <c r="C124" s="1653"/>
      <c r="D124" s="1843"/>
      <c r="E124" s="1539">
        <f t="shared" si="15"/>
        <v>0</v>
      </c>
      <c r="F124" s="1932">
        <f t="shared" si="6"/>
        <v>0</v>
      </c>
      <c r="G124" s="1792">
        <f t="shared" si="16"/>
        <v>0</v>
      </c>
    </row>
    <row r="125" spans="1:7">
      <c r="A125" s="1652"/>
      <c r="B125" s="1666"/>
      <c r="C125" s="1653"/>
      <c r="D125" s="1843"/>
      <c r="E125" s="1539">
        <f t="shared" si="15"/>
        <v>0</v>
      </c>
      <c r="F125" s="1932">
        <f t="shared" si="6"/>
        <v>0</v>
      </c>
      <c r="G125" s="1792">
        <f t="shared" si="16"/>
        <v>0</v>
      </c>
    </row>
    <row r="126" spans="1:7">
      <c r="A126" s="1652"/>
      <c r="B126" s="1666"/>
      <c r="C126" s="1653"/>
      <c r="D126" s="1843"/>
      <c r="E126" s="1539">
        <f t="shared" ref="E126:E134" si="17">IF(D126&lt;=25000,D126,IF(D126&gt;25000,25000,0))</f>
        <v>0</v>
      </c>
      <c r="F126" s="1932">
        <f t="shared" si="6"/>
        <v>0</v>
      </c>
      <c r="G126" s="1792">
        <f t="shared" ref="G126:G134" si="18">IF(F126=0,0,D126-F126)</f>
        <v>0</v>
      </c>
    </row>
    <row r="127" spans="1:7">
      <c r="A127" s="1652"/>
      <c r="B127" s="1666"/>
      <c r="C127" s="1653"/>
      <c r="D127" s="1843"/>
      <c r="E127" s="1539">
        <f t="shared" si="17"/>
        <v>0</v>
      </c>
      <c r="F127" s="1932">
        <f t="shared" si="6"/>
        <v>0</v>
      </c>
      <c r="G127" s="1792">
        <f t="shared" si="18"/>
        <v>0</v>
      </c>
    </row>
    <row r="128" spans="1:7">
      <c r="A128" s="1652"/>
      <c r="B128" s="1666"/>
      <c r="C128" s="1653"/>
      <c r="D128" s="1843"/>
      <c r="E128" s="1539">
        <f t="shared" si="17"/>
        <v>0</v>
      </c>
      <c r="F128" s="1932">
        <f t="shared" si="6"/>
        <v>0</v>
      </c>
      <c r="G128" s="1792">
        <f t="shared" si="18"/>
        <v>0</v>
      </c>
    </row>
    <row r="129" spans="1:7">
      <c r="A129" s="1652"/>
      <c r="B129" s="1666"/>
      <c r="C129" s="1653"/>
      <c r="D129" s="1843"/>
      <c r="E129" s="1539">
        <f t="shared" si="17"/>
        <v>0</v>
      </c>
      <c r="F129" s="1932">
        <f t="shared" si="6"/>
        <v>0</v>
      </c>
      <c r="G129" s="1792">
        <f t="shared" si="18"/>
        <v>0</v>
      </c>
    </row>
    <row r="130" spans="1:7">
      <c r="A130" s="1652"/>
      <c r="B130" s="1666"/>
      <c r="C130" s="1653"/>
      <c r="D130" s="1843"/>
      <c r="E130" s="1539">
        <f t="shared" si="17"/>
        <v>0</v>
      </c>
      <c r="F130" s="1932">
        <f t="shared" si="6"/>
        <v>0</v>
      </c>
      <c r="G130" s="1792">
        <f t="shared" si="18"/>
        <v>0</v>
      </c>
    </row>
    <row r="131" spans="1:7">
      <c r="A131" s="1652"/>
      <c r="B131" s="1836"/>
      <c r="C131" s="1653"/>
      <c r="D131" s="1843"/>
      <c r="E131" s="1539">
        <f t="shared" si="17"/>
        <v>0</v>
      </c>
      <c r="F131" s="1932">
        <f t="shared" si="6"/>
        <v>0</v>
      </c>
      <c r="G131" s="1792">
        <f t="shared" si="18"/>
        <v>0</v>
      </c>
    </row>
    <row r="132" spans="1:7">
      <c r="A132" s="1652"/>
      <c r="B132" s="1836"/>
      <c r="C132" s="1653"/>
      <c r="D132" s="1843"/>
      <c r="E132" s="1539">
        <f t="shared" si="17"/>
        <v>0</v>
      </c>
      <c r="F132" s="1932">
        <f t="shared" si="6"/>
        <v>0</v>
      </c>
      <c r="G132" s="1792">
        <f t="shared" si="18"/>
        <v>0</v>
      </c>
    </row>
    <row r="133" spans="1:7">
      <c r="A133" s="1652"/>
      <c r="B133" s="1666"/>
      <c r="C133" s="1653"/>
      <c r="D133" s="1843"/>
      <c r="E133" s="1539">
        <f t="shared" si="17"/>
        <v>0</v>
      </c>
      <c r="F133" s="1932">
        <f t="shared" si="6"/>
        <v>0</v>
      </c>
      <c r="G133" s="1792">
        <f t="shared" si="18"/>
        <v>0</v>
      </c>
    </row>
    <row r="134" spans="1:7">
      <c r="A134" s="1652"/>
      <c r="B134" s="1666"/>
      <c r="C134" s="1653"/>
      <c r="D134" s="1843"/>
      <c r="E134" s="1539">
        <f t="shared" si="17"/>
        <v>0</v>
      </c>
      <c r="F134" s="1932">
        <f t="shared" si="6"/>
        <v>0</v>
      </c>
      <c r="G134" s="1792">
        <f t="shared" si="18"/>
        <v>0</v>
      </c>
    </row>
    <row r="135" spans="1:7">
      <c r="A135" s="1652"/>
      <c r="B135" s="1666"/>
      <c r="C135" s="1653"/>
      <c r="D135" s="1843"/>
      <c r="E135" s="1539">
        <f t="shared" ref="E135:E139" si="19">IF(D135&lt;=25000,D135,IF(D135&gt;25000,25000,0))</f>
        <v>0</v>
      </c>
      <c r="F135" s="1932">
        <f t="shared" si="6"/>
        <v>0</v>
      </c>
      <c r="G135" s="1792">
        <f t="shared" ref="G135:G139" si="20">IF(F135=0,0,D135-F135)</f>
        <v>0</v>
      </c>
    </row>
    <row r="136" spans="1:7">
      <c r="A136" s="1652"/>
      <c r="B136" s="1666"/>
      <c r="C136" s="1653"/>
      <c r="D136" s="1843"/>
      <c r="E136" s="1539">
        <f t="shared" si="19"/>
        <v>0</v>
      </c>
      <c r="F136" s="1932">
        <f t="shared" si="6"/>
        <v>0</v>
      </c>
      <c r="G136" s="1792">
        <f t="shared" si="20"/>
        <v>0</v>
      </c>
    </row>
    <row r="137" spans="1:7">
      <c r="A137" s="1652"/>
      <c r="B137" s="1666"/>
      <c r="C137" s="1653"/>
      <c r="D137" s="1843"/>
      <c r="E137" s="1539">
        <f t="shared" si="19"/>
        <v>0</v>
      </c>
      <c r="F137" s="1932">
        <f t="shared" si="6"/>
        <v>0</v>
      </c>
      <c r="G137" s="1792">
        <f t="shared" si="20"/>
        <v>0</v>
      </c>
    </row>
    <row r="138" spans="1:7">
      <c r="A138" s="1652"/>
      <c r="B138" s="1666"/>
      <c r="C138" s="1653"/>
      <c r="D138" s="1843"/>
      <c r="E138" s="1539">
        <f t="shared" si="19"/>
        <v>0</v>
      </c>
      <c r="F138" s="1932">
        <f t="shared" si="6"/>
        <v>0</v>
      </c>
      <c r="G138" s="1792">
        <f t="shared" si="20"/>
        <v>0</v>
      </c>
    </row>
    <row r="139" spans="1:7">
      <c r="A139" s="1652"/>
      <c r="B139" s="1666"/>
      <c r="C139" s="1653"/>
      <c r="D139" s="1843"/>
      <c r="E139" s="1539">
        <f t="shared" si="19"/>
        <v>0</v>
      </c>
      <c r="F139" s="1932">
        <f t="shared" si="6"/>
        <v>0</v>
      </c>
      <c r="G139" s="1792">
        <f t="shared" si="20"/>
        <v>0</v>
      </c>
    </row>
    <row r="140" spans="1:7">
      <c r="A140" s="1652"/>
      <c r="B140" s="1665"/>
      <c r="C140" s="1653"/>
      <c r="D140" s="1843"/>
      <c r="E140" s="1539">
        <f t="shared" si="2"/>
        <v>0</v>
      </c>
      <c r="F140" s="1932">
        <f t="shared" si="6"/>
        <v>0</v>
      </c>
      <c r="G140" s="1792">
        <f t="shared" si="3"/>
        <v>0</v>
      </c>
    </row>
    <row r="141" spans="1:7">
      <c r="A141" s="1795" t="s">
        <v>156</v>
      </c>
      <c r="B141" s="1796"/>
      <c r="C141" s="1797"/>
      <c r="D141" s="1793">
        <f>SUM(D17:D140)</f>
        <v>0.1</v>
      </c>
      <c r="E141" s="1540">
        <f t="shared" si="0"/>
        <v>0.1</v>
      </c>
      <c r="F141" s="1933">
        <f>SUM(F17:F140)</f>
        <v>0</v>
      </c>
      <c r="G141" s="1794">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B49" sqref="B49"/>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4" customHeight="1">
      <c r="A1" s="1633" t="s">
        <v>1115</v>
      </c>
      <c r="B1" s="1634"/>
      <c r="C1" s="1635"/>
    </row>
    <row r="2" spans="1:9">
      <c r="A2" s="952" t="s">
        <v>1116</v>
      </c>
      <c r="B2" s="953"/>
      <c r="C2" s="953"/>
      <c r="D2" s="953"/>
      <c r="E2" s="954"/>
      <c r="F2" s="954"/>
      <c r="G2" s="955"/>
    </row>
    <row r="3" spans="1:9" ht="12" customHeight="1">
      <c r="A3" s="956" t="s">
        <v>1356</v>
      </c>
      <c r="B3" s="957"/>
      <c r="C3" s="957"/>
      <c r="D3" s="957"/>
      <c r="E3" s="958"/>
      <c r="F3" s="958"/>
      <c r="G3" s="959"/>
    </row>
    <row r="4" spans="1:9">
      <c r="A4" s="960" t="s">
        <v>755</v>
      </c>
      <c r="B4" s="961"/>
      <c r="C4" s="961"/>
      <c r="D4" s="961"/>
      <c r="E4" s="962"/>
      <c r="F4" s="963"/>
      <c r="G4" s="964"/>
      <c r="H4" s="252"/>
      <c r="I4" s="252"/>
    </row>
    <row r="5" spans="1:9" s="343" customFormat="1" ht="57" customHeight="1">
      <c r="A5" s="2339" t="s">
        <v>1679</v>
      </c>
      <c r="B5" s="2340"/>
      <c r="C5" s="2340"/>
      <c r="D5" s="2340"/>
      <c r="E5" s="2340"/>
      <c r="F5" s="2340"/>
      <c r="G5" s="2341"/>
      <c r="H5" s="252"/>
      <c r="I5" s="609"/>
    </row>
    <row r="6" spans="1:9" s="668" customFormat="1">
      <c r="A6" s="1636" t="s">
        <v>205</v>
      </c>
      <c r="B6" s="966"/>
      <c r="C6" s="966"/>
      <c r="D6" s="967"/>
      <c r="E6" s="967"/>
      <c r="F6" s="968"/>
      <c r="G6" s="969"/>
      <c r="H6" s="162"/>
      <c r="I6" s="162"/>
    </row>
    <row r="7" spans="1:9" s="668" customFormat="1" ht="12" customHeight="1">
      <c r="A7" s="970" t="s">
        <v>908</v>
      </c>
      <c r="B7" s="971"/>
      <c r="C7" s="971"/>
      <c r="D7" s="972"/>
      <c r="E7" s="973"/>
      <c r="F7" s="974"/>
      <c r="G7" s="975"/>
      <c r="H7" s="162"/>
      <c r="I7" s="162"/>
    </row>
    <row r="8" spans="1:9" s="668" customFormat="1" ht="12" customHeight="1">
      <c r="A8" s="970" t="s">
        <v>129</v>
      </c>
      <c r="B8" s="971"/>
      <c r="C8" s="971"/>
      <c r="D8" s="972"/>
      <c r="E8" s="973"/>
      <c r="F8" s="974"/>
      <c r="G8" s="975"/>
      <c r="H8" s="162"/>
      <c r="I8" s="162"/>
    </row>
    <row r="9" spans="1:9" s="668" customFormat="1" ht="12" customHeight="1">
      <c r="A9" s="970" t="s">
        <v>130</v>
      </c>
      <c r="B9" s="971"/>
      <c r="C9" s="971"/>
      <c r="D9" s="972"/>
      <c r="E9" s="973"/>
      <c r="F9" s="974"/>
      <c r="G9" s="975"/>
      <c r="H9" s="162"/>
      <c r="I9" s="162"/>
    </row>
    <row r="10" spans="1:9" s="668" customFormat="1" ht="12" customHeight="1">
      <c r="A10" s="970" t="s">
        <v>1930</v>
      </c>
      <c r="B10" s="971"/>
      <c r="C10" s="976"/>
      <c r="D10" s="972"/>
      <c r="E10" s="973"/>
      <c r="F10" s="974"/>
      <c r="G10" s="975"/>
      <c r="H10" s="162"/>
      <c r="I10" s="162"/>
    </row>
    <row r="11" spans="1:9" s="668" customFormat="1" ht="22.5" customHeight="1">
      <c r="A11" s="2344" t="s">
        <v>1974</v>
      </c>
      <c r="B11" s="2345"/>
      <c r="C11" s="2345"/>
      <c r="D11" s="2346"/>
      <c r="E11" s="977">
        <v>143088</v>
      </c>
      <c r="F11" s="974"/>
      <c r="G11" s="978"/>
      <c r="H11" s="162"/>
      <c r="I11" s="162"/>
    </row>
    <row r="12" spans="1:9" s="668" customFormat="1" ht="12" customHeight="1">
      <c r="A12" s="970" t="s">
        <v>131</v>
      </c>
      <c r="B12" s="971"/>
      <c r="C12" s="971"/>
      <c r="D12" s="972"/>
      <c r="E12" s="973"/>
      <c r="F12" s="974"/>
      <c r="G12" s="975"/>
      <c r="H12" s="162"/>
      <c r="I12" s="162"/>
    </row>
    <row r="13" spans="1:9" s="668" customFormat="1" ht="12" customHeight="1">
      <c r="A13" s="970" t="s">
        <v>203</v>
      </c>
      <c r="B13" s="971"/>
      <c r="C13" s="971"/>
      <c r="D13" s="972"/>
      <c r="E13" s="973"/>
      <c r="F13" s="974"/>
      <c r="G13" s="975"/>
      <c r="H13" s="162"/>
      <c r="I13" s="162"/>
    </row>
    <row r="14" spans="1:9" s="668" customFormat="1" ht="12" customHeight="1">
      <c r="A14" s="970" t="s">
        <v>204</v>
      </c>
      <c r="B14" s="971"/>
      <c r="C14" s="971"/>
      <c r="D14" s="972"/>
      <c r="E14" s="973"/>
      <c r="F14" s="979"/>
      <c r="G14" s="980"/>
      <c r="H14" s="162"/>
      <c r="I14" s="162"/>
    </row>
    <row r="15" spans="1:9" s="668" customFormat="1" ht="12" customHeight="1">
      <c r="A15" s="965" t="s">
        <v>371</v>
      </c>
      <c r="B15" s="967"/>
      <c r="C15" s="967"/>
      <c r="D15" s="967"/>
      <c r="E15" s="967"/>
      <c r="F15" s="967"/>
      <c r="G15" s="981"/>
      <c r="H15" s="162"/>
      <c r="I15" s="162"/>
    </row>
    <row r="16" spans="1:9" s="668" customFormat="1">
      <c r="A16" s="982" t="s">
        <v>1376</v>
      </c>
      <c r="B16" s="983"/>
      <c r="C16" s="984"/>
      <c r="D16" s="963"/>
      <c r="E16" s="958"/>
      <c r="F16" s="958"/>
      <c r="G16" s="959"/>
      <c r="H16" s="162"/>
      <c r="I16" s="162"/>
    </row>
    <row r="17" spans="1:9" s="668" customFormat="1" ht="12" customHeight="1">
      <c r="A17" s="985"/>
      <c r="B17" s="986"/>
      <c r="C17" s="329"/>
      <c r="D17" s="1637" t="s">
        <v>532</v>
      </c>
      <c r="E17" s="1638"/>
      <c r="F17" s="1637" t="s">
        <v>433</v>
      </c>
      <c r="G17" s="1639"/>
      <c r="H17" s="162"/>
      <c r="I17" s="162"/>
    </row>
    <row r="18" spans="1:9" s="259" customFormat="1" ht="11.25">
      <c r="A18" s="988"/>
      <c r="C18" s="989" t="s">
        <v>434</v>
      </c>
      <c r="D18" s="1640" t="s">
        <v>435</v>
      </c>
      <c r="E18" s="1640" t="s">
        <v>53</v>
      </c>
      <c r="F18" s="1640" t="s">
        <v>435</v>
      </c>
      <c r="G18" s="1640" t="s">
        <v>53</v>
      </c>
      <c r="H18" s="178"/>
      <c r="I18" s="178"/>
    </row>
    <row r="19" spans="1:9" s="668" customFormat="1" ht="12" customHeight="1">
      <c r="A19" s="990" t="s">
        <v>456</v>
      </c>
      <c r="B19" s="991"/>
      <c r="C19" s="992" t="s">
        <v>570</v>
      </c>
      <c r="D19" s="1798"/>
      <c r="E19" s="1799">
        <f>'Expenditures 15-22'!K33-SUM('Expenditures 15-22'!G33,'Expenditures 15-22'!I33)+'Expenditures 15-22'!D229</f>
        <v>15905163</v>
      </c>
      <c r="F19" s="1798"/>
      <c r="G19" s="1800">
        <f>'Expenditures 15-22'!K33-SUM('Expenditures 15-22'!G33,'Expenditures 15-22'!I33)+'Expenditures 15-22'!D229</f>
        <v>15905163</v>
      </c>
      <c r="H19" s="987"/>
      <c r="I19" s="162"/>
    </row>
    <row r="20" spans="1:9" s="668" customFormat="1" ht="12" customHeight="1">
      <c r="A20" s="990" t="s">
        <v>54</v>
      </c>
      <c r="B20" s="991"/>
      <c r="C20" s="993"/>
      <c r="D20" s="1801"/>
      <c r="E20" s="1801"/>
      <c r="F20" s="1801"/>
      <c r="G20" s="1802"/>
      <c r="H20" s="987"/>
      <c r="I20" s="162"/>
    </row>
    <row r="21" spans="1:9" s="668" customFormat="1" ht="12" customHeight="1">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2103870</v>
      </c>
      <c r="F21" s="1801"/>
      <c r="G21" s="1804">
        <f>'Expenditures 15-22'!K42-SUM('Expenditures 15-22'!G42,'Expenditures 15-22'!I42)+'Expenditures 15-22'!K120-SUM('Expenditures 15-22'!G120,'Expenditures 15-22'!I120)+'Expenditures 15-22'!K180-SUM('Expenditures 15-22'!G180,'Expenditures 15-22'!I180)+'Expenditures 15-22'!D238</f>
        <v>2103870</v>
      </c>
      <c r="H21" s="987"/>
      <c r="I21" s="162"/>
    </row>
    <row r="22" spans="1:9" s="668" customFormat="1" ht="12" customHeight="1">
      <c r="A22" s="994" t="s">
        <v>564</v>
      </c>
      <c r="B22" s="995"/>
      <c r="C22" s="993">
        <v>2200</v>
      </c>
      <c r="D22" s="1801"/>
      <c r="E22" s="1803">
        <f>'Expenditures 15-22'!K47-SUM('Expenditures 15-22'!G47,'Expenditures 15-22'!I47)+'Expenditures 15-22'!D243</f>
        <v>1233166</v>
      </c>
      <c r="F22" s="1801"/>
      <c r="G22" s="1804">
        <f>'Expenditures 15-22'!K47-SUM('Expenditures 15-22'!G47,'Expenditures 15-22'!I47)+'Expenditures 15-22'!D243</f>
        <v>1233166</v>
      </c>
      <c r="H22" s="987"/>
      <c r="I22" s="162"/>
    </row>
    <row r="23" spans="1:9" s="668" customFormat="1" ht="12" customHeight="1">
      <c r="A23" s="994" t="s">
        <v>565</v>
      </c>
      <c r="B23" s="995"/>
      <c r="C23" s="993">
        <v>2300</v>
      </c>
      <c r="D23" s="1801"/>
      <c r="E23" s="1803">
        <f>'Expenditures 15-22'!K53-SUM('Expenditures 15-22'!G53,'Expenditures 15-22'!I53)+'Expenditures 15-22'!D257+'Expenditures 15-22'!K330-SUM('Expenditures 15-22'!G330,'Expenditures 15-22'!I330)</f>
        <v>1614669</v>
      </c>
      <c r="F23" s="1801"/>
      <c r="G23" s="1803">
        <f>'Expenditures 15-22'!K53-SUM('Expenditures 15-22'!G53,'Expenditures 15-22'!I53)+'Expenditures 15-22'!D257+'Expenditures 15-22'!K330-SUM('Expenditures 15-22'!G330,'Expenditures 15-22'!I330)</f>
        <v>1614669</v>
      </c>
      <c r="H23" s="987"/>
      <c r="I23" s="162"/>
    </row>
    <row r="24" spans="1:9" s="668" customFormat="1" ht="12" customHeight="1">
      <c r="A24" s="994" t="s">
        <v>566</v>
      </c>
      <c r="B24" s="995"/>
      <c r="C24" s="993">
        <v>2400</v>
      </c>
      <c r="D24" s="1801"/>
      <c r="E24" s="1803">
        <f>'Expenditures 15-22'!K57-SUM('Expenditures 15-22'!G57,'Expenditures 15-22'!I57)+'Expenditures 15-22'!D261</f>
        <v>1522772</v>
      </c>
      <c r="F24" s="1801"/>
      <c r="G24" s="1804">
        <f>'Expenditures 15-22'!K57-SUM('Expenditures 15-22'!G57,'Expenditures 15-22'!I57)+'Expenditures 15-22'!D261</f>
        <v>1522772</v>
      </c>
      <c r="H24" s="987"/>
      <c r="I24" s="162"/>
    </row>
    <row r="25" spans="1:9" s="668" customFormat="1" ht="12" customHeight="1">
      <c r="A25" s="990" t="s">
        <v>567</v>
      </c>
      <c r="B25" s="996"/>
      <c r="C25" s="993"/>
      <c r="D25" s="1801"/>
      <c r="E25" s="1803"/>
      <c r="F25" s="1801"/>
      <c r="G25" s="1804"/>
      <c r="H25" s="987"/>
      <c r="I25" s="162"/>
    </row>
    <row r="26" spans="1:9" s="668" customFormat="1" ht="12" customHeight="1">
      <c r="A26" s="994" t="s">
        <v>515</v>
      </c>
      <c r="B26" s="997"/>
      <c r="C26" s="993">
        <v>2510</v>
      </c>
      <c r="D26" s="1803">
        <f>'Expenditures 15-22'!K59-SUM('Expenditures 15-22'!G59,'Expenditures 15-22'!I59)+'Expenditures 15-22'!D263-E7</f>
        <v>165411</v>
      </c>
      <c r="E26" s="1803">
        <f>'Expenditures 15-22'!K122-SUM('Expenditures 15-22'!G122,'Expenditures 15-22'!I122)+E7</f>
        <v>0</v>
      </c>
      <c r="F26" s="1803">
        <f>'Expenditures 15-22'!K59-SUM('Expenditures 15-22'!G59,'Expenditures 15-22'!I59)+'Expenditures 15-22'!D263-E7</f>
        <v>165411</v>
      </c>
      <c r="G26" s="1804">
        <f>'Expenditures 15-22'!K122-SUM('Expenditures 15-22'!G122,'Expenditures 15-22'!I122)+E7</f>
        <v>0</v>
      </c>
      <c r="H26" s="987"/>
      <c r="I26" s="162"/>
    </row>
    <row r="27" spans="1:9" s="668" customFormat="1" ht="12" customHeight="1">
      <c r="A27" s="994" t="s">
        <v>463</v>
      </c>
      <c r="B27" s="997"/>
      <c r="C27" s="993">
        <v>2520</v>
      </c>
      <c r="D27" s="1803">
        <f>'Expenditures 15-22'!K60-SUM('Expenditures 15-22'!G60,'Expenditures 15-22'!I60)+'Expenditures 15-22'!D264-E8</f>
        <v>152615</v>
      </c>
      <c r="E27" s="1803">
        <f>E8</f>
        <v>0</v>
      </c>
      <c r="F27" s="1803">
        <f>'Expenditures 15-22'!K60-SUM('Expenditures 15-22'!G60,'Expenditures 15-22'!I60)+'Expenditures 15-22'!D264-E8</f>
        <v>152615</v>
      </c>
      <c r="G27" s="1804">
        <f>E8</f>
        <v>0</v>
      </c>
      <c r="H27" s="987"/>
      <c r="I27" s="162"/>
    </row>
    <row r="28" spans="1:9" s="668" customFormat="1" ht="12" customHeight="1">
      <c r="A28" s="994" t="s">
        <v>516</v>
      </c>
      <c r="B28" s="997"/>
      <c r="C28" s="993">
        <v>2540</v>
      </c>
      <c r="D28" s="1805"/>
      <c r="E28" s="1803">
        <f>'Expenditures 15-22'!K61-SUM('Expenditures 15-22'!G61,'Expenditures 15-22'!I61)+'Expenditures 15-22'!K124-SUM('Expenditures 15-22'!G124,'Expenditures 15-22'!I124)+'Expenditures 15-22'!D266</f>
        <v>2358152</v>
      </c>
      <c r="F28" s="1805">
        <f>'Expenditures 15-22'!K61-SUM('Expenditures 15-22'!G61,'Expenditures 15-22'!I61)+'Expenditures 15-22'!K124-SUM('Expenditures 15-22'!G124,'Expenditures 15-22'!I124)+'Expenditures 15-22'!D266-E9</f>
        <v>2358152</v>
      </c>
      <c r="G28" s="1804">
        <f>E9</f>
        <v>0</v>
      </c>
      <c r="H28" s="987"/>
      <c r="I28" s="162"/>
    </row>
    <row r="29" spans="1:9" ht="12" customHeight="1">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1840868</v>
      </c>
      <c r="F29" s="1801"/>
      <c r="G29" s="1804">
        <f>'Expenditures 15-22'!K62-SUM('Expenditures 15-22'!G62,'Expenditures 15-22'!I62)+'Expenditures 15-22'!K125-SUM('Expenditures 15-22'!G125,'Expenditures 15-22'!I125)+'Expenditures 15-22'!K182-SUM('Expenditures 15-22'!G182,'Expenditures 15-22'!I182)+'Expenditures 15-22'!D267</f>
        <v>1840868</v>
      </c>
      <c r="H29" s="985"/>
    </row>
    <row r="30" spans="1:9" ht="12" customHeight="1">
      <c r="A30" s="994" t="s">
        <v>100</v>
      </c>
      <c r="B30" s="997"/>
      <c r="C30" s="993">
        <v>2560</v>
      </c>
      <c r="D30" s="1801"/>
      <c r="E30" s="1803">
        <f>'Expenditures 15-22'!K63-SUM('Expenditures 15-22'!G63,'Expenditures 15-22'!I63)+'Expenditures 15-22'!D268-E10</f>
        <v>1676325</v>
      </c>
      <c r="F30" s="1801"/>
      <c r="G30" s="1803">
        <f>'Expenditures 15-22'!K63-SUM('Expenditures 15-22'!G63,'Expenditures 15-22'!I63)+'Expenditures 15-22'!D268-E10</f>
        <v>1676325</v>
      </c>
    </row>
    <row r="31" spans="1:9" ht="12" customHeight="1">
      <c r="A31" s="994" t="s">
        <v>101</v>
      </c>
      <c r="B31" s="997"/>
      <c r="C31" s="993">
        <v>2570</v>
      </c>
      <c r="D31" s="1803">
        <f>'Expenditures 15-22'!K64-SUM('Expenditures 15-22'!G64,'Expenditures 15-22'!I64)+'Expenditures 15-22'!D269-E12</f>
        <v>224840</v>
      </c>
      <c r="E31" s="1803">
        <f>E12</f>
        <v>0</v>
      </c>
      <c r="F31" s="1803">
        <f>'Expenditures 15-22'!K64-SUM('Expenditures 15-22'!G64,'Expenditures 15-22'!I64)+'Expenditures 15-22'!D269-E12</f>
        <v>224840</v>
      </c>
      <c r="G31" s="1803">
        <f>E12</f>
        <v>0</v>
      </c>
    </row>
    <row r="32" spans="1:9" ht="12" customHeight="1">
      <c r="A32" s="990" t="s">
        <v>518</v>
      </c>
      <c r="B32" s="996"/>
      <c r="C32" s="993"/>
      <c r="D32" s="1801"/>
      <c r="E32" s="1801"/>
      <c r="F32" s="1801"/>
      <c r="G32" s="1801"/>
    </row>
    <row r="33" spans="1:7" ht="12" customHeight="1">
      <c r="A33" s="994" t="s">
        <v>519</v>
      </c>
      <c r="B33" s="997"/>
      <c r="C33" s="993">
        <v>2610</v>
      </c>
      <c r="D33" s="1801"/>
      <c r="E33" s="1803">
        <f>'Expenditures 15-22'!K67-SUM('Expenditures 15-22'!G67,'Expenditures 15-22'!I67)+'Expenditures 15-22'!D272</f>
        <v>228880</v>
      </c>
      <c r="F33" s="1801"/>
      <c r="G33" s="1803">
        <f>'Expenditures 15-22'!K67-SUM('Expenditures 15-22'!G67,'Expenditures 15-22'!I67)+'Expenditures 15-22'!D272</f>
        <v>228880</v>
      </c>
    </row>
    <row r="34" spans="1:7" ht="12" customHeight="1">
      <c r="A34" s="994" t="s">
        <v>520</v>
      </c>
      <c r="B34" s="997"/>
      <c r="C34" s="993">
        <v>2620</v>
      </c>
      <c r="D34" s="1801"/>
      <c r="E34" s="1803">
        <f>'Expenditures 15-22'!K68-SUM('Expenditures 15-22'!G68,'Expenditures 15-22'!I68)+'Expenditures 15-22'!D273</f>
        <v>513</v>
      </c>
      <c r="F34" s="1801"/>
      <c r="G34" s="1803">
        <f>'Expenditures 15-22'!K68-SUM('Expenditures 15-22'!G68,'Expenditures 15-22'!I68)+'Expenditures 15-22'!D273</f>
        <v>513</v>
      </c>
    </row>
    <row r="35" spans="1:7" ht="12" customHeight="1">
      <c r="A35" s="994" t="s">
        <v>1061</v>
      </c>
      <c r="B35" s="997"/>
      <c r="C35" s="993">
        <v>2630</v>
      </c>
      <c r="D35" s="1801"/>
      <c r="E35" s="1803">
        <f>'Expenditures 15-22'!K69-SUM('Expenditures 15-22'!G69,'Expenditures 15-22'!I69)+'Expenditures 15-22'!D274</f>
        <v>763727</v>
      </c>
      <c r="F35" s="1801"/>
      <c r="G35" s="1803">
        <f>'Expenditures 15-22'!K69-SUM('Expenditures 15-22'!G69,'Expenditures 15-22'!I69)+'Expenditures 15-22'!D274</f>
        <v>763727</v>
      </c>
    </row>
    <row r="36" spans="1:7" ht="12" customHeight="1">
      <c r="A36" s="994" t="s">
        <v>403</v>
      </c>
      <c r="B36" s="997"/>
      <c r="C36" s="993">
        <v>2640</v>
      </c>
      <c r="D36" s="1803">
        <f>'Expenditures 15-22'!K70-SUM('Expenditures 15-22'!G70,'Expenditures 15-22'!I70)+'Expenditures 15-22'!D275-E13</f>
        <v>166757</v>
      </c>
      <c r="E36" s="1803">
        <f>E13</f>
        <v>0</v>
      </c>
      <c r="F36" s="1803">
        <f>'Expenditures 15-22'!K70-SUM('Expenditures 15-22'!G70,'Expenditures 15-22'!I70)+'Expenditures 15-22'!D275-E13</f>
        <v>166757</v>
      </c>
      <c r="G36" s="1803">
        <f>E13</f>
        <v>0</v>
      </c>
    </row>
    <row r="37" spans="1:7" ht="12" customHeight="1">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89413</v>
      </c>
      <c r="F39" s="1801"/>
      <c r="G39" s="1803">
        <f>'Expenditures 15-22'!K75-SUM('Expenditures 15-22'!G75,'Expenditures 15-22'!I75)+'Expenditures 15-22'!K130-SUM('Expenditures 15-22'!G130,'Expenditures 15-22'!I130)+'Expenditures 15-22'!K185-SUM('Expenditures 15-22'!G185,'Expenditures 15-22'!I185)+'Expenditures 15-22'!D280</f>
        <v>89413</v>
      </c>
    </row>
    <row r="40" spans="1:7" ht="12" customHeight="1">
      <c r="A40" s="990" t="s">
        <v>1820</v>
      </c>
      <c r="B40" s="991"/>
      <c r="C40" s="993"/>
      <c r="D40" s="1801"/>
      <c r="E40" s="1805">
        <f>-'Contracts Paid in CY 29'!G141</f>
        <v>0</v>
      </c>
      <c r="F40" s="1801"/>
      <c r="G40" s="1805">
        <f>-'Contracts Paid in CY 29'!G141</f>
        <v>0</v>
      </c>
    </row>
    <row r="41" spans="1:7" ht="12" customHeight="1">
      <c r="A41" s="998" t="s">
        <v>156</v>
      </c>
      <c r="B41" s="999"/>
      <c r="C41" s="1000"/>
      <c r="D41" s="1805">
        <f>SUM(D19:D39)</f>
        <v>709623</v>
      </c>
      <c r="E41" s="1805">
        <f>SUM(E19:E40)</f>
        <v>29337518</v>
      </c>
      <c r="F41" s="1805">
        <f>SUM(F19:F39)</f>
        <v>3067775</v>
      </c>
      <c r="G41" s="1805">
        <f>SUM(G19:G40)</f>
        <v>26979366</v>
      </c>
    </row>
    <row r="42" spans="1:7">
      <c r="A42" s="987"/>
      <c r="B42" s="162"/>
      <c r="C42" s="1001"/>
      <c r="D42" s="2342" t="s">
        <v>522</v>
      </c>
      <c r="E42" s="2343"/>
      <c r="F42" s="1002" t="s">
        <v>523</v>
      </c>
      <c r="G42" s="1003"/>
    </row>
    <row r="43" spans="1:7" ht="12" customHeight="1">
      <c r="A43" s="987"/>
      <c r="B43" s="162"/>
      <c r="C43" s="1001"/>
      <c r="D43" s="1806" t="s">
        <v>473</v>
      </c>
      <c r="E43" s="1807">
        <f>D41</f>
        <v>709623</v>
      </c>
      <c r="F43" s="1806" t="s">
        <v>473</v>
      </c>
      <c r="G43" s="1807">
        <f>F41</f>
        <v>3067775</v>
      </c>
    </row>
    <row r="44" spans="1:7" ht="12" customHeight="1">
      <c r="A44" s="987"/>
      <c r="B44" s="162"/>
      <c r="C44" s="1001"/>
      <c r="D44" s="1806" t="s">
        <v>474</v>
      </c>
      <c r="E44" s="1807">
        <f>E41</f>
        <v>29337518</v>
      </c>
      <c r="F44" s="1806" t="s">
        <v>474</v>
      </c>
      <c r="G44" s="1807">
        <f>G41</f>
        <v>26979366</v>
      </c>
    </row>
    <row r="45" spans="1:7" ht="12" customHeight="1">
      <c r="A45" s="987"/>
      <c r="B45" s="162"/>
      <c r="C45" s="162"/>
      <c r="D45" s="1808" t="s">
        <v>1006</v>
      </c>
      <c r="E45" s="1809">
        <f>(E43/E44)</f>
        <v>2.4188242509131142E-2</v>
      </c>
      <c r="F45" s="1808" t="s">
        <v>1006</v>
      </c>
      <c r="G45" s="1809">
        <f>(G43/G44)</f>
        <v>0.11370819462547786</v>
      </c>
    </row>
    <row r="46" spans="1:7">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23" activePane="bottomLeft" state="frozen"/>
      <selection activeCell="B49" sqref="B49"/>
      <selection pane="bottomLeft" activeCell="B49" sqref="B49"/>
    </sheetView>
  </sheetViews>
  <sheetFormatPr defaultColWidth="9.140625" defaultRowHeight="12.75"/>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c r="A1" s="2361" t="s">
        <v>1379</v>
      </c>
      <c r="B1" s="2361"/>
      <c r="C1" s="2361"/>
      <c r="D1" s="2361"/>
      <c r="E1" s="2361"/>
      <c r="F1" s="2361"/>
    </row>
    <row r="2" spans="1:10">
      <c r="A2" s="1886" t="s">
        <v>1909</v>
      </c>
      <c r="B2" s="1847"/>
      <c r="C2" s="1886"/>
      <c r="D2" s="1847"/>
      <c r="E2" s="1847"/>
      <c r="F2" s="1848"/>
    </row>
    <row r="3" spans="1:10">
      <c r="A3" s="1886" t="s">
        <v>1975</v>
      </c>
      <c r="B3" s="1847"/>
      <c r="C3" s="1886"/>
      <c r="D3" s="1847"/>
      <c r="E3" s="1847"/>
      <c r="F3" s="1848"/>
    </row>
    <row r="4" spans="1:10" ht="3.75" customHeight="1">
      <c r="A4" s="1847"/>
      <c r="B4" s="1847"/>
      <c r="C4" s="1847"/>
      <c r="D4" s="1847"/>
      <c r="E4" s="1847"/>
      <c r="F4" s="1848"/>
    </row>
    <row r="5" spans="1:10" ht="15">
      <c r="A5" s="2362" t="s">
        <v>1546</v>
      </c>
      <c r="B5" s="2363"/>
      <c r="C5" s="2364"/>
      <c r="D5" s="2364"/>
      <c r="E5" s="2364"/>
      <c r="F5" s="2364"/>
    </row>
    <row r="6" spans="1:10" ht="12" customHeight="1">
      <c r="A6" s="1849"/>
      <c r="B6" s="1850"/>
      <c r="C6" s="2365" t="str">
        <f>COVER!A17</f>
        <v>East Moline SD 37</v>
      </c>
      <c r="D6" s="2365"/>
      <c r="E6" s="2365"/>
      <c r="F6" s="1851"/>
    </row>
    <row r="7" spans="1:10" ht="11.25" customHeight="1" thickBot="1">
      <c r="A7" s="1849"/>
      <c r="B7" s="1850"/>
      <c r="C7" s="2366">
        <f>COVER!A13</f>
        <v>49081037002</v>
      </c>
      <c r="D7" s="2366"/>
      <c r="E7" s="2366"/>
      <c r="F7" s="1851"/>
    </row>
    <row r="8" spans="1:10" ht="25.5" customHeight="1" thickBot="1">
      <c r="A8" s="1892" t="s">
        <v>1905</v>
      </c>
      <c r="B8" s="1852"/>
      <c r="C8" s="1888" t="s">
        <v>1681</v>
      </c>
      <c r="D8" s="1887" t="s">
        <v>1682</v>
      </c>
      <c r="E8" s="1889" t="s">
        <v>1380</v>
      </c>
      <c r="F8" s="1887" t="s">
        <v>1683</v>
      </c>
      <c r="H8" s="1853" t="b">
        <v>0</v>
      </c>
    </row>
    <row r="9" spans="1:10" ht="15.75" customHeight="1">
      <c r="A9" s="1854" t="s">
        <v>1542</v>
      </c>
      <c r="B9" s="1855"/>
      <c r="C9" s="1856"/>
      <c r="D9" s="1856"/>
      <c r="E9" s="1857"/>
      <c r="F9" s="1858"/>
    </row>
    <row r="10" spans="1:10" ht="27.75" customHeight="1">
      <c r="A10" s="1859" t="s">
        <v>1680</v>
      </c>
      <c r="B10" s="1860"/>
      <c r="C10" s="1861"/>
      <c r="D10" s="1861"/>
      <c r="E10" s="1890" t="s">
        <v>1381</v>
      </c>
      <c r="F10" s="1891" t="s">
        <v>1382</v>
      </c>
    </row>
    <row r="11" spans="1:10" ht="12" customHeight="1">
      <c r="A11" s="1862" t="s">
        <v>1383</v>
      </c>
      <c r="B11" s="1863"/>
      <c r="C11" s="1864"/>
      <c r="D11" s="1864"/>
      <c r="E11" s="1865"/>
      <c r="F11" s="1866"/>
      <c r="H11" s="1877">
        <f>IF(C11="X",5,0)</f>
        <v>0</v>
      </c>
      <c r="I11" s="1877">
        <f>IF(D11="X",5,0)</f>
        <v>0</v>
      </c>
      <c r="J11" s="1877">
        <f>IF(E11="X",5,0)</f>
        <v>0</v>
      </c>
    </row>
    <row r="12" spans="1:10" ht="12" customHeight="1">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c r="A13" s="1862" t="s">
        <v>1385</v>
      </c>
      <c r="B13" s="1863"/>
      <c r="C13" s="1864"/>
      <c r="D13" s="1864"/>
      <c r="E13" s="1867"/>
      <c r="F13" s="1866"/>
      <c r="H13" s="1877">
        <f t="shared" si="0"/>
        <v>0</v>
      </c>
      <c r="I13" s="1877">
        <f t="shared" si="1"/>
        <v>0</v>
      </c>
      <c r="J13" s="1877">
        <f t="shared" si="2"/>
        <v>0</v>
      </c>
    </row>
    <row r="14" spans="1:10" ht="12" customHeight="1">
      <c r="A14" s="1862" t="s">
        <v>1386</v>
      </c>
      <c r="B14" s="1863"/>
      <c r="C14" s="1864"/>
      <c r="D14" s="1864"/>
      <c r="E14" s="1867"/>
      <c r="F14" s="1866"/>
      <c r="H14" s="1877">
        <f t="shared" si="0"/>
        <v>0</v>
      </c>
      <c r="I14" s="1877">
        <f t="shared" si="1"/>
        <v>0</v>
      </c>
      <c r="J14" s="1877">
        <f t="shared" si="2"/>
        <v>0</v>
      </c>
    </row>
    <row r="15" spans="1:10" ht="12" customHeight="1">
      <c r="A15" s="1862" t="s">
        <v>1387</v>
      </c>
      <c r="B15" s="1863"/>
      <c r="C15" s="1864"/>
      <c r="D15" s="1864"/>
      <c r="E15" s="1867"/>
      <c r="F15" s="1866"/>
      <c r="H15" s="1877">
        <f t="shared" si="0"/>
        <v>0</v>
      </c>
      <c r="I15" s="1877">
        <f t="shared" si="1"/>
        <v>0</v>
      </c>
      <c r="J15" s="1877">
        <f t="shared" si="2"/>
        <v>0</v>
      </c>
    </row>
    <row r="16" spans="1:10" ht="12" customHeight="1">
      <c r="A16" s="1862" t="s">
        <v>1388</v>
      </c>
      <c r="B16" s="1863"/>
      <c r="C16" s="1864"/>
      <c r="D16" s="1864"/>
      <c r="E16" s="1867"/>
      <c r="F16" s="1866"/>
      <c r="H16" s="1877">
        <f t="shared" si="0"/>
        <v>0</v>
      </c>
      <c r="I16" s="1877">
        <f t="shared" si="1"/>
        <v>0</v>
      </c>
      <c r="J16" s="1877">
        <f t="shared" si="2"/>
        <v>0</v>
      </c>
    </row>
    <row r="17" spans="1:12" ht="12" customHeight="1">
      <c r="A17" s="1862" t="s">
        <v>1389</v>
      </c>
      <c r="B17" s="1863"/>
      <c r="C17" s="1864"/>
      <c r="D17" s="1864"/>
      <c r="E17" s="1867"/>
      <c r="F17" s="1866"/>
      <c r="H17" s="1877">
        <f t="shared" si="0"/>
        <v>0</v>
      </c>
      <c r="I17" s="1877">
        <f t="shared" si="1"/>
        <v>0</v>
      </c>
      <c r="J17" s="1877">
        <f t="shared" si="2"/>
        <v>0</v>
      </c>
    </row>
    <row r="18" spans="1:12" ht="12" customHeight="1">
      <c r="A18" s="1862" t="s">
        <v>1390</v>
      </c>
      <c r="B18" s="1863"/>
      <c r="C18" s="1864"/>
      <c r="D18" s="1864"/>
      <c r="E18" s="1867"/>
      <c r="F18" s="1866"/>
      <c r="H18" s="1877">
        <f t="shared" si="0"/>
        <v>0</v>
      </c>
      <c r="I18" s="1877">
        <f t="shared" si="1"/>
        <v>0</v>
      </c>
      <c r="J18" s="1877">
        <f t="shared" si="2"/>
        <v>0</v>
      </c>
    </row>
    <row r="19" spans="1:12" ht="12" customHeight="1">
      <c r="A19" s="1862" t="s">
        <v>1527</v>
      </c>
      <c r="B19" s="1863"/>
      <c r="C19" s="1864"/>
      <c r="D19" s="1864"/>
      <c r="E19" s="1867"/>
      <c r="F19" s="1866"/>
      <c r="H19" s="1877">
        <f t="shared" si="0"/>
        <v>0</v>
      </c>
      <c r="I19" s="1877">
        <f t="shared" si="1"/>
        <v>0</v>
      </c>
      <c r="J19" s="1877">
        <f t="shared" si="2"/>
        <v>0</v>
      </c>
    </row>
    <row r="20" spans="1:12" ht="12" customHeight="1">
      <c r="A20" s="1862" t="s">
        <v>1528</v>
      </c>
      <c r="B20" s="1863"/>
      <c r="C20" s="1864"/>
      <c r="D20" s="1864"/>
      <c r="E20" s="1867"/>
      <c r="F20" s="1866"/>
      <c r="H20" s="1877">
        <f t="shared" si="0"/>
        <v>0</v>
      </c>
      <c r="I20" s="1877">
        <f t="shared" si="1"/>
        <v>0</v>
      </c>
      <c r="J20" s="1877">
        <f t="shared" si="2"/>
        <v>0</v>
      </c>
    </row>
    <row r="21" spans="1:12" ht="12" customHeight="1">
      <c r="A21" s="1862" t="s">
        <v>1529</v>
      </c>
      <c r="B21" s="1863"/>
      <c r="C21" s="1864"/>
      <c r="D21" s="1864"/>
      <c r="E21" s="1867"/>
      <c r="F21" s="1866"/>
      <c r="H21" s="1877">
        <f t="shared" si="0"/>
        <v>0</v>
      </c>
      <c r="I21" s="1877">
        <f t="shared" si="1"/>
        <v>0</v>
      </c>
      <c r="J21" s="1877">
        <f t="shared" si="2"/>
        <v>0</v>
      </c>
    </row>
    <row r="22" spans="1:12" ht="12" customHeight="1">
      <c r="A22" s="1862" t="s">
        <v>1530</v>
      </c>
      <c r="B22" s="1863"/>
      <c r="C22" s="1864"/>
      <c r="D22" s="1864"/>
      <c r="E22" s="1867"/>
      <c r="F22" s="1866"/>
      <c r="H22" s="1877">
        <f t="shared" si="0"/>
        <v>0</v>
      </c>
      <c r="I22" s="1877">
        <f t="shared" si="1"/>
        <v>0</v>
      </c>
      <c r="J22" s="1877">
        <f t="shared" si="2"/>
        <v>0</v>
      </c>
    </row>
    <row r="23" spans="1:12" ht="12" customHeight="1">
      <c r="A23" s="1862" t="s">
        <v>1531</v>
      </c>
      <c r="B23" s="1863"/>
      <c r="C23" s="1864"/>
      <c r="D23" s="1864"/>
      <c r="E23" s="1867"/>
      <c r="F23" s="1866"/>
      <c r="H23" s="1877">
        <f t="shared" si="0"/>
        <v>0</v>
      </c>
      <c r="I23" s="1877">
        <f t="shared" si="1"/>
        <v>0</v>
      </c>
      <c r="J23" s="1877">
        <f t="shared" si="2"/>
        <v>0</v>
      </c>
    </row>
    <row r="24" spans="1:12" ht="12" customHeight="1">
      <c r="A24" s="1862" t="s">
        <v>1532</v>
      </c>
      <c r="B24" s="1863"/>
      <c r="C24" s="1864"/>
      <c r="D24" s="1864"/>
      <c r="E24" s="1867"/>
      <c r="F24" s="1866"/>
      <c r="H24" s="1877">
        <f t="shared" si="0"/>
        <v>0</v>
      </c>
      <c r="I24" s="1877">
        <f t="shared" si="1"/>
        <v>0</v>
      </c>
      <c r="J24" s="1877">
        <f t="shared" si="2"/>
        <v>0</v>
      </c>
    </row>
    <row r="25" spans="1:12" ht="12" customHeight="1">
      <c r="A25" s="1862" t="s">
        <v>1533</v>
      </c>
      <c r="B25" s="1863"/>
      <c r="C25" s="1864"/>
      <c r="D25" s="1864"/>
      <c r="E25" s="1867"/>
      <c r="F25" s="1866"/>
      <c r="H25" s="1877">
        <f t="shared" si="0"/>
        <v>0</v>
      </c>
      <c r="I25" s="1877">
        <f t="shared" si="1"/>
        <v>0</v>
      </c>
      <c r="J25" s="1877">
        <f t="shared" si="2"/>
        <v>0</v>
      </c>
    </row>
    <row r="26" spans="1:12" ht="12" customHeight="1">
      <c r="A26" s="1862" t="s">
        <v>1534</v>
      </c>
      <c r="B26" s="1863"/>
      <c r="C26" s="1864" t="s">
        <v>2069</v>
      </c>
      <c r="D26" s="1864" t="s">
        <v>2069</v>
      </c>
      <c r="E26" s="1867"/>
      <c r="F26" s="1866" t="s">
        <v>2211</v>
      </c>
      <c r="H26" s="1877">
        <f t="shared" si="0"/>
        <v>5</v>
      </c>
      <c r="I26" s="1877">
        <f t="shared" si="1"/>
        <v>5</v>
      </c>
      <c r="J26" s="1877">
        <f t="shared" si="2"/>
        <v>0</v>
      </c>
    </row>
    <row r="27" spans="1:12" ht="18.75">
      <c r="A27" s="1862" t="s">
        <v>1535</v>
      </c>
      <c r="B27" s="1863"/>
      <c r="C27" s="1864"/>
      <c r="D27" s="1864"/>
      <c r="E27" s="1867"/>
      <c r="F27" s="1866"/>
      <c r="H27" s="1877">
        <f t="shared" si="0"/>
        <v>0</v>
      </c>
      <c r="I27" s="1877">
        <f t="shared" si="1"/>
        <v>0</v>
      </c>
      <c r="J27" s="1877">
        <f t="shared" si="2"/>
        <v>0</v>
      </c>
    </row>
    <row r="28" spans="1:12" ht="12" customHeight="1">
      <c r="A28" s="1862" t="s">
        <v>1536</v>
      </c>
      <c r="B28" s="1863"/>
      <c r="C28" s="1864"/>
      <c r="D28" s="1864"/>
      <c r="E28" s="1867"/>
      <c r="F28" s="1866"/>
      <c r="H28" s="1877">
        <f t="shared" si="0"/>
        <v>0</v>
      </c>
      <c r="I28" s="1877">
        <f t="shared" si="1"/>
        <v>0</v>
      </c>
      <c r="J28" s="1877">
        <f t="shared" si="2"/>
        <v>0</v>
      </c>
    </row>
    <row r="29" spans="1:12" ht="12" customHeight="1">
      <c r="A29" s="1862" t="s">
        <v>1537</v>
      </c>
      <c r="B29" s="1863"/>
      <c r="C29" s="1864"/>
      <c r="D29" s="1864"/>
      <c r="E29" s="1867"/>
      <c r="F29" s="1866"/>
      <c r="H29" s="1877">
        <f t="shared" si="0"/>
        <v>0</v>
      </c>
      <c r="I29" s="1877">
        <f t="shared" si="1"/>
        <v>0</v>
      </c>
      <c r="J29" s="1877">
        <f t="shared" si="2"/>
        <v>0</v>
      </c>
    </row>
    <row r="30" spans="1:12" ht="12" customHeight="1">
      <c r="A30" s="1862" t="s">
        <v>1538</v>
      </c>
      <c r="B30" s="1863"/>
      <c r="C30" s="1864"/>
      <c r="D30" s="1864"/>
      <c r="E30" s="1867"/>
      <c r="F30" s="1866"/>
      <c r="H30" s="1877">
        <f t="shared" si="0"/>
        <v>0</v>
      </c>
      <c r="I30" s="1877">
        <f t="shared" si="1"/>
        <v>0</v>
      </c>
      <c r="J30" s="1877">
        <f t="shared" si="2"/>
        <v>0</v>
      </c>
    </row>
    <row r="31" spans="1:12" ht="12" customHeight="1">
      <c r="A31" s="1862" t="s">
        <v>1539</v>
      </c>
      <c r="B31" s="1863"/>
      <c r="C31" s="1864"/>
      <c r="D31" s="1864"/>
      <c r="E31" s="1867"/>
      <c r="F31" s="1866"/>
      <c r="H31" s="1877">
        <f t="shared" si="0"/>
        <v>0</v>
      </c>
      <c r="I31" s="1877">
        <f t="shared" si="1"/>
        <v>0</v>
      </c>
      <c r="J31" s="1877">
        <f t="shared" si="2"/>
        <v>0</v>
      </c>
      <c r="L31" s="1868"/>
    </row>
    <row r="32" spans="1:12" ht="12" customHeight="1">
      <c r="A32" s="1862" t="s">
        <v>1540</v>
      </c>
      <c r="B32" s="1863"/>
      <c r="C32" s="1864"/>
      <c r="D32" s="1864"/>
      <c r="E32" s="1867"/>
      <c r="F32" s="1866"/>
      <c r="H32" s="1877">
        <f t="shared" si="0"/>
        <v>0</v>
      </c>
      <c r="I32" s="1877">
        <f t="shared" si="1"/>
        <v>0</v>
      </c>
      <c r="J32" s="1877">
        <f t="shared" si="2"/>
        <v>0</v>
      </c>
    </row>
    <row r="33" spans="1:11" ht="12" customHeight="1">
      <c r="A33" s="1862" t="s">
        <v>1541</v>
      </c>
      <c r="B33" s="1863"/>
      <c r="C33" s="1864"/>
      <c r="D33" s="1864"/>
      <c r="E33" s="1867"/>
      <c r="F33" s="1866"/>
      <c r="H33" s="1877">
        <f t="shared" si="0"/>
        <v>0</v>
      </c>
      <c r="I33" s="1877">
        <f t="shared" si="1"/>
        <v>0</v>
      </c>
      <c r="J33" s="1877">
        <f t="shared" si="2"/>
        <v>0</v>
      </c>
    </row>
    <row r="34" spans="1:11" ht="12" customHeight="1">
      <c r="A34" s="1869"/>
      <c r="B34" s="1869"/>
      <c r="C34" s="1869"/>
      <c r="D34" s="1869"/>
      <c r="E34" s="1869"/>
      <c r="F34" s="1869"/>
      <c r="H34" s="1877">
        <f>SUM(H11:H32)</f>
        <v>5</v>
      </c>
      <c r="I34" s="1877">
        <f>SUM(I11:I32)</f>
        <v>5</v>
      </c>
      <c r="J34" s="1877">
        <f>SUM(J11:J32)</f>
        <v>0</v>
      </c>
      <c r="K34" s="1877">
        <f>SUM(H34:J34)</f>
        <v>10</v>
      </c>
    </row>
    <row r="35" spans="1:11" ht="12" customHeight="1">
      <c r="A35" s="1870" t="s">
        <v>1392</v>
      </c>
      <c r="B35" s="1871"/>
      <c r="C35" s="2367"/>
      <c r="D35" s="2367"/>
      <c r="E35" s="2367"/>
      <c r="F35" s="2368"/>
    </row>
    <row r="36" spans="1:11" ht="12" customHeight="1">
      <c r="A36" s="2350" t="s">
        <v>2212</v>
      </c>
      <c r="B36" s="2351"/>
      <c r="C36" s="2351"/>
      <c r="D36" s="2351"/>
      <c r="E36" s="2351"/>
      <c r="F36" s="2352"/>
    </row>
    <row r="37" spans="1:11" ht="12" customHeight="1">
      <c r="A37" s="2350" t="s">
        <v>2213</v>
      </c>
      <c r="B37" s="2351"/>
      <c r="C37" s="2351"/>
      <c r="D37" s="2351"/>
      <c r="E37" s="2351"/>
      <c r="F37" s="2352"/>
    </row>
    <row r="38" spans="1:11" ht="12" customHeight="1">
      <c r="A38" s="2353" t="s">
        <v>2214</v>
      </c>
      <c r="B38" s="2354"/>
      <c r="C38" s="2354"/>
      <c r="D38" s="2354"/>
      <c r="E38" s="2354"/>
      <c r="F38" s="2355"/>
    </row>
    <row r="39" spans="1:11" ht="4.5" hidden="1" customHeight="1">
      <c r="A39" s="1872"/>
      <c r="B39" s="1872"/>
      <c r="C39" s="1872"/>
      <c r="D39" s="1872"/>
      <c r="E39" s="1872"/>
      <c r="F39" s="1872"/>
    </row>
    <row r="40" spans="1:11" s="1869" customFormat="1" ht="12" customHeight="1">
      <c r="A40" s="1873" t="s">
        <v>1391</v>
      </c>
      <c r="B40" s="1874"/>
      <c r="C40" s="2356"/>
      <c r="D40" s="2356"/>
      <c r="E40" s="2356"/>
      <c r="F40" s="2357"/>
      <c r="H40" s="1878"/>
      <c r="I40" s="1878"/>
      <c r="J40" s="1878"/>
      <c r="K40" s="1878"/>
    </row>
    <row r="41" spans="1:11" s="1869" customFormat="1" ht="12" customHeight="1">
      <c r="A41" s="2358"/>
      <c r="B41" s="2359"/>
      <c r="C41" s="2359"/>
      <c r="D41" s="2359"/>
      <c r="E41" s="2359"/>
      <c r="F41" s="2360"/>
      <c r="H41" s="1878"/>
      <c r="I41" s="1878"/>
      <c r="J41" s="1878"/>
      <c r="K41" s="1878"/>
    </row>
    <row r="42" spans="1:11" s="1869" customFormat="1" ht="12" customHeight="1">
      <c r="A42" s="2358"/>
      <c r="B42" s="2359"/>
      <c r="C42" s="2359"/>
      <c r="D42" s="2359"/>
      <c r="E42" s="2359"/>
      <c r="F42" s="2360"/>
      <c r="H42" s="1878"/>
      <c r="I42" s="1878"/>
      <c r="J42" s="1878"/>
      <c r="K42" s="1878"/>
    </row>
    <row r="43" spans="1:11" s="1869" customFormat="1" ht="15">
      <c r="A43" s="2347"/>
      <c r="B43" s="2348"/>
      <c r="C43" s="2348"/>
      <c r="D43" s="2348"/>
      <c r="E43" s="2348"/>
      <c r="F43" s="2349"/>
      <c r="H43" s="1878"/>
      <c r="I43" s="1878"/>
      <c r="J43" s="1878"/>
      <c r="K43" s="1878"/>
    </row>
    <row r="44" spans="1:11" s="1869" customFormat="1" ht="12" hidden="1" customHeight="1">
      <c r="A44" s="2347"/>
      <c r="B44" s="2348"/>
      <c r="C44" s="2348"/>
      <c r="D44" s="2348"/>
      <c r="E44" s="2348"/>
      <c r="F44" s="2349"/>
      <c r="H44" s="1878"/>
      <c r="I44" s="1878"/>
      <c r="J44" s="1878"/>
      <c r="K44" s="1878"/>
    </row>
    <row r="45" spans="1:11" s="1869" customFormat="1" ht="12" customHeight="1">
      <c r="H45" s="1878"/>
      <c r="I45" s="1878"/>
      <c r="J45" s="1878"/>
      <c r="K45" s="1878"/>
    </row>
    <row r="46" spans="1:11" s="1869" customFormat="1" ht="9.75" customHeight="1">
      <c r="H46" s="1878"/>
      <c r="I46" s="1878"/>
      <c r="J46" s="1878"/>
      <c r="K46" s="1878"/>
    </row>
    <row r="47" spans="1:11" s="1869" customFormat="1" ht="13.5" customHeight="1">
      <c r="H47" s="1878"/>
      <c r="I47" s="1878"/>
      <c r="J47" s="1878"/>
      <c r="K47" s="1878"/>
    </row>
    <row r="48" spans="1:11" s="1869" customFormat="1" ht="15">
      <c r="H48" s="1878"/>
      <c r="I48" s="1878"/>
      <c r="J48" s="1878"/>
      <c r="K48" s="1878"/>
    </row>
    <row r="49" spans="1:11" s="1869" customFormat="1" ht="15" hidden="1">
      <c r="A49" s="1869" t="b">
        <v>0</v>
      </c>
      <c r="H49" s="1878"/>
      <c r="I49" s="1878"/>
      <c r="J49" s="1878"/>
      <c r="K49" s="1878"/>
    </row>
    <row r="50" spans="1:11" s="1869" customFormat="1" ht="15">
      <c r="H50" s="1878"/>
      <c r="I50" s="1878"/>
      <c r="J50" s="1878"/>
      <c r="K50" s="1878"/>
    </row>
    <row r="51" spans="1:11" s="1869" customFormat="1" ht="15">
      <c r="H51" s="1878"/>
      <c r="I51" s="1878"/>
      <c r="J51" s="1878"/>
      <c r="K51" s="1878"/>
    </row>
    <row r="52" spans="1:11" s="1869" customFormat="1" ht="15">
      <c r="H52" s="1878"/>
      <c r="I52" s="1878"/>
      <c r="J52" s="1878"/>
      <c r="K52" s="1878"/>
    </row>
    <row r="53" spans="1:11" s="1869" customFormat="1" ht="15">
      <c r="H53" s="1878"/>
      <c r="I53" s="1878"/>
      <c r="J53" s="1878"/>
      <c r="K53" s="1878"/>
    </row>
    <row r="54" spans="1:11" s="1869" customFormat="1" ht="15">
      <c r="H54" s="1878"/>
      <c r="I54" s="1878"/>
      <c r="J54" s="1878"/>
      <c r="K54" s="1878"/>
    </row>
    <row r="55" spans="1:11" s="1869" customFormat="1" ht="15">
      <c r="H55" s="1878"/>
      <c r="I55" s="1878"/>
      <c r="J55" s="1878"/>
      <c r="K55" s="1878"/>
    </row>
    <row r="56" spans="1:11" s="1869" customFormat="1" ht="15">
      <c r="H56" s="1878"/>
      <c r="I56" s="1878"/>
      <c r="J56" s="1878"/>
      <c r="K56" s="1878"/>
    </row>
    <row r="57" spans="1:11" s="1869" customFormat="1" ht="15">
      <c r="H57" s="1878"/>
      <c r="I57" s="1878"/>
      <c r="J57" s="1878"/>
      <c r="K57" s="1878"/>
    </row>
    <row r="58" spans="1:11" s="1869" customFormat="1" ht="15">
      <c r="H58" s="1878"/>
      <c r="I58" s="1878"/>
      <c r="J58" s="1878"/>
      <c r="K58" s="1878"/>
    </row>
    <row r="59" spans="1:11" s="1869" customFormat="1" ht="15">
      <c r="H59" s="1878"/>
      <c r="I59" s="1878"/>
      <c r="J59" s="1878"/>
      <c r="K59" s="1878"/>
    </row>
    <row r="60" spans="1:11" s="1869" customFormat="1" ht="15">
      <c r="H60" s="1878"/>
      <c r="I60" s="1878"/>
      <c r="J60" s="1878"/>
      <c r="K60" s="1878"/>
    </row>
    <row r="61" spans="1:11" s="1869" customFormat="1" ht="15">
      <c r="H61" s="1878"/>
      <c r="I61" s="1878"/>
      <c r="J61" s="1878"/>
      <c r="K61" s="1878"/>
    </row>
    <row r="62" spans="1:11" s="1869" customFormat="1" ht="15">
      <c r="H62" s="1878"/>
      <c r="I62" s="1878"/>
      <c r="J62" s="1878"/>
      <c r="K62" s="1878"/>
    </row>
    <row r="63" spans="1:11" s="1869" customFormat="1" ht="15">
      <c r="H63" s="1878"/>
      <c r="I63" s="1878"/>
      <c r="J63" s="1878"/>
      <c r="K63" s="1878"/>
    </row>
    <row r="64" spans="1:11" s="1869" customFormat="1" ht="15">
      <c r="H64" s="1878"/>
      <c r="I64" s="1878"/>
      <c r="J64" s="1878"/>
      <c r="K64" s="1878"/>
    </row>
    <row r="65" spans="8:11" s="1869" customFormat="1" ht="15">
      <c r="H65" s="1878"/>
      <c r="I65" s="1878"/>
      <c r="J65" s="1878"/>
      <c r="K65" s="1878"/>
    </row>
    <row r="66" spans="8:11" s="1869" customFormat="1" ht="15">
      <c r="H66" s="1878"/>
      <c r="I66" s="1878"/>
      <c r="J66" s="1878"/>
      <c r="K66" s="1878"/>
    </row>
    <row r="67" spans="8:11" s="1869" customFormat="1" ht="15">
      <c r="H67" s="1878"/>
      <c r="I67" s="1878"/>
      <c r="J67" s="1878"/>
      <c r="K67" s="1878"/>
    </row>
    <row r="68" spans="8:11" s="1869" customFormat="1" ht="15">
      <c r="H68" s="1878"/>
      <c r="I68" s="1878"/>
      <c r="J68" s="1878"/>
      <c r="K68" s="1878"/>
    </row>
    <row r="69" spans="8:11" s="1869" customFormat="1" ht="15">
      <c r="H69" s="1878"/>
      <c r="I69" s="1878"/>
      <c r="J69" s="1878"/>
      <c r="K69" s="1878"/>
    </row>
    <row r="70" spans="8:11" s="1869" customFormat="1" ht="15">
      <c r="H70" s="1878"/>
      <c r="I70" s="1878"/>
      <c r="J70" s="1878"/>
      <c r="K70" s="1878"/>
    </row>
    <row r="71" spans="8:11" s="1869" customFormat="1" ht="15">
      <c r="H71" s="1878"/>
      <c r="I71" s="1878"/>
      <c r="J71" s="1878"/>
      <c r="K71" s="1878"/>
    </row>
    <row r="72" spans="8:11" s="1869" customFormat="1" ht="15">
      <c r="H72" s="1878"/>
      <c r="I72" s="1878"/>
      <c r="J72" s="1878"/>
      <c r="K72" s="1878"/>
    </row>
    <row r="73" spans="8:11" s="1869" customFormat="1" ht="15">
      <c r="H73" s="1878"/>
      <c r="I73" s="1878"/>
      <c r="J73" s="1878"/>
      <c r="K73" s="1878"/>
    </row>
    <row r="74" spans="8:11" s="1869" customFormat="1" ht="15">
      <c r="H74" s="1878"/>
      <c r="I74" s="1878"/>
      <c r="J74" s="1878"/>
      <c r="K74" s="1878"/>
    </row>
    <row r="75" spans="8:11" s="1869" customFormat="1" ht="15">
      <c r="H75" s="1878"/>
      <c r="I75" s="1878"/>
      <c r="J75" s="1878"/>
      <c r="K75" s="1878"/>
    </row>
    <row r="76" spans="8:11" s="1869" customFormat="1" ht="15">
      <c r="H76" s="1878"/>
      <c r="I76" s="1878"/>
      <c r="J76" s="1878"/>
      <c r="K76" s="1878"/>
    </row>
    <row r="77" spans="8:11" s="1869" customFormat="1" ht="15">
      <c r="H77" s="1878"/>
      <c r="I77" s="1878"/>
      <c r="J77" s="1878"/>
      <c r="K77" s="1878"/>
    </row>
    <row r="78" spans="8:11" s="1869" customFormat="1" ht="15">
      <c r="H78" s="1878"/>
      <c r="I78" s="1878"/>
      <c r="J78" s="1878"/>
      <c r="K78" s="1878"/>
    </row>
    <row r="79" spans="8:11" s="1869" customFormat="1" ht="15">
      <c r="H79" s="1878"/>
      <c r="I79" s="1878"/>
      <c r="J79" s="1878"/>
      <c r="K79" s="1878"/>
    </row>
    <row r="80" spans="8:11" s="1869" customFormat="1" ht="15">
      <c r="H80" s="1878"/>
      <c r="I80" s="1878"/>
      <c r="J80" s="1878"/>
      <c r="K80" s="1878"/>
    </row>
    <row r="81" spans="8:11" s="1869" customFormat="1" ht="15">
      <c r="H81" s="1878"/>
      <c r="I81" s="1878"/>
      <c r="J81" s="1878"/>
      <c r="K81" s="1878"/>
    </row>
    <row r="82" spans="8:11" s="1869" customFormat="1" ht="15">
      <c r="H82" s="1878"/>
      <c r="I82" s="1878"/>
      <c r="J82" s="1878"/>
      <c r="K82" s="1878"/>
    </row>
    <row r="83" spans="8:11" s="1869" customFormat="1" ht="15">
      <c r="H83" s="1878"/>
      <c r="I83" s="1878"/>
      <c r="J83" s="1878"/>
      <c r="K83" s="1878"/>
    </row>
    <row r="84" spans="8:11" s="1869" customFormat="1" ht="15">
      <c r="H84" s="1878"/>
      <c r="I84" s="1878"/>
      <c r="J84" s="1878"/>
      <c r="K84" s="1878"/>
    </row>
    <row r="85" spans="8:11" s="1869" customFormat="1" ht="15">
      <c r="H85" s="1878"/>
      <c r="I85" s="1878"/>
      <c r="J85" s="1878"/>
      <c r="K85" s="1878"/>
    </row>
    <row r="86" spans="8:11" s="1869" customFormat="1" ht="15">
      <c r="H86" s="1878"/>
      <c r="I86" s="1878"/>
      <c r="J86" s="1878"/>
      <c r="K86" s="1878"/>
    </row>
    <row r="87" spans="8:11" s="1869" customFormat="1" ht="15">
      <c r="H87" s="1878"/>
      <c r="I87" s="1878"/>
      <c r="J87" s="1878"/>
      <c r="K87" s="1878"/>
    </row>
    <row r="88" spans="8:11" s="1869" customFormat="1" ht="15">
      <c r="H88" s="1878"/>
      <c r="I88" s="1878"/>
      <c r="J88" s="1878"/>
      <c r="K88" s="1878"/>
    </row>
    <row r="89" spans="8:11" s="1869" customFormat="1" ht="15">
      <c r="H89" s="1878"/>
      <c r="I89" s="1878"/>
      <c r="J89" s="1878"/>
      <c r="K89" s="1878"/>
    </row>
    <row r="90" spans="8:11" s="1869" customFormat="1" ht="15">
      <c r="H90" s="1878"/>
      <c r="I90" s="1878"/>
      <c r="J90" s="1878"/>
      <c r="K90" s="1878"/>
    </row>
    <row r="91" spans="8:11" s="1869" customFormat="1" ht="15">
      <c r="H91" s="1878"/>
      <c r="I91" s="1878"/>
      <c r="J91" s="1878"/>
      <c r="K91" s="1878"/>
    </row>
    <row r="92" spans="8:11" s="1869" customFormat="1" ht="15">
      <c r="H92" s="1878"/>
      <c r="I92" s="1878"/>
      <c r="J92" s="1878"/>
      <c r="K92" s="1878"/>
    </row>
    <row r="93" spans="8:11" s="1869" customFormat="1" ht="15">
      <c r="H93" s="1878"/>
      <c r="I93" s="1878"/>
      <c r="J93" s="1878"/>
      <c r="K93" s="1878"/>
    </row>
    <row r="94" spans="8:11" s="1869" customFormat="1" ht="15">
      <c r="H94" s="1878"/>
      <c r="I94" s="1878"/>
      <c r="J94" s="1878"/>
      <c r="K94" s="1878"/>
    </row>
    <row r="95" spans="8:11" s="1869" customFormat="1" ht="15">
      <c r="H95" s="1878"/>
      <c r="I95" s="1878"/>
      <c r="J95" s="1878"/>
      <c r="K95" s="1878"/>
    </row>
    <row r="96" spans="8:11" s="1869" customFormat="1" ht="15">
      <c r="H96" s="1878"/>
      <c r="I96" s="1878"/>
      <c r="J96" s="1878"/>
      <c r="K96" s="1878"/>
    </row>
    <row r="97" spans="8:11" s="1869" customFormat="1" ht="1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B49" sqref="B49"/>
    </sheetView>
  </sheetViews>
  <sheetFormatPr defaultColWidth="9.140625" defaultRowHeight="12.75"/>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c r="A1" s="1008"/>
      <c r="B1" s="1009"/>
      <c r="E1" s="1011"/>
      <c r="F1" s="1012" t="s">
        <v>405</v>
      </c>
      <c r="G1" s="1013"/>
    </row>
    <row r="2" spans="1:17" ht="11.85" customHeight="1">
      <c r="A2" s="1008"/>
      <c r="B2" s="1009"/>
      <c r="E2" s="1011"/>
      <c r="F2" s="1014" t="s">
        <v>290</v>
      </c>
      <c r="G2" s="1013"/>
    </row>
    <row r="3" spans="1:17" ht="11.85" customHeight="1">
      <c r="E3" s="1011"/>
      <c r="F3" s="1014" t="s">
        <v>406</v>
      </c>
      <c r="G3" s="1011"/>
    </row>
    <row r="4" spans="1:17" ht="11.85" customHeight="1">
      <c r="E4" s="1011"/>
      <c r="F4" s="1014" t="s">
        <v>868</v>
      </c>
      <c r="G4" s="1011"/>
    </row>
    <row r="5" spans="1:17" ht="12.4" customHeight="1">
      <c r="F5" s="1014"/>
    </row>
    <row r="6" spans="1:17">
      <c r="A6" s="1893" t="s">
        <v>672</v>
      </c>
      <c r="B6" s="1641"/>
      <c r="C6" s="1641"/>
      <c r="D6" s="1641"/>
      <c r="E6" s="1642"/>
      <c r="F6" s="1015"/>
      <c r="G6" s="1009"/>
      <c r="H6" s="1016" t="s">
        <v>1028</v>
      </c>
      <c r="I6" s="2374" t="str">
        <f>COVER!A17</f>
        <v>East Moline SD 37</v>
      </c>
      <c r="J6" s="2375"/>
      <c r="Q6" s="1663"/>
    </row>
    <row r="7" spans="1:17">
      <c r="A7" s="2376" t="s">
        <v>869</v>
      </c>
      <c r="B7" s="2377"/>
      <c r="C7" s="2377"/>
      <c r="D7" s="2377"/>
      <c r="E7" s="2378"/>
      <c r="F7" s="1017"/>
      <c r="G7" s="1009"/>
      <c r="H7" s="1016" t="s">
        <v>372</v>
      </c>
      <c r="I7" s="2379">
        <f>COVER!A13</f>
        <v>49081037002</v>
      </c>
      <c r="J7" s="2379"/>
    </row>
    <row r="8" spans="1:17" ht="8.25" customHeight="1">
      <c r="A8" s="1643"/>
      <c r="B8" s="1644"/>
      <c r="C8" s="1644"/>
      <c r="D8" s="1644"/>
      <c r="E8" s="1645"/>
      <c r="F8" s="1018"/>
      <c r="G8" s="1019"/>
      <c r="H8" s="1019"/>
      <c r="I8" s="1019"/>
      <c r="J8" s="1019"/>
    </row>
    <row r="9" spans="1:17" ht="13.5" customHeight="1">
      <c r="A9" s="1020"/>
      <c r="B9" s="1021"/>
      <c r="C9" s="1021"/>
      <c r="D9" s="1022"/>
      <c r="E9" s="1894" t="s">
        <v>1976</v>
      </c>
      <c r="F9" s="1023"/>
      <c r="G9" s="1023"/>
      <c r="H9" s="1895" t="s">
        <v>1977</v>
      </c>
      <c r="I9" s="1023"/>
      <c r="J9" s="1024"/>
    </row>
    <row r="10" spans="1:17" s="1032" customFormat="1" ht="13.5" customHeight="1">
      <c r="A10" s="1025"/>
      <c r="B10" s="1026"/>
      <c r="C10" s="1027"/>
      <c r="D10" s="1028"/>
      <c r="E10" s="1029" t="s">
        <v>425</v>
      </c>
      <c r="F10" s="1030" t="s">
        <v>426</v>
      </c>
      <c r="G10" s="1031"/>
      <c r="H10" s="1030" t="s">
        <v>425</v>
      </c>
      <c r="I10" s="1030" t="s">
        <v>426</v>
      </c>
      <c r="J10" s="1030"/>
    </row>
    <row r="11" spans="1:17" s="1032" customFormat="1" ht="22.5">
      <c r="A11" s="2380" t="s">
        <v>481</v>
      </c>
      <c r="B11" s="2381"/>
      <c r="C11" s="2382"/>
      <c r="D11" s="1033" t="s">
        <v>871</v>
      </c>
      <c r="E11" s="1033" t="s">
        <v>64</v>
      </c>
      <c r="F11" s="1033" t="s">
        <v>6</v>
      </c>
      <c r="G11" s="1034" t="s">
        <v>156</v>
      </c>
      <c r="H11" s="1034" t="s">
        <v>64</v>
      </c>
      <c r="I11" s="1033" t="s">
        <v>6</v>
      </c>
      <c r="J11" s="1034" t="s">
        <v>156</v>
      </c>
    </row>
    <row r="12" spans="1:17" ht="15" customHeight="1">
      <c r="A12" s="1035">
        <v>1</v>
      </c>
      <c r="B12" s="1036" t="s">
        <v>818</v>
      </c>
      <c r="C12" s="1037"/>
      <c r="D12" s="1038">
        <v>2320</v>
      </c>
      <c r="E12" s="1810">
        <f>'Expenditures 15-22'!K50</f>
        <v>204310</v>
      </c>
      <c r="F12" s="1039"/>
      <c r="G12" s="1810">
        <f t="shared" ref="G12:G18" si="0">SUM(E12:F12)</f>
        <v>204310</v>
      </c>
      <c r="H12" s="1040">
        <v>244605</v>
      </c>
      <c r="I12" s="1039"/>
      <c r="J12" s="1810">
        <f t="shared" ref="J12:J18" si="1">SUM(H12:I12)</f>
        <v>244605</v>
      </c>
    </row>
    <row r="13" spans="1:17" ht="15" customHeight="1">
      <c r="A13" s="1035">
        <v>2</v>
      </c>
      <c r="B13" s="1036" t="s">
        <v>42</v>
      </c>
      <c r="C13" s="1037"/>
      <c r="D13" s="1038">
        <v>2330</v>
      </c>
      <c r="E13" s="1810">
        <f>'Expenditures 15-22'!K51</f>
        <v>228475</v>
      </c>
      <c r="F13" s="1039"/>
      <c r="G13" s="1810">
        <f t="shared" si="0"/>
        <v>228475</v>
      </c>
      <c r="H13" s="1040">
        <v>202325</v>
      </c>
      <c r="I13" s="1039"/>
      <c r="J13" s="1810">
        <f t="shared" si="1"/>
        <v>202325</v>
      </c>
    </row>
    <row r="14" spans="1:17" ht="15" customHeight="1">
      <c r="A14" s="1035">
        <v>3</v>
      </c>
      <c r="B14" s="1036" t="s">
        <v>43</v>
      </c>
      <c r="C14" s="1037"/>
      <c r="D14" s="1041">
        <v>2490</v>
      </c>
      <c r="E14" s="1810">
        <f>'Expenditures 15-22'!K56</f>
        <v>0</v>
      </c>
      <c r="F14" s="1039"/>
      <c r="G14" s="1810">
        <f t="shared" si="0"/>
        <v>0</v>
      </c>
      <c r="H14" s="1040"/>
      <c r="I14" s="1039"/>
      <c r="J14" s="1810">
        <f t="shared" si="1"/>
        <v>0</v>
      </c>
    </row>
    <row r="15" spans="1:17" ht="15" customHeight="1">
      <c r="A15" s="1035">
        <v>4</v>
      </c>
      <c r="B15" s="1036" t="s">
        <v>1068</v>
      </c>
      <c r="C15" s="1037"/>
      <c r="D15" s="1038">
        <v>2510</v>
      </c>
      <c r="E15" s="1810">
        <f>'Expenditures 15-22'!K59</f>
        <v>138130</v>
      </c>
      <c r="F15" s="1810">
        <f>'Expenditures 15-22'!K122</f>
        <v>0</v>
      </c>
      <c r="G15" s="1810">
        <f t="shared" si="0"/>
        <v>138130</v>
      </c>
      <c r="H15" s="1040">
        <v>148874</v>
      </c>
      <c r="I15" s="1040"/>
      <c r="J15" s="1810">
        <f t="shared" si="1"/>
        <v>148874</v>
      </c>
    </row>
    <row r="16" spans="1:17" ht="15" customHeight="1">
      <c r="A16" s="1035">
        <v>5</v>
      </c>
      <c r="B16" s="1036" t="s">
        <v>101</v>
      </c>
      <c r="C16" s="1037"/>
      <c r="D16" s="1038">
        <v>2570</v>
      </c>
      <c r="E16" s="1810">
        <f>'Expenditures 15-22'!K64</f>
        <v>220400</v>
      </c>
      <c r="F16" s="1039"/>
      <c r="G16" s="1810">
        <f t="shared" si="0"/>
        <v>220400</v>
      </c>
      <c r="H16" s="1040">
        <v>238178</v>
      </c>
      <c r="I16" s="1039"/>
      <c r="J16" s="1810">
        <f t="shared" si="1"/>
        <v>238178</v>
      </c>
    </row>
    <row r="17" spans="1:10" ht="15" customHeight="1">
      <c r="A17" s="1035">
        <v>6</v>
      </c>
      <c r="B17" s="1036" t="s">
        <v>1060</v>
      </c>
      <c r="C17" s="1037"/>
      <c r="D17" s="1038">
        <v>2610</v>
      </c>
      <c r="E17" s="1810">
        <f>'Expenditures 15-22'!K67</f>
        <v>217715</v>
      </c>
      <c r="F17" s="1039"/>
      <c r="G17" s="1810">
        <f t="shared" si="0"/>
        <v>217715</v>
      </c>
      <c r="H17" s="1040">
        <v>226381</v>
      </c>
      <c r="I17" s="1039"/>
      <c r="J17" s="1810">
        <f t="shared" si="1"/>
        <v>226381</v>
      </c>
    </row>
    <row r="18" spans="1:10" ht="22.5" customHeight="1">
      <c r="A18" s="1042">
        <v>7</v>
      </c>
      <c r="B18" s="2383" t="s">
        <v>7</v>
      </c>
      <c r="C18" s="2384"/>
      <c r="D18" s="2385"/>
      <c r="E18" s="1043"/>
      <c r="F18" s="1043"/>
      <c r="G18" s="1811">
        <f t="shared" si="0"/>
        <v>0</v>
      </c>
      <c r="H18" s="1040"/>
      <c r="I18" s="1040"/>
      <c r="J18" s="1810">
        <f t="shared" si="1"/>
        <v>0</v>
      </c>
    </row>
    <row r="19" spans="1:10" ht="13.15" customHeight="1" thickBot="1">
      <c r="A19" s="1035">
        <v>8</v>
      </c>
      <c r="B19" s="1044" t="s">
        <v>1161</v>
      </c>
      <c r="D19" s="1045"/>
      <c r="E19" s="1812">
        <f t="shared" ref="E19:J19" si="2">SUM(E12:E17)-E18</f>
        <v>1009030</v>
      </c>
      <c r="F19" s="1812">
        <f t="shared" si="2"/>
        <v>0</v>
      </c>
      <c r="G19" s="1812">
        <f t="shared" si="2"/>
        <v>1009030</v>
      </c>
      <c r="H19" s="1812">
        <f t="shared" si="2"/>
        <v>1060363</v>
      </c>
      <c r="I19" s="1812">
        <f t="shared" si="2"/>
        <v>0</v>
      </c>
      <c r="J19" s="1812">
        <f t="shared" si="2"/>
        <v>1060363</v>
      </c>
    </row>
    <row r="20" spans="1:10" ht="13.5" thickTop="1">
      <c r="A20" s="1035">
        <v>9</v>
      </c>
      <c r="B20" s="2386" t="s">
        <v>1978</v>
      </c>
      <c r="C20" s="2386"/>
      <c r="D20" s="2387"/>
      <c r="E20" s="1046"/>
      <c r="F20" s="1046"/>
      <c r="G20" s="1046"/>
      <c r="H20" s="1046"/>
      <c r="I20" s="1046"/>
      <c r="J20" s="1813">
        <f>IF(AND(G19&gt;0,J19&gt;0),(((J19-G19)/G19)),"Enter Budget Data")</f>
        <v>5.0873611290050844E-2</v>
      </c>
    </row>
    <row r="21" spans="1:10" ht="9.4" customHeight="1">
      <c r="B21" s="1047"/>
    </row>
    <row r="22" spans="1:10">
      <c r="A22" s="1048" t="s">
        <v>133</v>
      </c>
      <c r="B22" s="1047"/>
    </row>
    <row r="23" spans="1:10">
      <c r="A23" s="1011" t="s">
        <v>1979</v>
      </c>
      <c r="B23" s="1047"/>
    </row>
    <row r="24" spans="1:10">
      <c r="A24" s="1011" t="s">
        <v>1992</v>
      </c>
      <c r="B24" s="1047"/>
    </row>
    <row r="25" spans="1:10">
      <c r="A25" s="1049"/>
      <c r="B25" s="1047"/>
    </row>
    <row r="26" spans="1:10" ht="20.25" customHeight="1">
      <c r="B26" s="1047"/>
      <c r="C26" s="2392"/>
      <c r="D26" s="2392"/>
      <c r="E26" s="1050"/>
      <c r="F26" s="2391"/>
      <c r="G26" s="2391"/>
    </row>
    <row r="27" spans="1:10">
      <c r="B27" s="1047"/>
      <c r="C27" s="1051" t="s">
        <v>1033</v>
      </c>
      <c r="D27" s="1052"/>
      <c r="E27" s="1053"/>
      <c r="F27" s="2388" t="s">
        <v>1509</v>
      </c>
      <c r="G27" s="2388"/>
    </row>
    <row r="28" spans="1:10" ht="28.5" customHeight="1">
      <c r="B28" s="1047"/>
      <c r="C28" s="2390"/>
      <c r="D28" s="2390"/>
      <c r="E28" s="1054"/>
      <c r="F28" s="2390"/>
      <c r="G28" s="2390"/>
    </row>
    <row r="29" spans="1:10">
      <c r="B29" s="1047"/>
      <c r="C29" s="1055" t="s">
        <v>1561</v>
      </c>
      <c r="E29" s="1056"/>
      <c r="F29" s="2389" t="s">
        <v>1510</v>
      </c>
      <c r="G29" s="2389"/>
    </row>
    <row r="30" spans="1:10" ht="9.4" customHeight="1">
      <c r="B30" s="1047"/>
      <c r="C30" s="1057"/>
      <c r="E30" s="1058"/>
      <c r="F30" s="1059"/>
      <c r="G30" s="1059"/>
    </row>
    <row r="31" spans="1:10" ht="15" customHeight="1">
      <c r="A31" s="1011"/>
      <c r="B31" s="1060" t="s">
        <v>1034</v>
      </c>
    </row>
    <row r="32" spans="1:10" ht="9.4" customHeight="1">
      <c r="A32" s="1011"/>
      <c r="B32" s="1048"/>
    </row>
    <row r="33" spans="1:10" ht="13.15" customHeight="1">
      <c r="A33" s="1011"/>
      <c r="B33" s="1061"/>
      <c r="C33" s="2371" t="s">
        <v>132</v>
      </c>
      <c r="D33" s="2372"/>
      <c r="E33" s="2372"/>
      <c r="F33" s="2372"/>
      <c r="G33" s="2372"/>
      <c r="H33" s="2372"/>
      <c r="I33" s="2372"/>
    </row>
    <row r="34" spans="1:10" ht="10.35" customHeight="1">
      <c r="C34" s="2372"/>
      <c r="D34" s="2372"/>
      <c r="E34" s="2372"/>
      <c r="F34" s="2372"/>
      <c r="G34" s="2372"/>
      <c r="H34" s="2372"/>
      <c r="I34" s="2372"/>
    </row>
    <row r="35" spans="1:10" ht="7.5" customHeight="1">
      <c r="C35" s="1062"/>
    </row>
    <row r="36" spans="1:10" ht="13.5" customHeight="1">
      <c r="B36" s="1061"/>
      <c r="C36" s="2373" t="s">
        <v>1980</v>
      </c>
      <c r="D36" s="2372"/>
      <c r="E36" s="2372"/>
      <c r="F36" s="2372"/>
      <c r="G36" s="2372"/>
      <c r="H36" s="2372"/>
      <c r="I36" s="2372"/>
      <c r="J36" s="1063"/>
    </row>
    <row r="37" spans="1:10" ht="22.5" customHeight="1">
      <c r="C37" s="2372"/>
      <c r="D37" s="2372"/>
      <c r="E37" s="2372"/>
      <c r="F37" s="2372"/>
      <c r="G37" s="2372"/>
      <c r="H37" s="2372"/>
      <c r="I37" s="2372"/>
      <c r="J37" s="1063"/>
    </row>
    <row r="38" spans="1:10" ht="7.5" customHeight="1">
      <c r="C38" s="1062"/>
      <c r="D38" s="1064"/>
      <c r="E38" s="1065"/>
      <c r="F38" s="1066"/>
      <c r="G38" s="1065"/>
    </row>
    <row r="39" spans="1:10" ht="13.5" customHeight="1">
      <c r="B39" s="1061"/>
      <c r="C39" s="2369" t="s">
        <v>882</v>
      </c>
      <c r="D39" s="2370"/>
      <c r="E39" s="2370"/>
      <c r="F39" s="2370"/>
      <c r="G39" s="2370"/>
      <c r="H39" s="2370"/>
      <c r="I39" s="2370"/>
    </row>
    <row r="40" spans="1:10" ht="13.35" customHeight="1">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3" zoomScale="110" zoomScaleNormal="110" workbookViewId="0">
      <selection activeCell="B49" sqref="B49"/>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1066</v>
      </c>
      <c r="C1" s="163" t="s">
        <v>1169</v>
      </c>
      <c r="D1" s="163"/>
      <c r="E1" s="163"/>
    </row>
    <row r="2" spans="1:5" ht="12.75" thickTop="1">
      <c r="A2" s="164"/>
      <c r="B2" s="164"/>
      <c r="C2" s="164" t="s">
        <v>1169</v>
      </c>
      <c r="D2" s="165" t="s">
        <v>682</v>
      </c>
      <c r="E2" s="166" t="s">
        <v>1098</v>
      </c>
    </row>
    <row r="3" spans="1:5">
      <c r="C3" s="162" t="s">
        <v>1169</v>
      </c>
      <c r="D3" s="167"/>
    </row>
    <row r="4" spans="1:5">
      <c r="A4" s="168" t="s">
        <v>1856</v>
      </c>
      <c r="C4" s="162" t="s">
        <v>1169</v>
      </c>
      <c r="D4" s="169" t="s">
        <v>10</v>
      </c>
      <c r="E4" s="170" t="s">
        <v>22</v>
      </c>
    </row>
    <row r="5" spans="1:5">
      <c r="A5" s="168" t="s">
        <v>1858</v>
      </c>
      <c r="C5" s="162" t="s">
        <v>1169</v>
      </c>
      <c r="D5" s="169" t="s">
        <v>10</v>
      </c>
      <c r="E5" s="170" t="s">
        <v>22</v>
      </c>
    </row>
    <row r="6" spans="1:5">
      <c r="A6" s="168" t="s">
        <v>1857</v>
      </c>
      <c r="C6" s="162" t="s">
        <v>1169</v>
      </c>
      <c r="D6" s="167" t="s">
        <v>11</v>
      </c>
      <c r="E6" s="170" t="s">
        <v>941</v>
      </c>
    </row>
    <row r="7" spans="1:5">
      <c r="A7" s="168" t="s">
        <v>1859</v>
      </c>
      <c r="C7" s="162" t="s">
        <v>1169</v>
      </c>
      <c r="D7" s="169" t="s">
        <v>12</v>
      </c>
      <c r="E7" s="170" t="s">
        <v>942</v>
      </c>
    </row>
    <row r="8" spans="1:5">
      <c r="A8" s="168" t="s">
        <v>382</v>
      </c>
      <c r="C8" s="162" t="s">
        <v>1169</v>
      </c>
      <c r="D8" s="169"/>
      <c r="E8" s="171"/>
    </row>
    <row r="9" spans="1:5">
      <c r="B9" s="167" t="s">
        <v>671</v>
      </c>
      <c r="C9" s="167" t="s">
        <v>1169</v>
      </c>
      <c r="D9" s="169" t="s">
        <v>13</v>
      </c>
      <c r="E9" s="170" t="s">
        <v>23</v>
      </c>
    </row>
    <row r="10" spans="1:5">
      <c r="B10" s="167" t="s">
        <v>974</v>
      </c>
      <c r="C10" s="162" t="s">
        <v>1169</v>
      </c>
      <c r="D10" s="169"/>
      <c r="E10" s="171"/>
    </row>
    <row r="11" spans="1:5">
      <c r="B11" s="167" t="s">
        <v>1860</v>
      </c>
      <c r="C11" s="162" t="s">
        <v>1169</v>
      </c>
      <c r="D11" s="169" t="s">
        <v>14</v>
      </c>
      <c r="E11" s="170" t="s">
        <v>1156</v>
      </c>
    </row>
    <row r="12" spans="1:5">
      <c r="B12" s="169" t="s">
        <v>1861</v>
      </c>
      <c r="C12" s="162" t="s">
        <v>1169</v>
      </c>
      <c r="D12" s="169" t="s">
        <v>15</v>
      </c>
      <c r="E12" s="170" t="s">
        <v>1039</v>
      </c>
    </row>
    <row r="13" spans="1:5">
      <c r="B13" s="167" t="s">
        <v>1149</v>
      </c>
      <c r="C13" s="162" t="s">
        <v>1169</v>
      </c>
      <c r="D13" s="169" t="s">
        <v>16</v>
      </c>
      <c r="E13" s="170" t="s">
        <v>635</v>
      </c>
    </row>
    <row r="14" spans="1:5">
      <c r="A14" s="168" t="s">
        <v>507</v>
      </c>
      <c r="B14" s="167"/>
      <c r="D14" s="169"/>
      <c r="E14" s="171"/>
    </row>
    <row r="15" spans="1:5">
      <c r="A15" s="172"/>
      <c r="B15" s="162" t="s">
        <v>1862</v>
      </c>
      <c r="C15" s="162" t="s">
        <v>1169</v>
      </c>
      <c r="D15" s="169" t="s">
        <v>17</v>
      </c>
      <c r="E15" s="170" t="s">
        <v>636</v>
      </c>
    </row>
    <row r="16" spans="1:5">
      <c r="A16" s="172"/>
      <c r="B16" s="162" t="s">
        <v>1863</v>
      </c>
      <c r="C16" s="162" t="s">
        <v>1169</v>
      </c>
      <c r="D16" s="169" t="s">
        <v>681</v>
      </c>
      <c r="E16" s="170" t="s">
        <v>1040</v>
      </c>
    </row>
    <row r="17" spans="1:5">
      <c r="B17" s="167" t="s">
        <v>988</v>
      </c>
      <c r="C17" s="162" t="s">
        <v>1169</v>
      </c>
    </row>
    <row r="18" spans="1:5">
      <c r="B18" s="167" t="s">
        <v>1869</v>
      </c>
      <c r="D18" s="169" t="s">
        <v>18</v>
      </c>
      <c r="E18" s="170" t="s">
        <v>1041</v>
      </c>
    </row>
    <row r="19" spans="1:5">
      <c r="A19" s="168" t="s">
        <v>1099</v>
      </c>
      <c r="C19" s="162" t="s">
        <v>1169</v>
      </c>
      <c r="D19" s="169"/>
      <c r="E19" s="171"/>
    </row>
    <row r="20" spans="1:5">
      <c r="B20" s="167" t="s">
        <v>1864</v>
      </c>
      <c r="C20" s="162" t="s">
        <v>1169</v>
      </c>
      <c r="D20" s="169" t="s">
        <v>19</v>
      </c>
      <c r="E20" s="170" t="s">
        <v>51</v>
      </c>
    </row>
    <row r="21" spans="1:5">
      <c r="B21" s="167" t="s">
        <v>1865</v>
      </c>
      <c r="C21" s="162" t="s">
        <v>1169</v>
      </c>
      <c r="D21" s="169" t="s">
        <v>20</v>
      </c>
      <c r="E21" s="170" t="s">
        <v>1610</v>
      </c>
    </row>
    <row r="22" spans="1:5">
      <c r="A22" s="168"/>
      <c r="B22" s="162" t="s">
        <v>1853</v>
      </c>
      <c r="C22" s="162" t="s">
        <v>1169</v>
      </c>
      <c r="D22" s="167" t="s">
        <v>1855</v>
      </c>
      <c r="E22" s="1835" t="s">
        <v>1611</v>
      </c>
    </row>
    <row r="23" spans="1:5">
      <c r="A23" s="168"/>
      <c r="B23" s="162" t="s">
        <v>1854</v>
      </c>
      <c r="D23" s="167" t="s">
        <v>637</v>
      </c>
      <c r="E23" s="1835" t="s">
        <v>959</v>
      </c>
    </row>
    <row r="24" spans="1:5">
      <c r="A24" s="168" t="s">
        <v>1609</v>
      </c>
      <c r="C24" s="162" t="s">
        <v>1169</v>
      </c>
      <c r="D24" s="167" t="s">
        <v>1393</v>
      </c>
      <c r="E24" s="170" t="s">
        <v>960</v>
      </c>
    </row>
    <row r="25" spans="1:5">
      <c r="A25" s="168" t="s">
        <v>1866</v>
      </c>
      <c r="C25" s="162" t="s">
        <v>1169</v>
      </c>
      <c r="D25" s="169" t="s">
        <v>21</v>
      </c>
      <c r="E25" s="170" t="s">
        <v>1042</v>
      </c>
    </row>
    <row r="26" spans="1:5">
      <c r="A26" s="168" t="s">
        <v>1867</v>
      </c>
      <c r="C26" s="162" t="s">
        <v>1169</v>
      </c>
      <c r="D26" s="169" t="s">
        <v>563</v>
      </c>
      <c r="E26" s="170" t="s">
        <v>1043</v>
      </c>
    </row>
    <row r="27" spans="1:5">
      <c r="A27" s="168" t="s">
        <v>1868</v>
      </c>
      <c r="C27" s="162" t="s">
        <v>1169</v>
      </c>
      <c r="D27" s="169" t="s">
        <v>557</v>
      </c>
      <c r="E27" s="170" t="s">
        <v>683</v>
      </c>
    </row>
    <row r="28" spans="1:5">
      <c r="A28" s="168" t="s">
        <v>1870</v>
      </c>
      <c r="D28" s="169" t="s">
        <v>684</v>
      </c>
      <c r="E28" s="170" t="s">
        <v>1366</v>
      </c>
    </row>
    <row r="29" spans="1:5">
      <c r="A29" s="168" t="s">
        <v>1871</v>
      </c>
      <c r="D29" s="169" t="s">
        <v>1394</v>
      </c>
      <c r="E29" s="170" t="s">
        <v>1375</v>
      </c>
    </row>
    <row r="30" spans="1:5">
      <c r="A30" s="173" t="s">
        <v>1872</v>
      </c>
      <c r="C30" s="162" t="s">
        <v>1169</v>
      </c>
      <c r="D30" s="169" t="s">
        <v>40</v>
      </c>
      <c r="E30" s="170" t="s">
        <v>982</v>
      </c>
    </row>
    <row r="31" spans="1:5">
      <c r="A31" s="168" t="s">
        <v>1521</v>
      </c>
      <c r="C31" s="162" t="s">
        <v>1169</v>
      </c>
      <c r="D31" s="167"/>
      <c r="E31" s="171"/>
    </row>
    <row r="32" spans="1:5">
      <c r="B32" s="167" t="s">
        <v>1873</v>
      </c>
      <c r="C32" s="162" t="s">
        <v>1169</v>
      </c>
      <c r="D32" s="169" t="s">
        <v>1522</v>
      </c>
      <c r="E32" s="170" t="s">
        <v>1395</v>
      </c>
    </row>
    <row r="33" spans="1:5">
      <c r="A33" s="172"/>
      <c r="D33" s="169"/>
      <c r="E33" s="171"/>
    </row>
    <row r="34" spans="1:5">
      <c r="A34" s="172"/>
      <c r="D34" s="169"/>
      <c r="E34" s="171"/>
    </row>
    <row r="35" spans="1:5" ht="15.75" customHeight="1" thickBot="1">
      <c r="A35" s="2110" t="s">
        <v>1065</v>
      </c>
      <c r="B35" s="2110"/>
      <c r="C35" s="2110"/>
      <c r="D35" s="2110"/>
      <c r="E35" s="2110"/>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107" t="s">
        <v>691</v>
      </c>
      <c r="B40" s="2107"/>
      <c r="C40" s="2107"/>
      <c r="D40" s="2107"/>
      <c r="E40" s="2107"/>
    </row>
    <row r="41" spans="1:5">
      <c r="A41" s="2108" t="s">
        <v>1608</v>
      </c>
      <c r="B41" s="2108"/>
      <c r="C41" s="2108"/>
      <c r="D41" s="2108"/>
      <c r="E41" s="2108"/>
    </row>
    <row r="42" spans="1:5" ht="13.15" customHeight="1">
      <c r="A42" s="2109" t="s">
        <v>1022</v>
      </c>
      <c r="B42" s="2109"/>
      <c r="C42" s="2109"/>
      <c r="D42" s="2109"/>
      <c r="E42" s="2109"/>
    </row>
    <row r="43" spans="1:5" ht="6.75" customHeight="1">
      <c r="A43" s="167"/>
      <c r="B43" s="176"/>
    </row>
    <row r="44" spans="1:5">
      <c r="A44" s="185" t="s">
        <v>983</v>
      </c>
      <c r="B44" s="186" t="s">
        <v>1899</v>
      </c>
    </row>
    <row r="45" spans="1:5" ht="6.75" customHeight="1">
      <c r="A45" s="187"/>
      <c r="B45" s="186"/>
    </row>
    <row r="46" spans="1:5">
      <c r="A46" s="185" t="s">
        <v>984</v>
      </c>
      <c r="B46" s="169" t="s">
        <v>1613</v>
      </c>
    </row>
    <row r="47" spans="1:5" ht="9.75" customHeight="1">
      <c r="A47" s="189"/>
      <c r="B47" s="188"/>
    </row>
    <row r="48" spans="1:5">
      <c r="A48" s="169" t="s">
        <v>1612</v>
      </c>
      <c r="B48" s="169" t="s">
        <v>1617</v>
      </c>
      <c r="C48" s="177"/>
    </row>
    <row r="49" spans="1:3" ht="9.75" customHeight="1">
      <c r="A49" s="188"/>
      <c r="B49" s="188"/>
      <c r="C49" s="177"/>
    </row>
    <row r="50" spans="1:3">
      <c r="A50" s="200" t="s">
        <v>1614</v>
      </c>
      <c r="B50" s="198" t="s">
        <v>1618</v>
      </c>
    </row>
    <row r="51" spans="1:3">
      <c r="B51" s="169" t="s">
        <v>1768</v>
      </c>
    </row>
    <row r="52" spans="1:3">
      <c r="A52" s="190"/>
      <c r="B52" s="188" t="s">
        <v>1788</v>
      </c>
    </row>
    <row r="53" spans="1:3" ht="4.5" customHeight="1">
      <c r="A53" s="190"/>
      <c r="B53" s="190"/>
    </row>
    <row r="54" spans="1:3">
      <c r="A54" s="190"/>
      <c r="B54" s="201" t="s">
        <v>1615</v>
      </c>
    </row>
    <row r="55" spans="1:3" ht="8.25" customHeight="1">
      <c r="A55" s="190"/>
      <c r="B55" s="191"/>
    </row>
    <row r="56" spans="1:3">
      <c r="A56" s="192"/>
      <c r="B56" s="169" t="s">
        <v>1769</v>
      </c>
    </row>
    <row r="57" spans="1:3">
      <c r="A57" s="193"/>
      <c r="B57" s="190" t="s">
        <v>1771</v>
      </c>
    </row>
    <row r="58" spans="1:3">
      <c r="A58" s="194"/>
      <c r="B58" s="190" t="s">
        <v>1772</v>
      </c>
    </row>
    <row r="59" spans="1:3">
      <c r="A59" s="195"/>
      <c r="B59" s="1484" t="s">
        <v>1773</v>
      </c>
    </row>
    <row r="60" spans="1:3">
      <c r="A60" s="196"/>
      <c r="B60" s="1484" t="s">
        <v>1774</v>
      </c>
    </row>
    <row r="61" spans="1:3" ht="6" customHeight="1">
      <c r="A61" s="197"/>
      <c r="B61" s="189"/>
    </row>
    <row r="62" spans="1:3">
      <c r="A62" s="169" t="s">
        <v>1616</v>
      </c>
      <c r="B62" s="198" t="s">
        <v>1770</v>
      </c>
    </row>
    <row r="63" spans="1:3">
      <c r="A63" s="188"/>
      <c r="B63" s="169" t="s">
        <v>1785</v>
      </c>
    </row>
    <row r="64" spans="1:3">
      <c r="A64" s="195"/>
      <c r="B64" s="1486" t="s">
        <v>1775</v>
      </c>
    </row>
    <row r="65" spans="1:9">
      <c r="A65" s="188"/>
      <c r="B65" s="169" t="s">
        <v>1786</v>
      </c>
    </row>
    <row r="66" spans="1:9">
      <c r="A66" s="190"/>
      <c r="B66" s="190" t="s">
        <v>1776</v>
      </c>
    </row>
    <row r="67" spans="1:9" ht="12" customHeight="1">
      <c r="A67" s="188"/>
      <c r="B67" s="169" t="s">
        <v>1787</v>
      </c>
    </row>
    <row r="68" spans="1:9">
      <c r="A68" s="189"/>
      <c r="B68" s="190" t="s">
        <v>1777</v>
      </c>
    </row>
    <row r="69" spans="1:9">
      <c r="A69" s="190"/>
      <c r="B69" s="188" t="s">
        <v>1778</v>
      </c>
    </row>
    <row r="70" spans="1:9" ht="13.5" customHeight="1">
      <c r="A70" s="190"/>
      <c r="B70" s="188" t="s">
        <v>1779</v>
      </c>
    </row>
    <row r="71" spans="1:9" ht="12" customHeight="1">
      <c r="A71" s="192"/>
      <c r="B71" s="1485" t="s">
        <v>1619</v>
      </c>
    </row>
    <row r="72" spans="1:9" ht="9.4" customHeight="1">
      <c r="A72" s="192"/>
      <c r="B72" s="199"/>
    </row>
    <row r="73" spans="1:9">
      <c r="A73" s="189" t="s">
        <v>1620</v>
      </c>
      <c r="B73" s="169" t="s">
        <v>1781</v>
      </c>
    </row>
    <row r="74" spans="1:9">
      <c r="A74" s="189"/>
      <c r="B74" s="169" t="s">
        <v>1780</v>
      </c>
    </row>
    <row r="75" spans="1:9" ht="8.25" customHeight="1">
      <c r="A75" s="189"/>
      <c r="B75" s="189"/>
    </row>
    <row r="76" spans="1:9" ht="12.4" customHeight="1">
      <c r="A76" s="189" t="s">
        <v>1621</v>
      </c>
      <c r="B76" s="198" t="s">
        <v>1782</v>
      </c>
    </row>
    <row r="77" spans="1:9" ht="12.4" customHeight="1">
      <c r="A77" s="190"/>
      <c r="B77" s="169" t="s">
        <v>1622</v>
      </c>
      <c r="C77" s="179"/>
      <c r="D77" s="180"/>
      <c r="E77" s="181"/>
      <c r="F77" s="181"/>
      <c r="G77" s="181"/>
      <c r="H77" s="181"/>
      <c r="I77" s="181"/>
    </row>
    <row r="78" spans="1:9" ht="11.25" customHeight="1">
      <c r="A78" s="190"/>
      <c r="B78" s="190" t="s">
        <v>1784</v>
      </c>
      <c r="C78" s="179"/>
      <c r="D78" s="182"/>
      <c r="E78" s="182"/>
      <c r="F78" s="182"/>
      <c r="G78" s="182"/>
      <c r="H78" s="182"/>
      <c r="I78" s="181"/>
    </row>
    <row r="79" spans="1:9" ht="12.4" customHeight="1">
      <c r="A79" s="190"/>
      <c r="B79" s="169" t="s">
        <v>1623</v>
      </c>
      <c r="C79" s="179"/>
      <c r="D79" s="182"/>
      <c r="E79" s="182"/>
      <c r="F79" s="182"/>
      <c r="G79" s="182"/>
      <c r="H79" s="182"/>
      <c r="I79" s="181"/>
    </row>
    <row r="80" spans="1:9" ht="11.25" customHeight="1">
      <c r="A80" s="189"/>
      <c r="B80" s="190" t="s">
        <v>1783</v>
      </c>
      <c r="C80" s="179"/>
      <c r="D80" s="182"/>
      <c r="E80" s="182"/>
      <c r="F80" s="182"/>
      <c r="G80" s="182"/>
      <c r="H80" s="182"/>
      <c r="I80" s="181"/>
    </row>
    <row r="81" spans="1:2" ht="12.4" customHeight="1">
      <c r="A81" s="172"/>
    </row>
    <row r="82" spans="1:2" ht="12.4" customHeight="1">
      <c r="A82" s="172"/>
    </row>
    <row r="83" spans="1:2" ht="3.75" customHeight="1">
      <c r="A83" s="172"/>
    </row>
    <row r="84" spans="1:2" ht="12.4" customHeight="1">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49" sqref="B49"/>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2">
      <c r="A2" s="389" t="s">
        <v>258</v>
      </c>
    </row>
    <row r="3" spans="1:2">
      <c r="A3" s="329" t="s">
        <v>259</v>
      </c>
    </row>
    <row r="5" spans="1:2">
      <c r="A5" s="1068">
        <v>1</v>
      </c>
      <c r="B5" s="329" t="s">
        <v>2215</v>
      </c>
    </row>
    <row r="6" spans="1:2">
      <c r="A6" s="1068">
        <v>2</v>
      </c>
      <c r="B6" s="329" t="s">
        <v>2216</v>
      </c>
    </row>
    <row r="7" spans="1:2">
      <c r="A7" s="1068">
        <v>3</v>
      </c>
      <c r="B7" s="329" t="s">
        <v>2217</v>
      </c>
    </row>
    <row r="8" spans="1:2">
      <c r="A8" s="1068">
        <v>4</v>
      </c>
      <c r="B8" s="329" t="s">
        <v>2218</v>
      </c>
    </row>
    <row r="9" spans="1:2">
      <c r="A9" s="1068">
        <v>5</v>
      </c>
      <c r="B9" s="329" t="s">
        <v>2219</v>
      </c>
    </row>
    <row r="10" spans="1:2">
      <c r="A10" s="1068">
        <v>6</v>
      </c>
      <c r="B10" s="329" t="s">
        <v>2220</v>
      </c>
    </row>
    <row r="11" spans="1:2">
      <c r="A11" s="1068">
        <v>7</v>
      </c>
      <c r="B11" s="329" t="s">
        <v>2221</v>
      </c>
    </row>
    <row r="12" spans="1:2">
      <c r="A12" s="1068">
        <v>8</v>
      </c>
      <c r="B12" s="329" t="s">
        <v>2222</v>
      </c>
    </row>
    <row r="13" spans="1:2">
      <c r="A13" s="1068">
        <v>9</v>
      </c>
      <c r="B13" s="329" t="s">
        <v>2223</v>
      </c>
    </row>
    <row r="14" spans="1:2">
      <c r="A14" s="1068">
        <v>10</v>
      </c>
      <c r="B14" s="329" t="s">
        <v>2224</v>
      </c>
    </row>
    <row r="15" spans="1:2">
      <c r="A15" s="1068">
        <v>11</v>
      </c>
      <c r="B15" s="329" t="s">
        <v>2225</v>
      </c>
    </row>
    <row r="16" spans="1:2">
      <c r="A16" s="1068">
        <v>12</v>
      </c>
      <c r="B16" s="329" t="s">
        <v>2226</v>
      </c>
    </row>
    <row r="17" spans="1:1">
      <c r="A17" s="1069"/>
    </row>
    <row r="18" spans="1:1">
      <c r="A18" s="1069"/>
    </row>
    <row r="19" spans="1:1">
      <c r="A19" s="1069"/>
    </row>
    <row r="20" spans="1:1">
      <c r="A20" s="1069"/>
    </row>
    <row r="21" spans="1:1">
      <c r="A21" s="1069"/>
    </row>
    <row r="22" spans="1:1">
      <c r="A22" s="1069"/>
    </row>
    <row r="23" spans="1:1">
      <c r="A23" s="1069"/>
    </row>
    <row r="24" spans="1:1">
      <c r="A24" s="1069"/>
    </row>
    <row r="25" spans="1:1">
      <c r="A25" s="1069"/>
    </row>
    <row r="26" spans="1:1">
      <c r="A26" s="1069"/>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row r="49" spans="1:2">
      <c r="A49" s="1069"/>
    </row>
    <row r="50" spans="1:2">
      <c r="A50" s="1069"/>
    </row>
    <row r="51" spans="1:2">
      <c r="A51" s="1069"/>
    </row>
    <row r="52" spans="1:2">
      <c r="A52" s="1069"/>
    </row>
    <row r="53" spans="1:2">
      <c r="A53" s="1069"/>
    </row>
    <row r="54" spans="1:2">
      <c r="A54" s="1069"/>
    </row>
    <row r="55" spans="1:2">
      <c r="A55" s="1069"/>
    </row>
    <row r="56" spans="1:2">
      <c r="A56" s="1069"/>
    </row>
    <row r="57" spans="1:2">
      <c r="A57" s="1069"/>
    </row>
    <row r="58" spans="1:2">
      <c r="A58" s="1069"/>
    </row>
    <row r="59" spans="1:2">
      <c r="A59" s="1069"/>
    </row>
    <row r="60" spans="1:2">
      <c r="A60" s="1069"/>
    </row>
    <row r="61" spans="1:2">
      <c r="A61" s="1069"/>
    </row>
    <row r="62" spans="1:2">
      <c r="A62" s="1069"/>
    </row>
    <row r="63" spans="1:2">
      <c r="A63" s="1069"/>
    </row>
    <row r="64" spans="1:2">
      <c r="A64" s="1069"/>
      <c r="B64" s="258" t="str">
        <f>COVER!A17</f>
        <v>East Moline SD 37</v>
      </c>
    </row>
    <row r="65" spans="2:2">
      <c r="B65" s="1070">
        <f>COVER!A13</f>
        <v>49081037002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49" sqref="B49"/>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1414</v>
      </c>
      <c r="D6" s="24"/>
    </row>
    <row r="7" spans="1:4" ht="13.5" customHeight="1">
      <c r="A7" s="23"/>
      <c r="B7" s="25"/>
      <c r="C7" s="65" t="s">
        <v>1415</v>
      </c>
      <c r="D7" s="24"/>
    </row>
    <row r="8" spans="1:4" ht="13.5" customHeight="1">
      <c r="A8" s="23"/>
      <c r="B8" s="146" t="s">
        <v>943</v>
      </c>
      <c r="C8" s="65" t="s">
        <v>1400</v>
      </c>
      <c r="D8" s="24"/>
    </row>
    <row r="9" spans="1:4" ht="13.5" customHeight="1">
      <c r="A9" s="14"/>
      <c r="B9" s="144" t="s">
        <v>944</v>
      </c>
      <c r="C9" s="142" t="s">
        <v>1319</v>
      </c>
    </row>
    <row r="10" spans="1:4" ht="13.5" customHeight="1">
      <c r="B10" s="18" t="s">
        <v>945</v>
      </c>
      <c r="C10" s="15" t="s">
        <v>909</v>
      </c>
    </row>
    <row r="11" spans="1:4" ht="13.15" customHeight="1">
      <c r="B11" s="18" t="s">
        <v>946</v>
      </c>
      <c r="C11" s="16" t="s">
        <v>859</v>
      </c>
    </row>
    <row r="12" spans="1:4" ht="21.75" customHeight="1">
      <c r="B12" s="18" t="s">
        <v>947</v>
      </c>
      <c r="C12" s="145" t="s">
        <v>1399</v>
      </c>
    </row>
    <row r="13" spans="1:4" s="19" customFormat="1" ht="13.15" customHeight="1">
      <c r="B13" s="18" t="s">
        <v>915</v>
      </c>
      <c r="C13" s="16" t="s">
        <v>1127</v>
      </c>
    </row>
    <row r="14" spans="1:4" ht="21.75" customHeight="1">
      <c r="B14" s="18" t="s">
        <v>916</v>
      </c>
      <c r="C14" s="16" t="s">
        <v>843</v>
      </c>
    </row>
    <row r="15" spans="1:4" ht="13.15" customHeight="1">
      <c r="B15" s="143" t="s">
        <v>1325</v>
      </c>
      <c r="C15" s="142" t="s">
        <v>1326</v>
      </c>
    </row>
    <row r="16" spans="1:4" ht="13.15" customHeight="1">
      <c r="C16" s="142" t="s">
        <v>1327</v>
      </c>
    </row>
    <row r="17" spans="3:3" ht="13.15" customHeight="1">
      <c r="C17" s="66" t="s">
        <v>1328</v>
      </c>
    </row>
    <row r="19" spans="3:3">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ColWidth="9.140625" defaultRowHeight="12.75"/>
  <cols>
    <col min="1" max="1" width="1.85546875" style="329" customWidth="1"/>
    <col min="2" max="2" width="59.7109375" style="329" customWidth="1"/>
    <col min="3" max="16384" width="9.140625" style="329"/>
  </cols>
  <sheetData>
    <row r="11" spans="1:6">
      <c r="B11" s="1071"/>
      <c r="C11" s="1071"/>
      <c r="D11" s="1071"/>
      <c r="E11" s="1071"/>
      <c r="F11" s="1071"/>
    </row>
    <row r="13" spans="1:6">
      <c r="A13" s="1072" t="s">
        <v>1493</v>
      </c>
    </row>
    <row r="15" spans="1:6">
      <c r="A15" s="389" t="s">
        <v>857</v>
      </c>
    </row>
    <row r="16" spans="1:6" s="1071" customFormat="1" ht="45.4" customHeight="1">
      <c r="A16" s="1073"/>
      <c r="B16" s="1073" t="s">
        <v>1684</v>
      </c>
    </row>
    <row r="17" spans="1:2" ht="6" customHeight="1"/>
    <row r="18" spans="1:2" ht="24.75" customHeight="1">
      <c r="A18" s="2393" t="s">
        <v>1685</v>
      </c>
      <c r="B18" s="239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3"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49" sqref="B49"/>
    </sheetView>
  </sheetViews>
  <sheetFormatPr defaultColWidth="9.140625" defaultRowHeight="12.75"/>
  <cols>
    <col min="1" max="1" width="33.85546875" style="316" customWidth="1"/>
    <col min="2" max="6" width="16.7109375" style="316" customWidth="1"/>
    <col min="7" max="16384" width="9.140625" style="316"/>
  </cols>
  <sheetData>
    <row r="1" spans="1:8" ht="49.15" customHeight="1">
      <c r="A1" s="2394" t="s">
        <v>1690</v>
      </c>
      <c r="B1" s="2395"/>
      <c r="C1" s="2395"/>
      <c r="D1" s="2395"/>
      <c r="E1" s="2395"/>
      <c r="F1" s="2396"/>
    </row>
    <row r="2" spans="1:8" ht="45.4" customHeight="1">
      <c r="A2" s="2404" t="s">
        <v>1984</v>
      </c>
      <c r="B2" s="2405"/>
      <c r="C2" s="2405"/>
      <c r="D2" s="2405"/>
      <c r="E2" s="2405"/>
      <c r="F2" s="2406"/>
      <c r="G2" s="1074"/>
      <c r="H2" s="1074"/>
    </row>
    <row r="3" spans="1:8" ht="57" customHeight="1">
      <c r="A3" s="2407" t="s">
        <v>1686</v>
      </c>
      <c r="B3" s="2408"/>
      <c r="C3" s="2408"/>
      <c r="D3" s="2408"/>
      <c r="E3" s="2408"/>
      <c r="F3" s="2409"/>
      <c r="G3" s="1074"/>
      <c r="H3" s="1074"/>
    </row>
    <row r="4" spans="1:8" ht="14.25" customHeight="1">
      <c r="A4" s="2413" t="s">
        <v>1985</v>
      </c>
      <c r="B4" s="2414"/>
      <c r="C4" s="2414"/>
      <c r="D4" s="2414"/>
      <c r="E4" s="2414"/>
      <c r="F4" s="2415"/>
      <c r="G4" s="1074"/>
      <c r="H4" s="1074"/>
    </row>
    <row r="5" spans="1:8" ht="14.25" customHeight="1">
      <c r="A5" s="2416" t="s">
        <v>1981</v>
      </c>
      <c r="B5" s="2417"/>
      <c r="C5" s="2417"/>
      <c r="D5" s="2417"/>
      <c r="E5" s="2417"/>
      <c r="F5" s="2418"/>
      <c r="G5" s="1074"/>
      <c r="H5" s="1074"/>
    </row>
    <row r="6" spans="1:8" s="1075" customFormat="1" ht="41.25" customHeight="1">
      <c r="A6" s="2410" t="s">
        <v>1691</v>
      </c>
      <c r="B6" s="2411"/>
      <c r="C6" s="2411"/>
      <c r="D6" s="2411"/>
      <c r="E6" s="2411"/>
      <c r="F6" s="2412"/>
    </row>
    <row r="7" spans="1:8" ht="42" customHeight="1">
      <c r="A7" s="1076" t="s">
        <v>481</v>
      </c>
      <c r="B7" s="1077" t="s">
        <v>1496</v>
      </c>
      <c r="C7" s="1077" t="s">
        <v>1497</v>
      </c>
      <c r="D7" s="1077" t="s">
        <v>1495</v>
      </c>
      <c r="E7" s="1077" t="s">
        <v>1498</v>
      </c>
      <c r="F7" s="1077" t="s">
        <v>1367</v>
      </c>
    </row>
    <row r="8" spans="1:8" s="1079" customFormat="1" ht="14.25" customHeight="1">
      <c r="A8" s="1078" t="s">
        <v>1368</v>
      </c>
      <c r="B8" s="1814">
        <f>'Acct Summary 7-8'!C8</f>
        <v>27376309</v>
      </c>
      <c r="C8" s="1814">
        <f>'Acct Summary 7-8'!D8</f>
        <v>1921405</v>
      </c>
      <c r="D8" s="1814">
        <f>'Acct Summary 7-8'!F8</f>
        <v>1430799</v>
      </c>
      <c r="E8" s="1814">
        <f>'Acct Summary 7-8'!I8</f>
        <v>263703</v>
      </c>
      <c r="F8" s="1814">
        <f>SUM(B8:E8)</f>
        <v>30992216</v>
      </c>
    </row>
    <row r="9" spans="1:8" s="1079" customFormat="1" ht="14.25" customHeight="1" thickBot="1">
      <c r="A9" s="1078" t="s">
        <v>1369</v>
      </c>
      <c r="B9" s="1815">
        <f>'Acct Summary 7-8'!C17</f>
        <v>26010227</v>
      </c>
      <c r="C9" s="1815">
        <f>'Acct Summary 7-8'!D17</f>
        <v>2166327</v>
      </c>
      <c r="D9" s="1815">
        <f>'Acct Summary 7-8'!F17</f>
        <v>1618254</v>
      </c>
      <c r="E9" s="1814"/>
      <c r="F9" s="1814">
        <f>SUM(B9:E9)</f>
        <v>29794808</v>
      </c>
    </row>
    <row r="10" spans="1:8" s="1079" customFormat="1" ht="14.25" thickTop="1" thickBot="1">
      <c r="A10" s="1080" t="s">
        <v>1370</v>
      </c>
      <c r="B10" s="1816">
        <f>(B8-B9)</f>
        <v>1366082</v>
      </c>
      <c r="C10" s="1816">
        <f>(C8-C9)</f>
        <v>-244922</v>
      </c>
      <c r="D10" s="1816">
        <f>(D8-D9)</f>
        <v>-187455</v>
      </c>
      <c r="E10" s="1815">
        <f>(E8-E9)</f>
        <v>263703</v>
      </c>
      <c r="F10" s="1817">
        <f>SUM(F8-F9)</f>
        <v>1197408</v>
      </c>
    </row>
    <row r="11" spans="1:8" s="1079" customFormat="1" ht="14.25" thickTop="1" thickBot="1">
      <c r="A11" s="1081" t="s">
        <v>1982</v>
      </c>
      <c r="B11" s="1818">
        <f>'Acct Summary 7-8'!C81</f>
        <v>5661226</v>
      </c>
      <c r="C11" s="1818">
        <f>'Acct Summary 7-8'!D81</f>
        <v>803566</v>
      </c>
      <c r="D11" s="1818">
        <f>'Acct Summary 7-8'!F81</f>
        <v>418084</v>
      </c>
      <c r="E11" s="1818">
        <f>'Acct Summary 7-8'!I81</f>
        <v>4224243</v>
      </c>
      <c r="F11" s="1819">
        <f>SUM(B11:E11)</f>
        <v>11107119</v>
      </c>
    </row>
    <row r="12" spans="1:8" ht="16.7" customHeight="1" thickTop="1">
      <c r="A12" s="1082"/>
      <c r="B12" s="1083"/>
      <c r="C12" s="2398" t="str">
        <f>IF(AND(F10&lt;0,F11&gt;=0,ABS(F10*3)&gt;ABS(F11)),A16,IF(AND(F10&lt;0,F11&gt;0,ABS(F10*3)&lt;=ABS(F11)),A17,IF(AND(F10&lt;0,F11&lt;0),A16,IF(F11=0,A19,A18))))</f>
        <v>Balanced - no deficit reduction plan is required.</v>
      </c>
      <c r="D12" s="2399"/>
      <c r="E12" s="2399"/>
      <c r="F12" s="2400"/>
    </row>
    <row r="13" spans="1:8" ht="19.5" customHeight="1">
      <c r="A13" s="1084"/>
      <c r="B13" s="1085"/>
      <c r="C13" s="2398"/>
      <c r="D13" s="2399"/>
      <c r="E13" s="2399"/>
      <c r="F13" s="2400"/>
      <c r="H13" s="1074"/>
    </row>
    <row r="14" spans="1:8" ht="19.5" customHeight="1">
      <c r="A14" s="1084"/>
      <c r="B14" s="1085"/>
      <c r="C14" s="2398"/>
      <c r="D14" s="2399"/>
      <c r="E14" s="2399"/>
      <c r="F14" s="2400"/>
      <c r="H14" s="1074"/>
    </row>
    <row r="15" spans="1:8" ht="17.25" customHeight="1">
      <c r="A15" s="1084"/>
      <c r="B15" s="1085"/>
      <c r="C15" s="2401"/>
      <c r="D15" s="2402"/>
      <c r="E15" s="2402"/>
      <c r="F15" s="2403"/>
      <c r="H15" s="1074"/>
    </row>
    <row r="16" spans="1:8" s="310" customFormat="1" ht="51.75" hidden="1" customHeight="1">
      <c r="A16" s="2397" t="s">
        <v>1687</v>
      </c>
      <c r="B16" s="2397"/>
      <c r="C16" s="2397"/>
      <c r="D16" s="2397"/>
      <c r="E16" s="2397"/>
      <c r="F16" s="310" t="s">
        <v>1371</v>
      </c>
    </row>
    <row r="17" spans="1:6" hidden="1">
      <c r="A17" s="316" t="s">
        <v>1688</v>
      </c>
      <c r="F17" s="1086" t="s">
        <v>1372</v>
      </c>
    </row>
    <row r="18" spans="1:6" hidden="1">
      <c r="A18" s="316" t="s">
        <v>1689</v>
      </c>
      <c r="F18" s="316" t="s">
        <v>1410</v>
      </c>
    </row>
    <row r="19" spans="1:6" hidden="1">
      <c r="A19" s="316" t="s">
        <v>1409</v>
      </c>
      <c r="F19" s="316" t="s">
        <v>1374</v>
      </c>
    </row>
    <row r="20" spans="1:6" ht="14.25" customHeight="1"/>
    <row r="21" spans="1:6">
      <c r="B21" s="1087"/>
    </row>
    <row r="48" spans="3:3">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8" colorId="8" zoomScale="110" zoomScaleNormal="110" workbookViewId="0">
      <selection activeCell="B49" sqref="B49"/>
    </sheetView>
  </sheetViews>
  <sheetFormatPr defaultColWidth="9.140625" defaultRowHeight="1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c r="A1" s="1088"/>
      <c r="B1" s="1089"/>
      <c r="C1" s="1090"/>
      <c r="D1" s="1091"/>
    </row>
    <row r="2" spans="1:4" ht="7.5" customHeight="1" thickTop="1">
      <c r="A2" s="1896"/>
      <c r="B2" s="1897"/>
      <c r="C2" s="1898"/>
      <c r="D2" s="1899"/>
    </row>
    <row r="3" spans="1:4" ht="36" customHeight="1">
      <c r="A3" s="2419" t="s">
        <v>665</v>
      </c>
      <c r="B3" s="2420"/>
      <c r="C3" s="2420"/>
      <c r="D3" s="2421"/>
    </row>
    <row r="4" spans="1:4">
      <c r="A4" s="1152" t="s">
        <v>1692</v>
      </c>
      <c r="B4" s="1153"/>
      <c r="C4" s="1154"/>
      <c r="D4" s="1155"/>
    </row>
    <row r="5" spans="1:4" ht="21" customHeight="1">
      <c r="A5" s="1148"/>
      <c r="B5" s="1149">
        <v>1</v>
      </c>
      <c r="C5" s="1150" t="s">
        <v>1832</v>
      </c>
      <c r="D5" s="1151"/>
    </row>
    <row r="6" spans="1:4" s="668" customFormat="1" ht="14.25" customHeight="1">
      <c r="A6" s="1138"/>
      <c r="B6" s="1093">
        <f t="shared" ref="B6:B13" si="0">B5+1</f>
        <v>2</v>
      </c>
      <c r="C6" s="1094" t="s">
        <v>864</v>
      </c>
      <c r="D6" s="1095"/>
    </row>
    <row r="7" spans="1:4" s="668" customFormat="1" ht="12.75">
      <c r="A7" s="1138"/>
      <c r="B7" s="1093">
        <f t="shared" si="0"/>
        <v>3</v>
      </c>
      <c r="C7" s="2430" t="s">
        <v>1504</v>
      </c>
      <c r="D7" s="2431"/>
    </row>
    <row r="8" spans="1:4" s="668" customFormat="1" ht="12.75">
      <c r="A8" s="1138"/>
      <c r="B8" s="1093"/>
      <c r="C8" s="1096" t="s">
        <v>1503</v>
      </c>
      <c r="D8" s="1097"/>
    </row>
    <row r="9" spans="1:4" s="668" customFormat="1" ht="14.25" customHeight="1">
      <c r="A9" s="1138"/>
      <c r="B9" s="1093">
        <f>B7+1</f>
        <v>4</v>
      </c>
      <c r="C9" s="1094" t="s">
        <v>1910</v>
      </c>
      <c r="D9" s="1095"/>
    </row>
    <row r="10" spans="1:4" s="668" customFormat="1" ht="14.25" customHeight="1">
      <c r="A10" s="1138"/>
      <c r="B10" s="1093">
        <f t="shared" si="0"/>
        <v>5</v>
      </c>
      <c r="C10" s="1094" t="s">
        <v>639</v>
      </c>
      <c r="D10" s="1095"/>
    </row>
    <row r="11" spans="1:4" s="668" customFormat="1" ht="14.25" customHeight="1">
      <c r="A11" s="1138"/>
      <c r="B11" s="1093">
        <f t="shared" si="0"/>
        <v>6</v>
      </c>
      <c r="C11" s="1094" t="s">
        <v>778</v>
      </c>
      <c r="D11" s="1095"/>
    </row>
    <row r="12" spans="1:4" s="668" customFormat="1" ht="14.25" customHeight="1">
      <c r="A12" s="1138"/>
      <c r="B12" s="1093">
        <f t="shared" si="0"/>
        <v>7</v>
      </c>
      <c r="C12" s="1094" t="s">
        <v>1062</v>
      </c>
      <c r="D12" s="1095"/>
    </row>
    <row r="13" spans="1:4" s="668" customFormat="1" ht="14.25" customHeight="1">
      <c r="A13" s="1138"/>
      <c r="B13" s="1093">
        <f t="shared" si="0"/>
        <v>8</v>
      </c>
      <c r="C13" s="1134" t="s">
        <v>779</v>
      </c>
      <c r="D13" s="1095"/>
    </row>
    <row r="14" spans="1:4" s="668" customFormat="1" ht="14.25" customHeight="1">
      <c r="A14" s="1138"/>
      <c r="B14" s="1135">
        <v>9</v>
      </c>
      <c r="C14" s="1136" t="s">
        <v>1505</v>
      </c>
      <c r="D14" s="1137"/>
    </row>
    <row r="15" spans="1:4" s="668" customFormat="1" ht="21.75" customHeight="1">
      <c r="A15" s="2422" t="s">
        <v>1008</v>
      </c>
      <c r="B15" s="2423"/>
      <c r="C15" s="2423"/>
      <c r="D15" s="2424"/>
    </row>
    <row r="16" spans="1:4" s="668" customFormat="1" ht="24" customHeight="1">
      <c r="A16" s="2425" t="s">
        <v>663</v>
      </c>
      <c r="B16" s="2426"/>
      <c r="C16" s="2426"/>
      <c r="D16" s="2427"/>
    </row>
    <row r="17" spans="1:10" s="668" customFormat="1" ht="13.15" customHeight="1">
      <c r="A17" s="1156" t="s">
        <v>1693</v>
      </c>
      <c r="B17" s="1157"/>
      <c r="C17" s="1158"/>
      <c r="D17" s="1159"/>
    </row>
    <row r="18" spans="1:10" s="668" customFormat="1" ht="13.15" customHeight="1">
      <c r="A18" s="1160" t="s">
        <v>1694</v>
      </c>
      <c r="B18" s="1161"/>
      <c r="C18" s="1162"/>
      <c r="D18" s="1163"/>
    </row>
    <row r="19" spans="1:10" ht="6.75" customHeight="1" thickBot="1">
      <c r="A19" s="1164"/>
      <c r="B19" s="1165"/>
      <c r="C19" s="1166"/>
      <c r="D19" s="1167"/>
    </row>
    <row r="20" spans="1:10" s="1171" customFormat="1" ht="12.75" thickTop="1">
      <c r="A20" s="1168"/>
      <c r="B20" s="1169" t="s">
        <v>1695</v>
      </c>
      <c r="C20" s="1170"/>
      <c r="D20" s="1173" t="s">
        <v>710</v>
      </c>
    </row>
    <row r="21" spans="1:10">
      <c r="A21" s="1098"/>
      <c r="B21" s="1099">
        <v>1</v>
      </c>
      <c r="C21" s="2434" t="s">
        <v>314</v>
      </c>
      <c r="D21" s="2435"/>
    </row>
    <row r="22" spans="1:10" ht="12.75">
      <c r="A22" s="1139"/>
      <c r="B22" s="1140">
        <v>2</v>
      </c>
      <c r="C22" s="2432" t="s">
        <v>1524</v>
      </c>
      <c r="D22" s="2433"/>
    </row>
    <row r="23" spans="1:10" ht="12.4" customHeight="1">
      <c r="A23" s="1139"/>
      <c r="B23" s="1140"/>
      <c r="C23" s="1141" t="s">
        <v>954</v>
      </c>
      <c r="D23" s="1142" t="str">
        <f>IF(COVER!O11="X","CASH",IF(COVER!O12="X","ACCRUAL ","PLEASE CHECK AN ACCOUNTING BASIS."))</f>
        <v>CASH</v>
      </c>
    </row>
    <row r="24" spans="1:10" ht="12.4" customHeight="1">
      <c r="A24" s="1139"/>
      <c r="B24" s="1140"/>
      <c r="C24" s="1141" t="s">
        <v>1332</v>
      </c>
      <c r="D24" s="1142" t="str">
        <f>IF(COVER!O11="X","OK",IF(AND('Aud Quest 2'!J90=0,'Aud Quest 2'!I77&lt;DATE(2017,12,31)),"ENTER ACCOUNTING INFO",IF(AND('Aud Quest 2'!J90&gt;0,'Aud Quest 2'!I77&lt;DATE(2017,12,31)),"OK")))</f>
        <v>OK</v>
      </c>
    </row>
    <row r="25" spans="1:10">
      <c r="A25" s="1100"/>
      <c r="B25" s="1101"/>
      <c r="C25" s="1102" t="s">
        <v>1526</v>
      </c>
      <c r="D25" s="1103" t="str">
        <f>IF(AND(COVER!J29="X",COVER!J30="X",COVER!L30&lt;&gt;"X"),"OK",IF(AND(COVER!J29="X",COVER!J30&lt;&gt;"X",COVER!L30="X"),"OK",IF(AND(COVER!L29="X",COVER!J30&lt;&gt;"X"),"OK","PLEASE CHECK YES or NO.")))</f>
        <v>OK</v>
      </c>
    </row>
    <row r="26" spans="1:10">
      <c r="A26" s="1100"/>
      <c r="B26" s="1143"/>
      <c r="C26" s="1104" t="s">
        <v>1525</v>
      </c>
      <c r="D26" s="1105" t="str">
        <f>IF(AND(COVER!J29="X",COVER!J30="X",COVER!L29&lt;&gt;"X"),"OK",IF(AND(COVER!J29="X",COVER!J30&lt;&gt;"X",COVER!L30="X"),"SENDING AN A-133 SEPERATELY!",IF(AND(COVER!L29="X",COVER!J30&lt;&gt;"X"),"OK","PLEASE CHECK YES or NO.")))</f>
        <v>OK</v>
      </c>
    </row>
    <row r="27" spans="1:10" ht="12" hidden="1" customHeight="1">
      <c r="A27" s="1106"/>
      <c r="B27" s="1143"/>
      <c r="C27" s="1102" t="s">
        <v>975</v>
      </c>
      <c r="D27" s="1105" t="str">
        <f>IF(AND(COVER!J29="X",COVER!J31="X",COVER!L29&lt;&gt;"X"),"OK",IF(AND(COVER!J29="X",COVER!J31&lt;&gt;"X",COVER!L31="X"),"NO FINDINGS WERE ISSUED",IF(AND(COVER!L29="X",COVER!J31&lt;&gt;"X"),"OK","PLEASE CHECK YES or NO.")))</f>
        <v>OK</v>
      </c>
    </row>
    <row r="28" spans="1:10" ht="24" hidden="1" customHeight="1">
      <c r="A28" s="1106"/>
      <c r="B28" s="1143"/>
      <c r="C28" s="1102" t="s">
        <v>842</v>
      </c>
      <c r="D28" s="1107" t="b">
        <f>IF('Aud Quest 2'!B53="X",IF('Aud Quest 2'!F53&gt;"00/00/00 ","Enter Effective Date","ok"))</f>
        <v>0</v>
      </c>
    </row>
    <row r="29" spans="1:10">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3.15" customHeight="1">
      <c r="A30" s="1098"/>
      <c r="B30" s="1140">
        <f>B22+1</f>
        <v>3</v>
      </c>
      <c r="C30" s="1108" t="s">
        <v>825</v>
      </c>
      <c r="D30" s="1109"/>
    </row>
    <row r="31" spans="1:10">
      <c r="A31" s="1100"/>
      <c r="B31" s="1110"/>
      <c r="C31" s="1144" t="s">
        <v>253</v>
      </c>
      <c r="D31" s="1111" t="str">
        <f>IF(SUM('FP Info 3'!J10:L10)&lt;=0.0999999,"OK","CORRECT THE TAX RATES BY MOVING THE DECIMAL TWO PLACES TO THE LEFT.")</f>
        <v>OK</v>
      </c>
      <c r="E31" s="359"/>
      <c r="F31" s="359"/>
      <c r="G31" s="359"/>
      <c r="H31" s="359"/>
      <c r="I31" s="359"/>
      <c r="J31" s="359"/>
    </row>
    <row r="32" spans="1:10">
      <c r="A32" s="1100"/>
      <c r="B32" s="1145"/>
      <c r="C32" s="1112" t="s">
        <v>978</v>
      </c>
      <c r="D32" s="1103" t="str">
        <f>IF(OR(COVER!B6="x",'FP Info 3'!B31="X",'FP Info 3'!B32="X"),"OK","ENTRY IS REQUIRED!")</f>
        <v>OK</v>
      </c>
    </row>
    <row r="33" spans="1:12" s="1116" customFormat="1" ht="13.15" customHeight="1">
      <c r="A33" s="1113"/>
      <c r="B33" s="1140">
        <f>B30+1</f>
        <v>4</v>
      </c>
      <c r="C33" s="1114" t="s">
        <v>780</v>
      </c>
      <c r="D33" s="1115"/>
    </row>
    <row r="34" spans="1:12" s="1116" customFormat="1">
      <c r="A34" s="1117"/>
      <c r="B34" s="1140"/>
      <c r="C34" s="1118" t="s">
        <v>826</v>
      </c>
      <c r="D34" s="1103" t="str">
        <f>IF('Assets-Liab 5-6'!C4&lt;-0.49, "ERROR!","OK")</f>
        <v>OK</v>
      </c>
    </row>
    <row r="35" spans="1:12">
      <c r="A35" s="1117"/>
      <c r="B35" s="1140"/>
      <c r="C35" s="1118" t="s">
        <v>306</v>
      </c>
      <c r="D35" s="1103" t="str">
        <f>IF('Assets-Liab 5-6'!D4&lt;-0.49, "ERROR!","OK")</f>
        <v>OK</v>
      </c>
      <c r="L35" s="1172"/>
    </row>
    <row r="36" spans="1:12">
      <c r="A36" s="1117"/>
      <c r="B36" s="1140"/>
      <c r="C36" s="1118" t="s">
        <v>781</v>
      </c>
      <c r="D36" s="1103" t="str">
        <f>IF('Assets-Liab 5-6'!E4&lt;-0.49, "ERROR!","OK")</f>
        <v>OK</v>
      </c>
    </row>
    <row r="37" spans="1:12">
      <c r="A37" s="1117"/>
      <c r="B37" s="1140"/>
      <c r="C37" s="1118" t="s">
        <v>307</v>
      </c>
      <c r="D37" s="1103" t="str">
        <f>IF('Assets-Liab 5-6'!F4&lt;-0.49, "ERROR!","OK")</f>
        <v>OK</v>
      </c>
    </row>
    <row r="38" spans="1:12">
      <c r="A38" s="1117"/>
      <c r="B38" s="1140"/>
      <c r="C38" s="1118" t="s">
        <v>308</v>
      </c>
      <c r="D38" s="1103" t="str">
        <f>IF('Assets-Liab 5-6'!G4&lt;-0.49, "ERROR!","OK")</f>
        <v>OK</v>
      </c>
    </row>
    <row r="39" spans="1:12">
      <c r="A39" s="1117"/>
      <c r="B39" s="1140"/>
      <c r="C39" s="1118" t="s">
        <v>782</v>
      </c>
      <c r="D39" s="1103" t="str">
        <f>IF('Assets-Liab 5-6'!H4&lt;-0.49, "ERROR!","OK")</f>
        <v>OK</v>
      </c>
    </row>
    <row r="40" spans="1:12">
      <c r="A40" s="1117"/>
      <c r="B40" s="1140"/>
      <c r="C40" s="1118" t="s">
        <v>309</v>
      </c>
      <c r="D40" s="1103" t="str">
        <f>IF('Assets-Liab 5-6'!I4&lt;-0.49, "ERROR!","OK")</f>
        <v>OK</v>
      </c>
    </row>
    <row r="41" spans="1:12">
      <c r="A41" s="1117"/>
      <c r="B41" s="1140"/>
      <c r="C41" s="1118" t="s">
        <v>783</v>
      </c>
      <c r="D41" s="1103" t="str">
        <f>IF('Assets-Liab 5-6'!J4&lt;-0.49, "ERROR!","OK")</f>
        <v>OK</v>
      </c>
    </row>
    <row r="42" spans="1:12">
      <c r="A42" s="1117"/>
      <c r="B42" s="1140"/>
      <c r="C42" s="1118" t="s">
        <v>310</v>
      </c>
      <c r="D42" s="1103" t="str">
        <f>IF('Assets-Liab 5-6'!K4&lt;-0.49, "ERROR!","OK")</f>
        <v>OK</v>
      </c>
    </row>
    <row r="43" spans="1:12">
      <c r="A43" s="1119"/>
      <c r="B43" s="1120">
        <f>B33+1</f>
        <v>5</v>
      </c>
      <c r="C43" s="2436" t="s">
        <v>536</v>
      </c>
      <c r="D43" s="2437"/>
    </row>
    <row r="44" spans="1:12">
      <c r="A44" s="1119"/>
      <c r="B44" s="1121"/>
      <c r="C44" s="1122" t="s">
        <v>1335</v>
      </c>
      <c r="D44" s="1123" t="str">
        <f>IF(SUM('Assets-Liab 5-6'!C13)&lt;&gt;SUM('Assets-Liab 5-6'!C41),"ERROR!","OK")</f>
        <v>OK</v>
      </c>
    </row>
    <row r="45" spans="1:12">
      <c r="A45" s="1119"/>
      <c r="B45" s="1121"/>
      <c r="C45" s="1122" t="s">
        <v>1336</v>
      </c>
      <c r="D45" s="1123" t="str">
        <f>IF(SUM('Assets-Liab 5-6'!D13)&lt;&gt;SUM('Assets-Liab 5-6'!D41),"ERROR!","OK")</f>
        <v>OK</v>
      </c>
    </row>
    <row r="46" spans="1:12">
      <c r="A46" s="1119"/>
      <c r="B46" s="1121"/>
      <c r="C46" s="1122" t="s">
        <v>1337</v>
      </c>
      <c r="D46" s="1123" t="str">
        <f>IF(SUM('Assets-Liab 5-6'!E13)&lt;&gt;SUM('Assets-Liab 5-6'!E41),"ERROR!","OK")</f>
        <v>OK</v>
      </c>
    </row>
    <row r="47" spans="1:12">
      <c r="A47" s="1119"/>
      <c r="B47" s="1121"/>
      <c r="C47" s="1122" t="s">
        <v>1338</v>
      </c>
      <c r="D47" s="1123" t="str">
        <f>IF(SUM('Assets-Liab 5-6'!F13)&lt;&gt;SUM('Assets-Liab 5-6'!F41),"ERROR!","OK")</f>
        <v>OK</v>
      </c>
    </row>
    <row r="48" spans="1:12">
      <c r="A48" s="1119"/>
      <c r="B48" s="1121"/>
      <c r="C48" s="1122" t="s">
        <v>1339</v>
      </c>
      <c r="D48" s="1123" t="str">
        <f>IF(SUM('Assets-Liab 5-6'!G13)&lt;&gt;SUM('Assets-Liab 5-6'!G41),"ERROR!","OK")</f>
        <v>OK</v>
      </c>
    </row>
    <row r="49" spans="1:4">
      <c r="A49" s="1119"/>
      <c r="B49" s="1121"/>
      <c r="C49" s="1122" t="s">
        <v>1340</v>
      </c>
      <c r="D49" s="1123" t="str">
        <f>IF(SUM('Assets-Liab 5-6'!H13)&lt;&gt;SUM('Assets-Liab 5-6'!H41),"ERROR!","OK")</f>
        <v>OK</v>
      </c>
    </row>
    <row r="50" spans="1:4">
      <c r="A50" s="1119"/>
      <c r="B50" s="1121"/>
      <c r="C50" s="1122" t="s">
        <v>1341</v>
      </c>
      <c r="D50" s="1123" t="str">
        <f>IF(SUM('Assets-Liab 5-6'!I13)&lt;&gt;SUM('Assets-Liab 5-6'!I41),"ERROR!","OK")</f>
        <v>OK</v>
      </c>
    </row>
    <row r="51" spans="1:4">
      <c r="A51" s="1119"/>
      <c r="B51" s="1121"/>
      <c r="C51" s="1122" t="s">
        <v>1342</v>
      </c>
      <c r="D51" s="1123" t="str">
        <f>IF(SUM('Assets-Liab 5-6'!J13)&lt;&gt;SUM('Assets-Liab 5-6'!J41),"ERROR!","OK")</f>
        <v>OK</v>
      </c>
    </row>
    <row r="52" spans="1:4">
      <c r="A52" s="1119"/>
      <c r="B52" s="1121"/>
      <c r="C52" s="1122" t="s">
        <v>1343</v>
      </c>
      <c r="D52" s="1123" t="str">
        <f>IF(SUM('Assets-Liab 5-6'!K13)&lt;&gt;SUM('Assets-Liab 5-6'!K41),"ERROR!","OK")</f>
        <v>OK</v>
      </c>
    </row>
    <row r="53" spans="1:4">
      <c r="A53" s="1119"/>
      <c r="B53" s="1121"/>
      <c r="C53" s="1122" t="s">
        <v>1344</v>
      </c>
      <c r="D53" s="1123" t="str">
        <f>IF(SUM('Assets-Liab 5-6'!L13)&lt;&gt;('Assets-Liab 5-6'!L41),"ERROR!","OK")</f>
        <v>OK</v>
      </c>
    </row>
    <row r="54" spans="1:4">
      <c r="A54" s="1119"/>
      <c r="B54" s="1121"/>
      <c r="C54" s="1122" t="s">
        <v>1345</v>
      </c>
      <c r="D54" s="1123" t="str">
        <f>IF(SUM('Assets-Liab 5-6'!M23)&lt;&gt;('Assets-Liab 5-6'!M41),"ERROR!","OK")</f>
        <v>OK</v>
      </c>
    </row>
    <row r="55" spans="1:4">
      <c r="A55" s="1119"/>
      <c r="B55" s="1121"/>
      <c r="C55" s="1122" t="s">
        <v>1346</v>
      </c>
      <c r="D55" s="1123" t="str">
        <f>IF(SUM('Assets-Liab 5-6'!N23)&lt;&gt;('Assets-Liab 5-6'!N41),"ERROR!","OK")</f>
        <v>OK</v>
      </c>
    </row>
    <row r="56" spans="1:4">
      <c r="A56" s="1100"/>
      <c r="B56" s="1120">
        <f>B43+1</f>
        <v>6</v>
      </c>
      <c r="C56" s="2428" t="s">
        <v>784</v>
      </c>
      <c r="D56" s="2429"/>
    </row>
    <row r="57" spans="1:4" s="1116" customFormat="1">
      <c r="A57" s="1100"/>
      <c r="B57" s="1110"/>
      <c r="C57" s="1118" t="s">
        <v>1347</v>
      </c>
      <c r="D57" s="1124" t="str">
        <f>IF('Assets-Liab 5-6'!C38+'Assets-Liab 5-6'!C39='Acct Summary 7-8'!C81,"OK","ERROR!")</f>
        <v>OK</v>
      </c>
    </row>
    <row r="58" spans="1:4">
      <c r="A58" s="1100"/>
      <c r="B58" s="1110"/>
      <c r="C58" s="1118" t="s">
        <v>1348</v>
      </c>
      <c r="D58" s="1124" t="str">
        <f>IF((('Assets-Liab 5-6'!D38+'Assets-Liab 5-6'!D39) ='Acct Summary 7-8'!D81), "OK", "ERROR!" )</f>
        <v>OK</v>
      </c>
    </row>
    <row r="59" spans="1:4" s="1116" customFormat="1">
      <c r="A59" s="1100"/>
      <c r="B59" s="1110"/>
      <c r="C59" s="1118" t="s">
        <v>1349</v>
      </c>
      <c r="D59" s="1124" t="str">
        <f>IF((('Assets-Liab 5-6'!E38 + 'Assets-Liab 5-6'!E39) ='Acct Summary 7-8'!E81), "OK", "ERROR!" )</f>
        <v>OK</v>
      </c>
    </row>
    <row r="60" spans="1:4">
      <c r="A60" s="1100"/>
      <c r="B60" s="1110"/>
      <c r="C60" s="1118" t="s">
        <v>1350</v>
      </c>
      <c r="D60" s="1124" t="str">
        <f>IF((('Assets-Liab 5-6'!F38 + 'Assets-Liab 5-6'!F39) ='Acct Summary 7-8'!F81), "OK", "ERROR!" )</f>
        <v>OK</v>
      </c>
    </row>
    <row r="61" spans="1:4" ht="13.15" customHeight="1">
      <c r="A61" s="1100"/>
      <c r="B61" s="1110"/>
      <c r="C61" s="1118" t="s">
        <v>1363</v>
      </c>
      <c r="D61" s="1124" t="str">
        <f>IF((('Assets-Liab 5-6'!G38 + 'Assets-Liab 5-6'!G39) ='Acct Summary 7-8'!G81), "OK", "ERROR!" )</f>
        <v>OK</v>
      </c>
    </row>
    <row r="62" spans="1:4">
      <c r="A62" s="1100"/>
      <c r="B62" s="1110"/>
      <c r="C62" s="1118" t="s">
        <v>1351</v>
      </c>
      <c r="D62" s="1124" t="str">
        <f>IF((('Assets-Liab 5-6'!H38 + 'Assets-Liab 5-6'!H39) ='Acct Summary 7-8'!H81), "OK", "ERROR!" )</f>
        <v>OK</v>
      </c>
    </row>
    <row r="63" spans="1:4" ht="13.15" customHeight="1">
      <c r="A63" s="1100"/>
      <c r="B63" s="1110"/>
      <c r="C63" s="1118" t="s">
        <v>1352</v>
      </c>
      <c r="D63" s="1124" t="str">
        <f>IF((('Assets-Liab 5-6'!I38 + 'Assets-Liab 5-6'!I39) ='Acct Summary 7-8'!I81), "OK", "ERROR!" )</f>
        <v>OK</v>
      </c>
    </row>
    <row r="64" spans="1:4">
      <c r="A64" s="1100"/>
      <c r="B64" s="1110"/>
      <c r="C64" s="1118" t="s">
        <v>1353</v>
      </c>
      <c r="D64" s="1124" t="str">
        <f>IF((('Assets-Liab 5-6'!J38 + 'Assets-Liab 5-6'!J39) ='Acct Summary 7-8'!J81), "OK", "ERROR!" )</f>
        <v>OK</v>
      </c>
    </row>
    <row r="65" spans="1:4">
      <c r="A65" s="1117"/>
      <c r="B65" s="1110"/>
      <c r="C65" s="1118" t="s">
        <v>1364</v>
      </c>
      <c r="D65" s="1124" t="str">
        <f>IF((('Assets-Liab 5-6'!K38 + 'Assets-Liab 5-6'!K39) ='Acct Summary 7-8'!K81), "OK", "ERROR!" )</f>
        <v>OK</v>
      </c>
    </row>
    <row r="66" spans="1:4">
      <c r="A66" s="1098"/>
      <c r="B66" s="1140">
        <f>B56+1+1</f>
        <v>8</v>
      </c>
      <c r="C66" s="1146" t="s">
        <v>1911</v>
      </c>
      <c r="D66" s="1125"/>
    </row>
    <row r="67" spans="1:4">
      <c r="A67" s="1119"/>
      <c r="B67" s="1140"/>
      <c r="C67" s="1147" t="s">
        <v>1021</v>
      </c>
      <c r="D67" s="1125"/>
    </row>
    <row r="68" spans="1:4">
      <c r="A68" s="1100"/>
      <c r="B68" s="1110"/>
      <c r="C68" s="1102" t="s">
        <v>1912</v>
      </c>
      <c r="D68" s="1124" t="str">
        <f>IF('Short-Term Long-Term Debt 24'!F49=SUM(,'Acct Summary 7-8'!C33:K33),"OK","ERROR!")</f>
        <v>OK</v>
      </c>
    </row>
    <row r="69" spans="1:4">
      <c r="A69" s="1100"/>
      <c r="B69" s="1110"/>
      <c r="C69" s="1102" t="s">
        <v>1913</v>
      </c>
      <c r="D69" s="1124" t="str">
        <f>IF('Expenditures 15-22'!H170&lt;&gt;'Short-Term Long-Term Debt 24'!H49,"ERROR!","OK")</f>
        <v>OK</v>
      </c>
    </row>
    <row r="70" spans="1:4">
      <c r="A70" s="1098"/>
      <c r="B70" s="1120">
        <f>B66+1</f>
        <v>9</v>
      </c>
      <c r="C70" s="2428" t="s">
        <v>1696</v>
      </c>
      <c r="D70" s="2429"/>
    </row>
    <row r="71" spans="1:4">
      <c r="A71" s="1098"/>
      <c r="B71" s="1120"/>
      <c r="C71" s="1102" t="s">
        <v>1354</v>
      </c>
      <c r="D71" s="1126" t="str">
        <f>IF(SUM('Acct Summary 7-8'!C27:K27) =SUM( 'Acct Summary 7-8'!C49:K49),"OK", "ERROR")</f>
        <v>OK</v>
      </c>
    </row>
    <row r="72" spans="1:4">
      <c r="A72" s="1100"/>
      <c r="B72" s="1110"/>
      <c r="C72" s="1118" t="s">
        <v>1355</v>
      </c>
      <c r="D72" s="1124" t="str">
        <f>IF(SUM('Acct Summary 7-8'!C28:K28)=SUM('Acct Summary 7-8'!C50:K50),"OK","ERROR!")</f>
        <v>OK</v>
      </c>
    </row>
    <row r="73" spans="1:4" ht="24">
      <c r="A73" s="1127"/>
      <c r="B73" s="1110"/>
      <c r="C73" s="1118" t="s">
        <v>1697</v>
      </c>
      <c r="D73" s="1126" t="str">
        <f>IF(SUM('Acct Summary 7-8'!C42:K42)&gt;=SUM( 'Acct Summary 7-8'!C74:K74),"OK", "ERROR")</f>
        <v>OK</v>
      </c>
    </row>
    <row r="74" spans="1:4">
      <c r="A74" s="1098"/>
      <c r="B74" s="1120">
        <f>B70+1</f>
        <v>10</v>
      </c>
      <c r="C74" s="1114" t="s">
        <v>1914</v>
      </c>
      <c r="D74" s="1128"/>
    </row>
    <row r="75" spans="1:4">
      <c r="A75" s="1100"/>
      <c r="B75" s="1110"/>
      <c r="C75" s="1118" t="s">
        <v>1377</v>
      </c>
      <c r="D75" s="1124" t="str">
        <f>IF(SUM('Assets-Liab 5-6'!C38:H38)&gt;=SUM('Rest Tax Levies-Tort Im 25'!G25:K25),"OK","ERROR")</f>
        <v>OK</v>
      </c>
    </row>
    <row r="76" spans="1:4">
      <c r="A76" s="1100"/>
      <c r="B76" s="1110"/>
      <c r="C76" s="1118" t="s">
        <v>1418</v>
      </c>
      <c r="D76" s="1124" t="str">
        <f>IF(SUM('Assets-Liab 5-6'!C39:K39)&gt;0,"OK","ENTRY IS REQUIRED!")</f>
        <v>OK</v>
      </c>
    </row>
    <row r="77" spans="1:4">
      <c r="A77" s="1100"/>
      <c r="B77" s="1129">
        <f>B74+1</f>
        <v>11</v>
      </c>
      <c r="C77" s="1174" t="s">
        <v>1378</v>
      </c>
      <c r="D77" s="1124"/>
    </row>
    <row r="78" spans="1:4">
      <c r="A78" s="1100"/>
      <c r="B78" s="1110"/>
      <c r="C78" s="1118" t="s">
        <v>1915</v>
      </c>
      <c r="D78" s="1124" t="str">
        <f>IF(ISNUMBER('Acct Summary 7-8'!C9),"OK","ENTRY IS REQUIRED!")</f>
        <v>OK</v>
      </c>
    </row>
    <row r="79" spans="1:4">
      <c r="A79" s="1119"/>
      <c r="B79" s="1120">
        <f>B74+1+1</f>
        <v>12</v>
      </c>
      <c r="C79" s="1130" t="s">
        <v>1900</v>
      </c>
      <c r="D79" s="1131" t="str">
        <f>IF(OR(COVER!$B$6="X",'PCTC-OEPP 27-28'!F78&gt;0),"OK","PLEASE ENTER 9 MO ADA.")</f>
        <v>OK</v>
      </c>
    </row>
    <row r="80" spans="1:4">
      <c r="A80" s="1098"/>
      <c r="B80" s="1120">
        <v>13</v>
      </c>
      <c r="C80" s="1130" t="s">
        <v>1916</v>
      </c>
      <c r="D80" s="1131" t="str">
        <f>IF('Contracts Paid in CY 29'!D141&gt;0,"OK","PLEASE ENTER CONTRACTS PAID IN CURRENT YEAR.")</f>
        <v>OK</v>
      </c>
    </row>
    <row r="81" spans="1:4">
      <c r="A81" s="1098"/>
      <c r="B81" s="1120">
        <v>14</v>
      </c>
      <c r="C81" s="1130" t="s">
        <v>1424</v>
      </c>
      <c r="D81" s="1123" t="str">
        <f>IF('Shared Outsourced Services 31'!B8="X","OK",IF('Shared Outsourced Services 31'!K34&gt;0,"OK","ENTRY REQUIRED!"))</f>
        <v>OK</v>
      </c>
    </row>
    <row r="82" spans="1:4">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555</v>
      </c>
      <c r="B1" s="138" t="s">
        <v>261</v>
      </c>
    </row>
    <row r="2" spans="1:2">
      <c r="A2" t="s">
        <v>262</v>
      </c>
      <c r="B2" s="138">
        <f>COVER!A13</f>
        <v>49081037002</v>
      </c>
    </row>
    <row r="3" spans="1:2">
      <c r="A3" t="s">
        <v>956</v>
      </c>
      <c r="B3" s="138" t="str">
        <f>COVER!A15</f>
        <v>Rock Island</v>
      </c>
    </row>
    <row r="4" spans="1:2">
      <c r="A4" t="s">
        <v>1007</v>
      </c>
      <c r="B4" s="138" t="str">
        <f>COVER!A17</f>
        <v>East Moline SD 37</v>
      </c>
    </row>
    <row r="5" spans="1:2">
      <c r="A5" t="s">
        <v>704</v>
      </c>
      <c r="B5" s="138" t="str">
        <f>COVER!A38</f>
        <v>Kristin Humphries</v>
      </c>
    </row>
    <row r="6" spans="1:2">
      <c r="A6" t="s">
        <v>709</v>
      </c>
      <c r="B6" s="138">
        <f>COVER!P35</f>
        <v>0</v>
      </c>
    </row>
    <row r="7" spans="1:2">
      <c r="A7" t="s">
        <v>705</v>
      </c>
      <c r="B7" s="138">
        <f>COVER!I38</f>
        <v>0</v>
      </c>
    </row>
    <row r="8" spans="1:2">
      <c r="A8" t="s">
        <v>706</v>
      </c>
      <c r="B8" s="138">
        <f>COVER!T38</f>
        <v>0</v>
      </c>
    </row>
    <row r="9" spans="1:2">
      <c r="A9" s="3" t="s">
        <v>957</v>
      </c>
      <c r="B9" s="158" t="str">
        <f>AUDITCHECK!D23</f>
        <v>CASH</v>
      </c>
    </row>
    <row r="10" spans="1:2">
      <c r="A10" t="s">
        <v>976</v>
      </c>
      <c r="B10" s="138" t="str">
        <f>COVER!B5</f>
        <v>X</v>
      </c>
    </row>
    <row r="11" spans="1:2">
      <c r="A11" t="s">
        <v>977</v>
      </c>
      <c r="B11" s="138">
        <f>COVER!B6</f>
        <v>0</v>
      </c>
    </row>
    <row r="12" spans="1:2">
      <c r="A12" s="1" t="s">
        <v>1543</v>
      </c>
      <c r="B12" s="138" t="str">
        <f>IF(COVER!J29="x","Yes",IF(COVER!L29="X","No",0))</f>
        <v>Yes</v>
      </c>
    </row>
    <row r="13" spans="1:2">
      <c r="A13" s="1" t="s">
        <v>1544</v>
      </c>
      <c r="B13" s="138" t="str">
        <f>IF(COVER!J30="x","Yes",IF(COVER!L30="x","No",0))</f>
        <v>Yes</v>
      </c>
    </row>
    <row r="14" spans="1:2">
      <c r="A14" t="s">
        <v>476</v>
      </c>
      <c r="B14" s="138" t="str">
        <f>IF(COVER!J31="x","Yes",IF(COVER!L31="x","No",0))</f>
        <v>Yes</v>
      </c>
    </row>
    <row r="15" spans="1:2">
      <c r="A15" t="s">
        <v>577</v>
      </c>
      <c r="B15" s="138" t="str">
        <f>COVER!T23</f>
        <v>066-004023</v>
      </c>
    </row>
    <row r="16" spans="1:2">
      <c r="A16" t="s">
        <v>422</v>
      </c>
      <c r="B16" s="138" t="str">
        <f>COVER!T13</f>
        <v>Wipfli LLP</v>
      </c>
    </row>
    <row r="17" spans="1:2">
      <c r="A17" t="s">
        <v>884</v>
      </c>
      <c r="B17" s="138" t="str">
        <f>COVER!T15</f>
        <v>Matthew Schueler</v>
      </c>
    </row>
    <row r="18" spans="1:2">
      <c r="A18" t="s">
        <v>1150</v>
      </c>
      <c r="B18" s="138" t="str">
        <f>COVER!T17</f>
        <v>403 East 3rd Street</v>
      </c>
    </row>
    <row r="19" spans="1:2">
      <c r="A19" t="s">
        <v>886</v>
      </c>
      <c r="B19" s="138" t="str">
        <f>COVER!T25</f>
        <v>mschueler@wipfli.com</v>
      </c>
    </row>
    <row r="20" spans="1:2">
      <c r="A20" t="s">
        <v>887</v>
      </c>
      <c r="B20" s="138" t="str">
        <f>COVER!T19</f>
        <v>Sterling</v>
      </c>
    </row>
    <row r="21" spans="1:2">
      <c r="A21" t="s">
        <v>479</v>
      </c>
      <c r="B21" s="138" t="str">
        <f>COVER!X19</f>
        <v>IL</v>
      </c>
    </row>
    <row r="22" spans="1:2">
      <c r="A22" t="s">
        <v>888</v>
      </c>
      <c r="B22" s="138">
        <f>COVER!Z19</f>
        <v>61081</v>
      </c>
    </row>
    <row r="23" spans="1:2">
      <c r="A23" t="s">
        <v>1152</v>
      </c>
      <c r="B23" s="138" t="str">
        <f>COVER!T21</f>
        <v>815-626-1277</v>
      </c>
    </row>
    <row r="24" spans="1:2">
      <c r="A24" t="s">
        <v>1151</v>
      </c>
      <c r="B24" s="138">
        <f>COVER!Y21</f>
        <v>0</v>
      </c>
    </row>
    <row r="25" spans="1:2">
      <c r="A25" t="s">
        <v>761</v>
      </c>
      <c r="B25" s="138">
        <f>COVER!B34</f>
        <v>0</v>
      </c>
    </row>
    <row r="26" spans="1:2">
      <c r="A26" t="s">
        <v>1153</v>
      </c>
      <c r="B26" s="138">
        <f>COVER!L34</f>
        <v>0</v>
      </c>
    </row>
    <row r="27" spans="1:2">
      <c r="A27" t="s">
        <v>268</v>
      </c>
      <c r="B27" s="138">
        <f>COVER!U34</f>
        <v>0</v>
      </c>
    </row>
    <row r="28" spans="1:2">
      <c r="A28" t="s">
        <v>316</v>
      </c>
      <c r="B28" s="138" t="str">
        <f>IF('Aud Quest 2'!B9="x","Yes",IF('Aud Quest 2'!B9&lt;&gt;"x","0"))</f>
        <v>Yes</v>
      </c>
    </row>
    <row r="29" spans="1:2">
      <c r="A29" t="s">
        <v>317</v>
      </c>
      <c r="B29" s="138" t="str">
        <f>IF('Aud Quest 2'!B11="x","Yes",IF('Aud Quest 2'!B11&lt;&gt;"x","0"))</f>
        <v>0</v>
      </c>
    </row>
    <row r="30" spans="1:2">
      <c r="A30" t="s">
        <v>318</v>
      </c>
      <c r="B30" s="138" t="str">
        <f>IF('Aud Quest 2'!B13="x","Yes",IF('Aud Quest 2'!B13&lt;&gt;"x","0"))</f>
        <v>0</v>
      </c>
    </row>
    <row r="31" spans="1:2">
      <c r="A31" t="s">
        <v>659</v>
      </c>
      <c r="B31" s="138" t="str">
        <f>IF('Aud Quest 2'!B14="x","Yes",IF('Aud Quest 2'!B14&lt;&gt;"x","0"))</f>
        <v>0</v>
      </c>
    </row>
    <row r="32" spans="1:2">
      <c r="A32" t="s">
        <v>658</v>
      </c>
      <c r="B32" s="138" t="str">
        <f>IF('Aud Quest 2'!B15="x","Yes",IF('Aud Quest 2'!B15&lt;&gt;"x","0"))</f>
        <v>0</v>
      </c>
    </row>
    <row r="33" spans="1:2">
      <c r="A33" t="s">
        <v>660</v>
      </c>
      <c r="B33" s="138" t="str">
        <f>IF('Aud Quest 2'!B16="x","Yes",IF('Aud Quest 2'!B16&lt;&gt;"x","0"))</f>
        <v>0</v>
      </c>
    </row>
    <row r="34" spans="1:2">
      <c r="A34" t="s">
        <v>661</v>
      </c>
      <c r="B34" s="138" t="str">
        <f>IF('Aud Quest 2'!B18="x","Yes",IF('Aud Quest 2'!B18&lt;&gt;"x","0"))</f>
        <v>0</v>
      </c>
    </row>
    <row r="35" spans="1:2">
      <c r="A35" t="s">
        <v>662</v>
      </c>
      <c r="B35" s="138" t="str">
        <f>IF('Aud Quest 2'!B20="x","Yes",IF('Aud Quest 2'!B20&lt;&gt;"x","0"))</f>
        <v>0</v>
      </c>
    </row>
    <row r="36" spans="1:2">
      <c r="A36" t="s">
        <v>656</v>
      </c>
      <c r="B36" s="138" t="str">
        <f>IF('Aud Quest 2'!B22="x","Yes",IF('Aud Quest 2'!B22&lt;&gt;"x","0"))</f>
        <v>0</v>
      </c>
    </row>
    <row r="37" spans="1:2">
      <c r="A37" t="s">
        <v>760</v>
      </c>
      <c r="B37" s="138" t="str">
        <f>IF('Aud Quest 2'!B24="x","Yes",IF('Aud Quest 2'!B24&lt;&gt;"x","0"))</f>
        <v>0</v>
      </c>
    </row>
    <row r="38" spans="1:2">
      <c r="A38" t="s">
        <v>327</v>
      </c>
      <c r="B38" s="138" t="str">
        <f>IF('Aud Quest 2'!B25="x","Yes",IF('Aud Quest 2'!B25&lt;&gt;"x","0"))</f>
        <v>0</v>
      </c>
    </row>
    <row r="39" spans="1:2">
      <c r="A39" t="s">
        <v>328</v>
      </c>
      <c r="B39" s="138" t="str">
        <f>IF('Aud Quest 2'!B27="x","Yes",IF('Aud Quest 2'!B27&lt;&gt;"x","0"))</f>
        <v>0</v>
      </c>
    </row>
    <row r="40" spans="1:2">
      <c r="A40" t="s">
        <v>319</v>
      </c>
      <c r="B40" s="138" t="str">
        <f>IF('Aud Quest 2'!B29="x","Yes",IF('Aud Quest 2'!B29&lt;&gt;"x","0"))</f>
        <v>0</v>
      </c>
    </row>
    <row r="41" spans="1:2">
      <c r="A41" t="s">
        <v>320</v>
      </c>
      <c r="B41" s="138" t="str">
        <f>IF('Aud Quest 2'!B31="x","Yes",IF('Aud Quest 2'!B31&lt;&gt;"x","0"))</f>
        <v>0</v>
      </c>
    </row>
    <row r="42" spans="1:2">
      <c r="A42" t="s">
        <v>321</v>
      </c>
      <c r="B42" s="138" t="str">
        <f>IF('Aud Quest 2'!B37="x","Yes",IF('Aud Quest 2'!B37&lt;&gt;"x","0"))</f>
        <v>0</v>
      </c>
    </row>
    <row r="43" spans="1:2">
      <c r="A43" t="s">
        <v>322</v>
      </c>
      <c r="B43" s="138" t="str">
        <f>IF('Aud Quest 2'!B40="x","Yes",IF('Aud Quest 2'!B40&lt;&gt;"x","0"))</f>
        <v>0</v>
      </c>
    </row>
    <row r="44" spans="1:2">
      <c r="A44" s="1" t="s">
        <v>323</v>
      </c>
      <c r="B44" s="138" t="str">
        <f>IF('Aud Quest 2'!B42="x","Yes",IF('Aud Quest 2'!B42&lt;&gt;"x","0"))</f>
        <v>0</v>
      </c>
    </row>
    <row r="45" spans="1:2">
      <c r="A45" t="s">
        <v>324</v>
      </c>
      <c r="B45" s="138" t="str">
        <f>IF('Aud Quest 2'!B44="x","Yes",IF('Aud Quest 2'!B44&lt;&gt;"x","0"))</f>
        <v>0</v>
      </c>
    </row>
    <row r="46" spans="1:2">
      <c r="A46" t="s">
        <v>325</v>
      </c>
      <c r="B46" s="138" t="str">
        <f>IF('Aud Quest 2'!B49="x","Yes",IF('Aud Quest 2'!B49&lt;&gt;"x","0"))</f>
        <v>0</v>
      </c>
    </row>
    <row r="47" spans="1:2">
      <c r="A47" t="s">
        <v>326</v>
      </c>
      <c r="B47" s="138" t="str">
        <f>IF('Aud Quest 2'!B50="x","Yes",IF('Aud Quest 2'!B50&lt;&gt;"x","0"))</f>
        <v>0</v>
      </c>
    </row>
    <row r="48" spans="1:2">
      <c r="A48" t="s">
        <v>483</v>
      </c>
      <c r="B48" s="138" t="str">
        <f>IF('Aud Quest 2'!B51="x","Yes",IF('Aud Quest 2'!B51&lt;&gt;"x","0"))</f>
        <v>0</v>
      </c>
    </row>
    <row r="49" spans="1:4">
      <c r="A49" s="1" t="s">
        <v>1481</v>
      </c>
      <c r="B49" s="138" t="str">
        <f>IF('Aud Quest 2'!B53="x","Yes",IF('Aud Quest 2'!B53&lt;&gt;"x","0"))</f>
        <v>0</v>
      </c>
    </row>
    <row r="50" spans="1:4">
      <c r="A50" s="1" t="s">
        <v>1480</v>
      </c>
      <c r="B50" s="150">
        <f>'Aud Quest 2'!H53</f>
        <v>0</v>
      </c>
    </row>
    <row r="51" spans="1:4">
      <c r="A51" s="1" t="s">
        <v>1482</v>
      </c>
      <c r="B51" s="138" t="str">
        <f>IF('Aud Quest 2'!B54="x","Yes",IF('Aud Quest 2'!B54&lt;&gt;"x","0"))</f>
        <v>Yes</v>
      </c>
    </row>
    <row r="52" spans="1:4">
      <c r="A52" t="s">
        <v>329</v>
      </c>
      <c r="B52" s="138">
        <f>('Aud Quest 2'!D56)</f>
        <v>0</v>
      </c>
    </row>
    <row r="53" spans="1:4">
      <c r="A53" s="1" t="s">
        <v>330</v>
      </c>
      <c r="B53" s="138">
        <f>IF('FP Info 3'!B44="X","Yes",0)</f>
        <v>0</v>
      </c>
    </row>
    <row r="54" spans="1:4">
      <c r="A54" t="s">
        <v>331</v>
      </c>
      <c r="B54" s="138">
        <f>IF('FP Info 3'!B45="X","Yes",0)</f>
        <v>0</v>
      </c>
    </row>
    <row r="55" spans="1:4">
      <c r="A55" t="s">
        <v>332</v>
      </c>
      <c r="B55" s="138">
        <f>IF('FP Info 3'!B46="X","Yes",0)</f>
        <v>0</v>
      </c>
    </row>
    <row r="56" spans="1:4">
      <c r="A56" t="s">
        <v>333</v>
      </c>
      <c r="B56" s="138">
        <f>IF('FP Info 3'!B47="X","Yes",0)</f>
        <v>0</v>
      </c>
    </row>
    <row r="57" spans="1:4">
      <c r="A57" t="s">
        <v>334</v>
      </c>
      <c r="B57" s="138">
        <f>IF('FP Info 3'!B48="X","Yes",0)</f>
        <v>0</v>
      </c>
    </row>
    <row r="58" spans="1:4">
      <c r="A58" t="s">
        <v>335</v>
      </c>
      <c r="B58" s="138">
        <f>IF('FP Info 3'!B49="X","Yes",0)</f>
        <v>0</v>
      </c>
    </row>
    <row r="59" spans="1:4">
      <c r="A59" t="s">
        <v>336</v>
      </c>
      <c r="B59" s="138">
        <f>IF('FP Info 3'!B50="X","Yes",0)</f>
        <v>0</v>
      </c>
    </row>
    <row r="60" spans="1:4">
      <c r="A60" t="s">
        <v>337</v>
      </c>
      <c r="B60" s="138">
        <f>IF('FP Info 3'!B51="X","Yes",0)</f>
        <v>0</v>
      </c>
    </row>
    <row r="61" spans="1:4">
      <c r="A61" t="s">
        <v>338</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4124939</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5661226</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0</v>
      </c>
      <c r="C91" s="2" t="s">
        <v>573</v>
      </c>
      <c r="D91" s="2" t="str">
        <f t="shared" si="0"/>
        <v>Error?</v>
      </c>
    </row>
    <row r="92" spans="1:4">
      <c r="A92" s="5">
        <v>31</v>
      </c>
      <c r="B92" s="138">
        <f>'Assets-Liab 5-6'!C39</f>
        <v>3746375</v>
      </c>
      <c r="D92" s="2" t="str">
        <f t="shared" si="0"/>
        <v>Error?</v>
      </c>
    </row>
    <row r="93" spans="1:4">
      <c r="A93" s="5">
        <v>32</v>
      </c>
      <c r="B93" s="138">
        <f>'Assets-Liab 5-6'!C41</f>
        <v>5661226</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803560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803566</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573</v>
      </c>
      <c r="D122" s="2" t="str">
        <f t="shared" si="0"/>
        <v>Error?</v>
      </c>
    </row>
    <row r="123" spans="1:4">
      <c r="A123" s="5">
        <v>62</v>
      </c>
      <c r="B123" s="138">
        <f>'Assets-Liab 5-6'!D39</f>
        <v>803566</v>
      </c>
      <c r="D123" s="2" t="str">
        <f t="shared" si="0"/>
        <v>Error?</v>
      </c>
    </row>
    <row r="124" spans="1:4">
      <c r="A124" s="5">
        <v>63</v>
      </c>
      <c r="B124" s="138">
        <f>'Assets-Liab 5-6'!D41</f>
        <v>803566</v>
      </c>
      <c r="C124" s="2" t="s">
        <v>573</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2777511</v>
      </c>
      <c r="D129" s="2" t="str">
        <f t="shared" si="1"/>
        <v>Error?</v>
      </c>
    </row>
    <row r="130" spans="1:4">
      <c r="A130" s="5">
        <v>69</v>
      </c>
      <c r="B130" s="138">
        <f>'Assets-Liab 5-6'!E12</f>
        <v>0</v>
      </c>
      <c r="D130" s="2" t="str">
        <f t="shared" si="1"/>
        <v>Error?</v>
      </c>
    </row>
    <row r="131" spans="1:4">
      <c r="A131" s="5">
        <v>70</v>
      </c>
      <c r="B131" s="138">
        <f>'Assets-Liab 5-6'!E13</f>
        <v>2911696</v>
      </c>
      <c r="C131" s="2" t="s">
        <v>573</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573</v>
      </c>
      <c r="D139" s="2" t="str">
        <f t="shared" si="1"/>
        <v>Error?</v>
      </c>
    </row>
    <row r="140" spans="1:4">
      <c r="A140" s="5">
        <v>79</v>
      </c>
      <c r="B140" s="138">
        <f>'Assets-Liab 5-6'!E39</f>
        <v>1445040</v>
      </c>
      <c r="D140" s="2" t="str">
        <f t="shared" si="1"/>
        <v>Error?</v>
      </c>
    </row>
    <row r="141" spans="1:4">
      <c r="A141" s="5">
        <v>80</v>
      </c>
      <c r="B141" s="138">
        <f>'Assets-Liab 5-6'!E41</f>
        <v>2911696</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418084</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418084</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0</v>
      </c>
      <c r="C169" s="2" t="s">
        <v>573</v>
      </c>
      <c r="D169" s="2" t="str">
        <f t="shared" si="1"/>
        <v>Error?</v>
      </c>
    </row>
    <row r="170" spans="1:4">
      <c r="A170" s="5">
        <v>109</v>
      </c>
      <c r="B170" s="138">
        <f>'Assets-Liab 5-6'!F39</f>
        <v>418084</v>
      </c>
      <c r="D170" s="2" t="str">
        <f t="shared" si="1"/>
        <v>Error?</v>
      </c>
    </row>
    <row r="171" spans="1:4">
      <c r="A171" s="5">
        <v>110</v>
      </c>
      <c r="B171" s="138">
        <f>'Assets-Liab 5-6'!F41</f>
        <v>418084</v>
      </c>
      <c r="C171" s="2" t="s">
        <v>573</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352078</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352079</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573</v>
      </c>
      <c r="D188" s="2" t="str">
        <f t="shared" si="1"/>
        <v>Error?</v>
      </c>
    </row>
    <row r="189" spans="1:4">
      <c r="A189" s="5">
        <v>128</v>
      </c>
      <c r="B189" s="138">
        <f>'Assets-Liab 5-6'!G39</f>
        <v>352079</v>
      </c>
      <c r="D189" s="2" t="str">
        <f t="shared" si="1"/>
        <v>Error?</v>
      </c>
    </row>
    <row r="190" spans="1:4">
      <c r="A190" s="5">
        <v>129</v>
      </c>
      <c r="B190" s="138">
        <f>'Assets-Liab 5-6'!G41</f>
        <v>352079</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790910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790910</v>
      </c>
      <c r="C203" s="2" t="s">
        <v>573</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573</v>
      </c>
      <c r="D211" s="2" t="str">
        <f t="shared" si="2"/>
        <v>Error?</v>
      </c>
    </row>
    <row r="212" spans="1:4">
      <c r="A212" s="5">
        <v>151</v>
      </c>
      <c r="B212" s="138">
        <f>'Assets-Liab 5-6'!H39</f>
        <v>327686</v>
      </c>
      <c r="D212" s="2" t="str">
        <f t="shared" si="2"/>
        <v>Error?</v>
      </c>
    </row>
    <row r="213" spans="1:4">
      <c r="A213" s="12">
        <v>152</v>
      </c>
      <c r="B213" s="138">
        <f>'Assets-Liab 5-6'!H41</f>
        <v>790910</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85616</v>
      </c>
      <c r="D273" s="2" t="str">
        <f t="shared" si="3"/>
        <v>Error?</v>
      </c>
    </row>
    <row r="274" spans="1:4">
      <c r="A274" s="5">
        <v>213</v>
      </c>
      <c r="B274" s="138">
        <f>'Assets-Liab 5-6'!M17</f>
        <v>37452310</v>
      </c>
      <c r="D274" s="2" t="str">
        <f t="shared" si="3"/>
        <v>Error?</v>
      </c>
    </row>
    <row r="275" spans="1:4">
      <c r="A275" s="5">
        <v>214</v>
      </c>
      <c r="B275" s="138">
        <f>'Assets-Liab 5-6'!M18</f>
        <v>0</v>
      </c>
      <c r="D275" s="2" t="str">
        <f t="shared" si="3"/>
        <v>Error?</v>
      </c>
    </row>
    <row r="276" spans="1:4">
      <c r="A276" s="5">
        <v>215</v>
      </c>
      <c r="B276" s="138">
        <f>'Assets-Liab 5-6'!M19</f>
        <v>531446</v>
      </c>
      <c r="D276" s="2" t="str">
        <f t="shared" si="3"/>
        <v>Error?</v>
      </c>
    </row>
    <row r="277" spans="1:4">
      <c r="A277" s="10">
        <v>216</v>
      </c>
      <c r="D277" s="2" t="str">
        <f t="shared" si="3"/>
        <v>OK</v>
      </c>
    </row>
    <row r="278" spans="1:4">
      <c r="A278" s="10">
        <v>217</v>
      </c>
      <c r="D278" s="2" t="str">
        <f t="shared" si="3"/>
        <v>OK</v>
      </c>
    </row>
    <row r="279" spans="1:4">
      <c r="A279" s="5">
        <v>218</v>
      </c>
      <c r="B279" s="138">
        <f>'Assets-Liab 5-6'!M23</f>
        <v>38069372</v>
      </c>
      <c r="C279" s="2" t="s">
        <v>573</v>
      </c>
      <c r="D279" s="2" t="str">
        <f t="shared" si="3"/>
        <v>Error?</v>
      </c>
    </row>
    <row r="280" spans="1:4">
      <c r="A280" s="5">
        <v>219</v>
      </c>
      <c r="B280" s="138">
        <f>'Assets-Liab 5-6'!M40</f>
        <v>38069372</v>
      </c>
      <c r="D280" s="2" t="str">
        <f t="shared" si="3"/>
        <v>Error?</v>
      </c>
    </row>
    <row r="281" spans="1:4">
      <c r="A281" s="5">
        <v>220</v>
      </c>
      <c r="B281" s="138">
        <f>'Assets-Liab 5-6'!M41</f>
        <v>38069372</v>
      </c>
      <c r="C281" s="2" t="s">
        <v>573</v>
      </c>
      <c r="D281" s="2" t="str">
        <f t="shared" si="3"/>
        <v>Error?</v>
      </c>
    </row>
    <row r="282" spans="1:4">
      <c r="A282" s="5">
        <v>221</v>
      </c>
      <c r="B282" s="138">
        <f>'Assets-Liab 5-6'!N21</f>
        <v>2911696</v>
      </c>
      <c r="D282" s="2" t="str">
        <f t="shared" si="3"/>
        <v>Error?</v>
      </c>
    </row>
    <row r="283" spans="1:4">
      <c r="A283" s="5">
        <v>222</v>
      </c>
      <c r="B283" s="138">
        <f>'Assets-Liab 5-6'!N22</f>
        <v>20288304</v>
      </c>
      <c r="D283" s="2" t="str">
        <f t="shared" si="3"/>
        <v>Error?</v>
      </c>
    </row>
    <row r="284" spans="1:4">
      <c r="A284" s="5">
        <v>223</v>
      </c>
      <c r="B284" s="138">
        <f>'Assets-Liab 5-6'!N23</f>
        <v>23200000</v>
      </c>
      <c r="C284" s="2" t="s">
        <v>573</v>
      </c>
      <c r="D284" s="2" t="str">
        <f t="shared" si="3"/>
        <v>Error?</v>
      </c>
    </row>
    <row r="285" spans="1:4">
      <c r="A285" s="5">
        <v>224</v>
      </c>
      <c r="B285" s="138">
        <f>'Assets-Liab 5-6'!N36</f>
        <v>23200000</v>
      </c>
      <c r="D285" s="2" t="str">
        <f t="shared" si="3"/>
        <v>Error?</v>
      </c>
    </row>
    <row r="286" spans="1:4">
      <c r="A286" s="10">
        <v>225</v>
      </c>
      <c r="D286" s="2" t="str">
        <f t="shared" si="3"/>
        <v>OK</v>
      </c>
    </row>
    <row r="287" spans="1:4">
      <c r="A287" s="5">
        <v>226</v>
      </c>
      <c r="B287" s="138">
        <f>'Assets-Liab 5-6'!N37</f>
        <v>23200000</v>
      </c>
      <c r="C287" s="2" t="s">
        <v>573</v>
      </c>
      <c r="D287" s="2" t="str">
        <f t="shared" si="3"/>
        <v>Error?</v>
      </c>
    </row>
    <row r="288" spans="1:4">
      <c r="A288" s="5">
        <v>227</v>
      </c>
      <c r="B288" s="138">
        <f>'Assets-Liab 5-6'!N41</f>
        <v>23200000</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9356783</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842549</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107322</v>
      </c>
      <c r="D718" s="2" t="str">
        <f t="shared" si="10"/>
        <v>Error?</v>
      </c>
    </row>
    <row r="719" spans="1:4">
      <c r="A719" s="5">
        <v>658</v>
      </c>
      <c r="B719" s="138">
        <f>'Expenditures 15-22'!C15</f>
        <v>0</v>
      </c>
      <c r="D719" s="2" t="str">
        <f t="shared" si="10"/>
        <v>Error?</v>
      </c>
    </row>
    <row r="720" spans="1:4">
      <c r="A720" s="5">
        <v>659</v>
      </c>
      <c r="B720" s="138">
        <f>'Expenditures 15-22'!C33</f>
        <v>13431972</v>
      </c>
      <c r="C720" s="2" t="s">
        <v>573</v>
      </c>
      <c r="D720" s="2" t="str">
        <f t="shared" si="10"/>
        <v>Error?</v>
      </c>
    </row>
    <row r="721" spans="1:4">
      <c r="A721" s="5">
        <v>660</v>
      </c>
      <c r="B721" s="138">
        <f>'Expenditures 15-22'!C36</f>
        <v>196758</v>
      </c>
      <c r="D721" s="2" t="str">
        <f t="shared" si="10"/>
        <v>Error?</v>
      </c>
    </row>
    <row r="722" spans="1:4">
      <c r="A722" s="5">
        <v>661</v>
      </c>
      <c r="B722" s="138">
        <f>'Expenditures 15-22'!C37</f>
        <v>646742</v>
      </c>
      <c r="D722" s="2" t="str">
        <f t="shared" si="10"/>
        <v>Error?</v>
      </c>
    </row>
    <row r="723" spans="1:4">
      <c r="A723" s="5">
        <v>662</v>
      </c>
      <c r="B723" s="138">
        <f>'Expenditures 15-22'!C38</f>
        <v>181953</v>
      </c>
      <c r="D723" s="2" t="str">
        <f t="shared" si="10"/>
        <v>Error?</v>
      </c>
    </row>
    <row r="724" spans="1:4">
      <c r="A724" s="5">
        <v>663</v>
      </c>
      <c r="B724" s="138">
        <f>'Expenditures 15-22'!C39</f>
        <v>103122</v>
      </c>
      <c r="D724" s="2" t="str">
        <f t="shared" si="10"/>
        <v>Error?</v>
      </c>
    </row>
    <row r="725" spans="1:4">
      <c r="A725" s="5">
        <v>664</v>
      </c>
      <c r="B725" s="138">
        <f>'Expenditures 15-22'!C40</f>
        <v>372215</v>
      </c>
      <c r="D725" s="2" t="str">
        <f t="shared" si="10"/>
        <v>Error?</v>
      </c>
    </row>
    <row r="726" spans="1:4">
      <c r="A726" s="5">
        <v>665</v>
      </c>
      <c r="B726" s="138">
        <f>'Expenditures 15-22'!C41</f>
        <v>186908</v>
      </c>
      <c r="D726" s="2" t="str">
        <f t="shared" si="10"/>
        <v>Error?</v>
      </c>
    </row>
    <row r="727" spans="1:4">
      <c r="A727" s="5">
        <v>666</v>
      </c>
      <c r="B727" s="138">
        <f>'Expenditures 15-22'!C42</f>
        <v>1687698</v>
      </c>
      <c r="C727" s="2" t="s">
        <v>573</v>
      </c>
      <c r="D727" s="2" t="str">
        <f t="shared" si="10"/>
        <v>Error?</v>
      </c>
    </row>
    <row r="728" spans="1:4">
      <c r="A728" s="5">
        <v>667</v>
      </c>
      <c r="B728" s="138">
        <f>'Expenditures 15-22'!C44</f>
        <v>481439</v>
      </c>
      <c r="D728" s="2" t="str">
        <f t="shared" si="10"/>
        <v>Error?</v>
      </c>
    </row>
    <row r="729" spans="1:4">
      <c r="A729" s="5">
        <v>668</v>
      </c>
      <c r="B729" s="138">
        <f>'Expenditures 15-22'!C45</f>
        <v>22114</v>
      </c>
      <c r="D729" s="2" t="str">
        <f t="shared" si="10"/>
        <v>Error?</v>
      </c>
    </row>
    <row r="730" spans="1:4">
      <c r="A730" s="5">
        <v>669</v>
      </c>
      <c r="B730" s="138">
        <f>'Expenditures 15-22'!C46</f>
        <v>48030</v>
      </c>
      <c r="D730" s="2" t="str">
        <f t="shared" si="10"/>
        <v>Error?</v>
      </c>
    </row>
    <row r="731" spans="1:4">
      <c r="A731" s="5">
        <v>670</v>
      </c>
      <c r="B731" s="138">
        <f>'Expenditures 15-22'!C47</f>
        <v>551583</v>
      </c>
      <c r="C731" s="2" t="s">
        <v>573</v>
      </c>
      <c r="D731" s="2" t="str">
        <f t="shared" si="10"/>
        <v>Error?</v>
      </c>
    </row>
    <row r="732" spans="1:4">
      <c r="A732" s="5">
        <v>671</v>
      </c>
      <c r="B732" s="138">
        <f>'Expenditures 15-22'!C49</f>
        <v>71803</v>
      </c>
      <c r="D732" s="2" t="str">
        <f t="shared" si="10"/>
        <v>Error?</v>
      </c>
    </row>
    <row r="733" spans="1:4">
      <c r="A733" s="5">
        <v>672</v>
      </c>
      <c r="B733" s="138">
        <f>'Expenditures 15-22'!C50</f>
        <v>149505</v>
      </c>
      <c r="D733" s="2" t="str">
        <f t="shared" si="10"/>
        <v>Error?</v>
      </c>
    </row>
    <row r="734" spans="1:4">
      <c r="A734" s="5">
        <v>673</v>
      </c>
      <c r="B734" s="138">
        <f>'Expenditures 15-22'!C53</f>
        <v>418138</v>
      </c>
      <c r="C734" s="2" t="s">
        <v>573</v>
      </c>
      <c r="D734" s="2" t="str">
        <f t="shared" si="10"/>
        <v>Error?</v>
      </c>
    </row>
    <row r="735" spans="1:4">
      <c r="A735" s="5">
        <v>674</v>
      </c>
      <c r="B735" s="138">
        <f>'Expenditures 15-22'!C55</f>
        <v>1235947</v>
      </c>
      <c r="D735" s="2" t="str">
        <f t="shared" si="10"/>
        <v>Error?</v>
      </c>
    </row>
    <row r="736" spans="1:4">
      <c r="A736" s="5">
        <v>675</v>
      </c>
      <c r="B736" s="138">
        <f>'Expenditures 15-22'!C56</f>
        <v>0</v>
      </c>
      <c r="D736" s="2" t="str">
        <f t="shared" si="10"/>
        <v>Error?</v>
      </c>
    </row>
    <row r="737" spans="1:4">
      <c r="A737" s="5">
        <v>676</v>
      </c>
      <c r="B737" s="138">
        <f>'Expenditures 15-22'!C57</f>
        <v>1235947</v>
      </c>
      <c r="C737" s="2" t="s">
        <v>573</v>
      </c>
      <c r="D737" s="2" t="str">
        <f t="shared" si="10"/>
        <v>Error?</v>
      </c>
    </row>
    <row r="738" spans="1:4">
      <c r="A738" s="5">
        <v>677</v>
      </c>
      <c r="B738" s="138">
        <f>'Expenditures 15-22'!C59</f>
        <v>128688</v>
      </c>
      <c r="D738" s="2" t="str">
        <f t="shared" si="10"/>
        <v>Error?</v>
      </c>
    </row>
    <row r="739" spans="1:4">
      <c r="A739" s="5">
        <v>678</v>
      </c>
      <c r="B739" s="138">
        <f>'Expenditures 15-22'!C60</f>
        <v>115812</v>
      </c>
      <c r="D739" s="2" t="str">
        <f t="shared" si="10"/>
        <v>Error?</v>
      </c>
    </row>
    <row r="740" spans="1:4">
      <c r="A740" s="5">
        <v>679</v>
      </c>
      <c r="B740" s="138">
        <f>'Expenditures 15-22'!C61</f>
        <v>0</v>
      </c>
      <c r="D740" s="2" t="str">
        <f t="shared" si="10"/>
        <v>Error?</v>
      </c>
    </row>
    <row r="741" spans="1:4">
      <c r="A741" s="5">
        <v>680</v>
      </c>
      <c r="B741" s="138">
        <f>'Expenditures 15-22'!C62</f>
        <v>18968</v>
      </c>
      <c r="D741" s="2" t="str">
        <f t="shared" si="10"/>
        <v>Error?</v>
      </c>
    </row>
    <row r="742" spans="1:4">
      <c r="A742" s="5">
        <v>681</v>
      </c>
      <c r="B742" s="138">
        <f>'Expenditures 15-22'!C63</f>
        <v>610499</v>
      </c>
      <c r="D742" s="2" t="str">
        <f t="shared" si="10"/>
        <v>Error?</v>
      </c>
    </row>
    <row r="743" spans="1:4">
      <c r="A743" s="5">
        <v>682</v>
      </c>
      <c r="B743" s="138">
        <f>'Expenditures 15-22'!C64</f>
        <v>22701</v>
      </c>
      <c r="D743" s="2" t="str">
        <f t="shared" si="10"/>
        <v>Error?</v>
      </c>
    </row>
    <row r="744" spans="1:4">
      <c r="A744" s="10">
        <v>683</v>
      </c>
      <c r="D744" s="2" t="str">
        <f t="shared" si="10"/>
        <v>OK</v>
      </c>
    </row>
    <row r="745" spans="1:4">
      <c r="A745" s="5">
        <v>684</v>
      </c>
      <c r="B745" s="138">
        <f>'Expenditures 15-22'!C65</f>
        <v>896668</v>
      </c>
      <c r="C745" s="2" t="s">
        <v>573</v>
      </c>
      <c r="D745" s="2" t="str">
        <f t="shared" si="10"/>
        <v>Error?</v>
      </c>
    </row>
    <row r="746" spans="1:4">
      <c r="A746" s="5">
        <v>685</v>
      </c>
      <c r="B746" s="138">
        <f>'Expenditures 15-22'!C67</f>
        <v>183151</v>
      </c>
      <c r="D746" s="2" t="str">
        <f t="shared" si="10"/>
        <v>Error?</v>
      </c>
    </row>
    <row r="747" spans="1:4">
      <c r="A747" s="5">
        <v>686</v>
      </c>
      <c r="B747" s="138">
        <f>'Expenditures 15-22'!C68</f>
        <v>450</v>
      </c>
      <c r="D747" s="2" t="str">
        <f t="shared" si="10"/>
        <v>Error?</v>
      </c>
    </row>
    <row r="748" spans="1:4">
      <c r="A748" s="5">
        <v>687</v>
      </c>
      <c r="B748" s="138">
        <f>'Expenditures 15-22'!C69</f>
        <v>435978</v>
      </c>
      <c r="D748" s="2" t="str">
        <f t="shared" si="10"/>
        <v>Error?</v>
      </c>
    </row>
    <row r="749" spans="1:4">
      <c r="A749" s="5">
        <v>688</v>
      </c>
      <c r="B749" s="138">
        <f>'Expenditures 15-22'!C70</f>
        <v>128000</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747579</v>
      </c>
      <c r="C753" s="2" t="s">
        <v>573</v>
      </c>
      <c r="D753" s="2" t="str">
        <f t="shared" si="10"/>
        <v>Error?</v>
      </c>
    </row>
    <row r="754" spans="1:4">
      <c r="A754" s="5">
        <v>693</v>
      </c>
      <c r="B754" s="138">
        <f>'Expenditures 15-22'!C73</f>
        <v>0</v>
      </c>
      <c r="D754" s="2" t="str">
        <f t="shared" si="10"/>
        <v>Error?</v>
      </c>
    </row>
    <row r="755" spans="1:4">
      <c r="A755" s="5">
        <v>694</v>
      </c>
      <c r="B755" s="138">
        <f>'Expenditures 15-22'!C74</f>
        <v>5537613</v>
      </c>
      <c r="C755" s="2" t="s">
        <v>573</v>
      </c>
      <c r="D755" s="2" t="str">
        <f t="shared" si="10"/>
        <v>Error?</v>
      </c>
    </row>
    <row r="756" spans="1:4">
      <c r="A756" s="5">
        <v>695</v>
      </c>
      <c r="B756" s="138">
        <f>'Expenditures 15-22'!C75</f>
        <v>48515</v>
      </c>
      <c r="D756" s="2" t="str">
        <f t="shared" si="10"/>
        <v>Error?</v>
      </c>
    </row>
    <row r="757" spans="1:4">
      <c r="A757" s="5">
        <v>696</v>
      </c>
      <c r="B757" s="138">
        <f>'Expenditures 15-22'!C114</f>
        <v>19018100</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914675</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92653</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2376</v>
      </c>
      <c r="D776" s="2" t="str">
        <f t="shared" si="11"/>
        <v>Error?</v>
      </c>
    </row>
    <row r="777" spans="1:4">
      <c r="A777" s="5">
        <v>716</v>
      </c>
      <c r="B777" s="138">
        <f>'Expenditures 15-22'!D15</f>
        <v>0</v>
      </c>
      <c r="D777" s="2" t="str">
        <f t="shared" si="11"/>
        <v>Error?</v>
      </c>
    </row>
    <row r="778" spans="1:4">
      <c r="A778" s="5">
        <v>717</v>
      </c>
      <c r="B778" s="138">
        <f>'Expenditures 15-22'!D33</f>
        <v>1438280</v>
      </c>
      <c r="C778" s="2" t="s">
        <v>573</v>
      </c>
      <c r="D778" s="2" t="str">
        <f t="shared" si="11"/>
        <v>Error?</v>
      </c>
    </row>
    <row r="779" spans="1:4">
      <c r="A779" s="5">
        <v>718</v>
      </c>
      <c r="B779" s="138">
        <f>'Expenditures 15-22'!D36</f>
        <v>14461</v>
      </c>
      <c r="D779" s="2" t="str">
        <f t="shared" si="11"/>
        <v>Error?</v>
      </c>
    </row>
    <row r="780" spans="1:4">
      <c r="A780" s="5">
        <v>719</v>
      </c>
      <c r="B780" s="138">
        <f>'Expenditures 15-22'!D37</f>
        <v>63060</v>
      </c>
      <c r="D780" s="2" t="str">
        <f t="shared" si="11"/>
        <v>Error?</v>
      </c>
    </row>
    <row r="781" spans="1:4">
      <c r="A781" s="5">
        <v>720</v>
      </c>
      <c r="B781" s="138">
        <f>'Expenditures 15-22'!D38</f>
        <v>26531</v>
      </c>
      <c r="D781" s="2" t="str">
        <f t="shared" si="11"/>
        <v>Error?</v>
      </c>
    </row>
    <row r="782" spans="1:4">
      <c r="A782" s="5">
        <v>721</v>
      </c>
      <c r="B782" s="138">
        <f>'Expenditures 15-22'!D39</f>
        <v>11636</v>
      </c>
      <c r="D782" s="2" t="str">
        <f t="shared" si="11"/>
        <v>Error?</v>
      </c>
    </row>
    <row r="783" spans="1:4">
      <c r="A783" s="5">
        <v>722</v>
      </c>
      <c r="B783" s="138">
        <f>'Expenditures 15-22'!D40</f>
        <v>44287</v>
      </c>
      <c r="D783" s="2" t="str">
        <f t="shared" si="11"/>
        <v>Error?</v>
      </c>
    </row>
    <row r="784" spans="1:4">
      <c r="A784" s="5">
        <v>723</v>
      </c>
      <c r="B784" s="138">
        <f>'Expenditures 15-22'!D41</f>
        <v>6418</v>
      </c>
      <c r="D784" s="2" t="str">
        <f t="shared" si="11"/>
        <v>Error?</v>
      </c>
    </row>
    <row r="785" spans="1:4">
      <c r="A785" s="5">
        <v>724</v>
      </c>
      <c r="B785" s="138">
        <f>'Expenditures 15-22'!D42</f>
        <v>166393</v>
      </c>
      <c r="C785" s="2" t="s">
        <v>573</v>
      </c>
      <c r="D785" s="2" t="str">
        <f t="shared" si="11"/>
        <v>Error?</v>
      </c>
    </row>
    <row r="786" spans="1:4">
      <c r="A786" s="5">
        <v>725</v>
      </c>
      <c r="B786" s="138">
        <f>'Expenditures 15-22'!D44</f>
        <v>42760</v>
      </c>
      <c r="D786" s="2" t="str">
        <f t="shared" si="11"/>
        <v>Error?</v>
      </c>
    </row>
    <row r="787" spans="1:4">
      <c r="A787" s="5">
        <v>726</v>
      </c>
      <c r="B787" s="138">
        <f>'Expenditures 15-22'!D45</f>
        <v>35</v>
      </c>
      <c r="D787" s="2" t="str">
        <f t="shared" si="11"/>
        <v>Error?</v>
      </c>
    </row>
    <row r="788" spans="1:4">
      <c r="A788" s="5">
        <v>727</v>
      </c>
      <c r="B788" s="138">
        <f>'Expenditures 15-22'!D46</f>
        <v>129</v>
      </c>
      <c r="D788" s="2" t="str">
        <f t="shared" si="11"/>
        <v>Error?</v>
      </c>
    </row>
    <row r="789" spans="1:4">
      <c r="A789" s="5">
        <v>728</v>
      </c>
      <c r="B789" s="138">
        <f>'Expenditures 15-22'!D47</f>
        <v>42924</v>
      </c>
      <c r="C789" s="2" t="s">
        <v>573</v>
      </c>
      <c r="D789" s="2" t="str">
        <f t="shared" si="11"/>
        <v>Error?</v>
      </c>
    </row>
    <row r="790" spans="1:4">
      <c r="A790" s="5">
        <v>729</v>
      </c>
      <c r="B790" s="138">
        <f>'Expenditures 15-22'!D49</f>
        <v>3872</v>
      </c>
      <c r="D790" s="2" t="str">
        <f t="shared" si="11"/>
        <v>Error?</v>
      </c>
    </row>
    <row r="791" spans="1:4">
      <c r="A791" s="5">
        <v>730</v>
      </c>
      <c r="B791" s="138">
        <f>'Expenditures 15-22'!D50</f>
        <v>45708</v>
      </c>
      <c r="D791" s="2" t="str">
        <f t="shared" si="11"/>
        <v>Error?</v>
      </c>
    </row>
    <row r="792" spans="1:4">
      <c r="A792" s="5">
        <v>731</v>
      </c>
      <c r="B792" s="138">
        <f>'Expenditures 15-22'!D53</f>
        <v>80521</v>
      </c>
      <c r="C792" s="2" t="s">
        <v>573</v>
      </c>
      <c r="D792" s="2" t="str">
        <f t="shared" si="11"/>
        <v>Error?</v>
      </c>
    </row>
    <row r="793" spans="1:4">
      <c r="A793" s="5">
        <v>732</v>
      </c>
      <c r="B793" s="138">
        <f>'Expenditures 15-22'!D55</f>
        <v>204227</v>
      </c>
      <c r="D793" s="2" t="str">
        <f t="shared" si="11"/>
        <v>Error?</v>
      </c>
    </row>
    <row r="794" spans="1:4">
      <c r="A794" s="5">
        <v>733</v>
      </c>
      <c r="B794" s="138">
        <f>'Expenditures 15-22'!D56</f>
        <v>0</v>
      </c>
      <c r="D794" s="2" t="str">
        <f t="shared" si="11"/>
        <v>Error?</v>
      </c>
    </row>
    <row r="795" spans="1:4">
      <c r="A795" s="5">
        <v>734</v>
      </c>
      <c r="B795" s="138">
        <f>'Expenditures 15-22'!D57</f>
        <v>204227</v>
      </c>
      <c r="C795" s="2" t="s">
        <v>573</v>
      </c>
      <c r="D795" s="2" t="str">
        <f t="shared" si="11"/>
        <v>Error?</v>
      </c>
    </row>
    <row r="796" spans="1:4">
      <c r="A796" s="5">
        <v>735</v>
      </c>
      <c r="B796" s="138">
        <f>'Expenditures 15-22'!D59</f>
        <v>7416</v>
      </c>
      <c r="D796" s="2" t="str">
        <f t="shared" si="11"/>
        <v>Error?</v>
      </c>
    </row>
    <row r="797" spans="1:4">
      <c r="A797" s="5">
        <v>736</v>
      </c>
      <c r="B797" s="138">
        <f>'Expenditures 15-22'!D60</f>
        <v>14284</v>
      </c>
      <c r="D797" s="2" t="str">
        <f t="shared" si="11"/>
        <v>Error?</v>
      </c>
    </row>
    <row r="798" spans="1:4">
      <c r="A798" s="5">
        <v>737</v>
      </c>
      <c r="B798" s="138">
        <f>'Expenditures 15-22'!D61</f>
        <v>0</v>
      </c>
      <c r="D798" s="2" t="str">
        <f t="shared" si="11"/>
        <v>Error?</v>
      </c>
    </row>
    <row r="799" spans="1:4">
      <c r="A799" s="5">
        <v>738</v>
      </c>
      <c r="B799" s="138">
        <f>'Expenditures 15-22'!D62</f>
        <v>1</v>
      </c>
      <c r="D799" s="2" t="str">
        <f t="shared" si="11"/>
        <v>Error?</v>
      </c>
    </row>
    <row r="800" spans="1:4">
      <c r="A800" s="5">
        <v>739</v>
      </c>
      <c r="B800" s="138">
        <f>'Expenditures 15-22'!D63</f>
        <v>81337</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103038</v>
      </c>
      <c r="C803" s="2" t="s">
        <v>573</v>
      </c>
      <c r="D803" s="2" t="str">
        <f t="shared" si="11"/>
        <v>Error?</v>
      </c>
    </row>
    <row r="804" spans="1:4">
      <c r="A804" s="5">
        <v>743</v>
      </c>
      <c r="B804" s="138">
        <f>'Expenditures 15-22'!D67</f>
        <v>25288</v>
      </c>
      <c r="D804" s="2" t="str">
        <f t="shared" si="11"/>
        <v>Error?</v>
      </c>
    </row>
    <row r="805" spans="1:4">
      <c r="A805" s="5">
        <v>744</v>
      </c>
      <c r="B805" s="138">
        <f>'Expenditures 15-22'!D68</f>
        <v>57</v>
      </c>
      <c r="D805" s="2" t="str">
        <f t="shared" si="11"/>
        <v>Error?</v>
      </c>
    </row>
    <row r="806" spans="1:4">
      <c r="A806" s="5">
        <v>745</v>
      </c>
      <c r="B806" s="138">
        <f>'Expenditures 15-22'!D69</f>
        <v>58601</v>
      </c>
      <c r="D806" s="2" t="str">
        <f t="shared" si="11"/>
        <v>Error?</v>
      </c>
    </row>
    <row r="807" spans="1:4">
      <c r="A807" s="5">
        <v>746</v>
      </c>
      <c r="B807" s="138">
        <f>'Expenditures 15-22'!D70</f>
        <v>10430</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94376</v>
      </c>
      <c r="C811" s="2" t="s">
        <v>573</v>
      </c>
      <c r="D811" s="2" t="str">
        <f t="shared" si="11"/>
        <v>Error?</v>
      </c>
    </row>
    <row r="812" spans="1:4">
      <c r="A812" s="5">
        <v>751</v>
      </c>
      <c r="B812" s="138">
        <f>'Expenditures 15-22'!D73</f>
        <v>0</v>
      </c>
      <c r="D812" s="2" t="str">
        <f t="shared" si="11"/>
        <v>Error?</v>
      </c>
    </row>
    <row r="813" spans="1:4">
      <c r="A813" s="5">
        <v>752</v>
      </c>
      <c r="B813" s="138">
        <f>'Expenditures 15-22'!D74</f>
        <v>691479</v>
      </c>
      <c r="C813" s="2" t="s">
        <v>573</v>
      </c>
      <c r="D813" s="2" t="str">
        <f t="shared" si="11"/>
        <v>Error?</v>
      </c>
    </row>
    <row r="814" spans="1:4">
      <c r="A814" s="5">
        <v>753</v>
      </c>
      <c r="B814" s="138">
        <f>'Expenditures 15-22'!D75</f>
        <v>1815</v>
      </c>
      <c r="D814" s="2" t="str">
        <f t="shared" si="11"/>
        <v>Error?</v>
      </c>
    </row>
    <row r="815" spans="1:4">
      <c r="A815" s="5">
        <v>754</v>
      </c>
      <c r="B815" s="138">
        <f>'Expenditures 15-22'!D114</f>
        <v>2131574</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65268</v>
      </c>
      <c r="D821" s="2" t="str">
        <f t="shared" si="11"/>
        <v>Error?</v>
      </c>
    </row>
    <row r="822" spans="1:4">
      <c r="A822" s="5">
        <v>761</v>
      </c>
      <c r="B822" s="138">
        <f>'Expenditures 15-22'!E16</f>
        <v>1518</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1972</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2707</v>
      </c>
      <c r="D834" s="2" t="str">
        <f t="shared" si="12"/>
        <v>Error?</v>
      </c>
    </row>
    <row r="835" spans="1:4">
      <c r="A835" s="5">
        <v>774</v>
      </c>
      <c r="B835" s="138">
        <f>'Expenditures 15-22'!E15</f>
        <v>0</v>
      </c>
      <c r="D835" s="2" t="str">
        <f t="shared" si="12"/>
        <v>Error?</v>
      </c>
    </row>
    <row r="836" spans="1:4">
      <c r="A836" s="5">
        <v>775</v>
      </c>
      <c r="B836" s="138">
        <f>'Expenditures 15-22'!E33</f>
        <v>225141</v>
      </c>
      <c r="C836" s="2" t="s">
        <v>573</v>
      </c>
      <c r="D836" s="2" t="str">
        <f t="shared" si="12"/>
        <v>Error?</v>
      </c>
    </row>
    <row r="837" spans="1:4">
      <c r="A837" s="5">
        <v>776</v>
      </c>
      <c r="B837" s="138">
        <f>'Expenditures 15-22'!E36</f>
        <v>89461</v>
      </c>
      <c r="D837" s="2" t="str">
        <f t="shared" si="12"/>
        <v>Error?</v>
      </c>
    </row>
    <row r="838" spans="1:4">
      <c r="A838" s="5">
        <v>777</v>
      </c>
      <c r="B838" s="138">
        <f>'Expenditures 15-22'!E37</f>
        <v>460</v>
      </c>
      <c r="D838" s="2" t="str">
        <f t="shared" si="12"/>
        <v>Error?</v>
      </c>
    </row>
    <row r="839" spans="1:4">
      <c r="A839" s="5">
        <v>778</v>
      </c>
      <c r="B839" s="138">
        <f>'Expenditures 15-22'!E38</f>
        <v>528</v>
      </c>
      <c r="D839" s="2" t="str">
        <f t="shared" si="12"/>
        <v>Error?</v>
      </c>
    </row>
    <row r="840" spans="1:4">
      <c r="A840" s="5">
        <v>779</v>
      </c>
      <c r="B840" s="138">
        <f>'Expenditures 15-22'!E39</f>
        <v>91783</v>
      </c>
      <c r="D840" s="2" t="str">
        <f t="shared" si="12"/>
        <v>Error?</v>
      </c>
    </row>
    <row r="841" spans="1:4">
      <c r="A841" s="5">
        <v>780</v>
      </c>
      <c r="B841" s="138">
        <f>'Expenditures 15-22'!E40</f>
        <v>233</v>
      </c>
      <c r="D841" s="2" t="str">
        <f t="shared" si="12"/>
        <v>Error?</v>
      </c>
    </row>
    <row r="842" spans="1:4">
      <c r="A842" s="5">
        <v>781</v>
      </c>
      <c r="B842" s="138">
        <f>'Expenditures 15-22'!E41</f>
        <v>0</v>
      </c>
      <c r="D842" s="2" t="str">
        <f t="shared" si="12"/>
        <v>Error?</v>
      </c>
    </row>
    <row r="843" spans="1:4">
      <c r="A843" s="5">
        <v>782</v>
      </c>
      <c r="B843" s="138">
        <f>'Expenditures 15-22'!E42</f>
        <v>182465</v>
      </c>
      <c r="C843" s="2" t="s">
        <v>573</v>
      </c>
      <c r="D843" s="2" t="str">
        <f t="shared" si="12"/>
        <v>Error?</v>
      </c>
    </row>
    <row r="844" spans="1:4">
      <c r="A844" s="5">
        <v>783</v>
      </c>
      <c r="B844" s="138">
        <f>'Expenditures 15-22'!E44</f>
        <v>529716</v>
      </c>
      <c r="D844" s="2" t="str">
        <f t="shared" si="12"/>
        <v>Error?</v>
      </c>
    </row>
    <row r="845" spans="1:4">
      <c r="A845" s="5">
        <v>784</v>
      </c>
      <c r="B845" s="138">
        <f>'Expenditures 15-22'!E45</f>
        <v>0</v>
      </c>
      <c r="D845" s="2" t="str">
        <f t="shared" si="12"/>
        <v>Error?</v>
      </c>
    </row>
    <row r="846" spans="1:4">
      <c r="A846" s="5">
        <v>785</v>
      </c>
      <c r="B846" s="138">
        <f>'Expenditures 15-22'!E46</f>
        <v>62659</v>
      </c>
      <c r="D846" s="2" t="str">
        <f t="shared" si="12"/>
        <v>Error?</v>
      </c>
    </row>
    <row r="847" spans="1:4">
      <c r="A847" s="5">
        <v>786</v>
      </c>
      <c r="B847" s="138">
        <f>'Expenditures 15-22'!E47</f>
        <v>592375</v>
      </c>
      <c r="C847" s="2" t="s">
        <v>573</v>
      </c>
      <c r="D847" s="2" t="str">
        <f t="shared" si="12"/>
        <v>Error?</v>
      </c>
    </row>
    <row r="848" spans="1:4">
      <c r="A848" s="5">
        <v>787</v>
      </c>
      <c r="B848" s="138">
        <f>'Expenditures 15-22'!E49</f>
        <v>246545</v>
      </c>
      <c r="D848" s="2" t="str">
        <f t="shared" si="12"/>
        <v>Error?</v>
      </c>
    </row>
    <row r="849" spans="1:4">
      <c r="A849" s="5">
        <v>788</v>
      </c>
      <c r="B849" s="138">
        <f>'Expenditures 15-22'!E50</f>
        <v>2664</v>
      </c>
      <c r="D849" s="2" t="str">
        <f t="shared" si="12"/>
        <v>Error?</v>
      </c>
    </row>
    <row r="850" spans="1:4">
      <c r="A850" s="5">
        <v>789</v>
      </c>
      <c r="B850" s="138">
        <f>'Expenditures 15-22'!E53</f>
        <v>249209</v>
      </c>
      <c r="C850" s="2" t="s">
        <v>573</v>
      </c>
      <c r="D850" s="2" t="str">
        <f t="shared" si="12"/>
        <v>Error?</v>
      </c>
    </row>
    <row r="851" spans="1:4">
      <c r="A851" s="5">
        <v>790</v>
      </c>
      <c r="B851" s="138">
        <f>'Expenditures 15-22'!E55</f>
        <v>3139</v>
      </c>
      <c r="D851" s="2" t="str">
        <f t="shared" si="12"/>
        <v>Error?</v>
      </c>
    </row>
    <row r="852" spans="1:4">
      <c r="A852" s="5">
        <v>791</v>
      </c>
      <c r="B852" s="138">
        <f>'Expenditures 15-22'!E56</f>
        <v>0</v>
      </c>
      <c r="D852" s="2" t="str">
        <f t="shared" si="12"/>
        <v>Error?</v>
      </c>
    </row>
    <row r="853" spans="1:4">
      <c r="A853" s="5">
        <v>792</v>
      </c>
      <c r="B853" s="138">
        <f>'Expenditures 15-22'!E57</f>
        <v>3139</v>
      </c>
      <c r="C853" s="2" t="s">
        <v>573</v>
      </c>
      <c r="D853" s="2" t="str">
        <f t="shared" si="12"/>
        <v>Error?</v>
      </c>
    </row>
    <row r="854" spans="1:4">
      <c r="A854" s="5">
        <v>793</v>
      </c>
      <c r="B854" s="138">
        <f>'Expenditures 15-22'!E59</f>
        <v>1653</v>
      </c>
      <c r="D854" s="2" t="str">
        <f t="shared" si="12"/>
        <v>Error?</v>
      </c>
    </row>
    <row r="855" spans="1:4">
      <c r="A855" s="5">
        <v>794</v>
      </c>
      <c r="B855" s="138">
        <f>'Expenditures 15-22'!E60</f>
        <v>0</v>
      </c>
      <c r="D855" s="2" t="str">
        <f t="shared" si="12"/>
        <v>Error?</v>
      </c>
    </row>
    <row r="856" spans="1:4">
      <c r="A856" s="5">
        <v>795</v>
      </c>
      <c r="B856" s="138">
        <f>'Expenditures 15-22'!E61</f>
        <v>0</v>
      </c>
      <c r="D856" s="2" t="str">
        <f t="shared" si="12"/>
        <v>Error?</v>
      </c>
    </row>
    <row r="857" spans="1:4">
      <c r="A857" s="5">
        <v>796</v>
      </c>
      <c r="B857" s="138">
        <f>'Expenditures 15-22'!E62</f>
        <v>17915</v>
      </c>
      <c r="D857" s="2" t="str">
        <f t="shared" si="12"/>
        <v>Error?</v>
      </c>
    </row>
    <row r="858" spans="1:4">
      <c r="A858" s="5">
        <v>797</v>
      </c>
      <c r="B858" s="138">
        <f>'Expenditures 15-22'!E63</f>
        <v>12443</v>
      </c>
      <c r="D858" s="2" t="str">
        <f t="shared" si="12"/>
        <v>Error?</v>
      </c>
    </row>
    <row r="859" spans="1:4">
      <c r="A859" s="5">
        <v>798</v>
      </c>
      <c r="B859" s="138">
        <f>'Expenditures 15-22'!E64</f>
        <v>116228</v>
      </c>
      <c r="D859" s="2" t="str">
        <f t="shared" si="12"/>
        <v>Error?</v>
      </c>
    </row>
    <row r="860" spans="1:4">
      <c r="A860" s="10">
        <v>799</v>
      </c>
      <c r="D860" s="2" t="str">
        <f t="shared" si="12"/>
        <v>OK</v>
      </c>
    </row>
    <row r="861" spans="1:4">
      <c r="A861" s="5">
        <v>800</v>
      </c>
      <c r="B861" s="138">
        <f>'Expenditures 15-22'!E65</f>
        <v>148239</v>
      </c>
      <c r="C861" s="2" t="s">
        <v>573</v>
      </c>
      <c r="D861" s="2" t="str">
        <f t="shared" si="12"/>
        <v>Error?</v>
      </c>
    </row>
    <row r="862" spans="1:4">
      <c r="A862" s="5">
        <v>801</v>
      </c>
      <c r="B862" s="138">
        <f>'Expenditures 15-22'!E67</f>
        <v>4573</v>
      </c>
      <c r="D862" s="2" t="str">
        <f t="shared" si="12"/>
        <v>Error?</v>
      </c>
    </row>
    <row r="863" spans="1:4">
      <c r="A863" s="5">
        <v>802</v>
      </c>
      <c r="B863" s="138">
        <f>'Expenditures 15-22'!E68</f>
        <v>0</v>
      </c>
      <c r="D863" s="2" t="str">
        <f t="shared" si="12"/>
        <v>Error?</v>
      </c>
    </row>
    <row r="864" spans="1:4">
      <c r="A864" s="5">
        <v>803</v>
      </c>
      <c r="B864" s="138">
        <f>'Expenditures 15-22'!E69</f>
        <v>157265</v>
      </c>
      <c r="D864" s="2" t="str">
        <f t="shared" si="12"/>
        <v>Error?</v>
      </c>
    </row>
    <row r="865" spans="1:4">
      <c r="A865" s="5">
        <v>804</v>
      </c>
      <c r="B865" s="138">
        <f>'Expenditures 15-22'!E70</f>
        <v>1697</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163535</v>
      </c>
      <c r="C869" s="2" t="s">
        <v>573</v>
      </c>
      <c r="D869" s="2" t="str">
        <f t="shared" si="12"/>
        <v>Error?</v>
      </c>
    </row>
    <row r="870" spans="1:4">
      <c r="A870" s="5">
        <v>809</v>
      </c>
      <c r="B870" s="138">
        <f>'Expenditures 15-22'!E73</f>
        <v>0</v>
      </c>
      <c r="D870" s="2" t="str">
        <f t="shared" si="12"/>
        <v>Error?</v>
      </c>
    </row>
    <row r="871" spans="1:4">
      <c r="A871" s="5">
        <v>810</v>
      </c>
      <c r="B871" s="138">
        <f>'Expenditures 15-22'!E74</f>
        <v>1338962</v>
      </c>
      <c r="C871" s="2" t="s">
        <v>573</v>
      </c>
      <c r="D871" s="2" t="str">
        <f t="shared" si="12"/>
        <v>Error?</v>
      </c>
    </row>
    <row r="872" spans="1:4">
      <c r="A872" s="5">
        <v>811</v>
      </c>
      <c r="B872" s="138">
        <f>'Expenditures 15-22'!E75</f>
        <v>24410</v>
      </c>
      <c r="D872" s="2" t="str">
        <f t="shared" si="12"/>
        <v>Error?</v>
      </c>
    </row>
    <row r="873" spans="1:4">
      <c r="A873" s="5">
        <v>812</v>
      </c>
      <c r="B873" s="138">
        <f>'Expenditures 15-22'!E114</f>
        <v>1588513</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181814</v>
      </c>
      <c r="D879" s="2" t="str">
        <f t="shared" si="12"/>
        <v>Error?</v>
      </c>
    </row>
    <row r="880" spans="1:4">
      <c r="A880" s="5">
        <v>819</v>
      </c>
      <c r="B880" s="138">
        <f>'Expenditures 15-22'!F16</f>
        <v>2061</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9890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11567</v>
      </c>
      <c r="D892" s="2" t="str">
        <f t="shared" si="12"/>
        <v>Error?</v>
      </c>
    </row>
    <row r="893" spans="1:4">
      <c r="A893" s="5">
        <v>832</v>
      </c>
      <c r="B893" s="138">
        <f>'Expenditures 15-22'!F15</f>
        <v>0</v>
      </c>
      <c r="D893" s="2" t="str">
        <f t="shared" si="12"/>
        <v>Error?</v>
      </c>
    </row>
    <row r="894" spans="1:4">
      <c r="A894" s="5">
        <v>833</v>
      </c>
      <c r="B894" s="138">
        <f>'Expenditures 15-22'!F33</f>
        <v>416563</v>
      </c>
      <c r="C894" s="2" t="s">
        <v>573</v>
      </c>
      <c r="D894" s="2" t="str">
        <f t="shared" si="12"/>
        <v>Error?</v>
      </c>
    </row>
    <row r="895" spans="1:4">
      <c r="A895" s="5">
        <v>834</v>
      </c>
      <c r="B895" s="138">
        <f>'Expenditures 15-22'!F36</f>
        <v>313</v>
      </c>
      <c r="D895" s="2" t="str">
        <f t="shared" ref="D895:D958" si="13">IF(ISBLANK(B895),"OK",IF(A895-B895=0,"OK","Error?"))</f>
        <v>Error?</v>
      </c>
    </row>
    <row r="896" spans="1:4">
      <c r="A896" s="5">
        <v>835</v>
      </c>
      <c r="B896" s="138">
        <f>'Expenditures 15-22'!F37</f>
        <v>362</v>
      </c>
      <c r="D896" s="2" t="str">
        <f t="shared" si="13"/>
        <v>Error?</v>
      </c>
    </row>
    <row r="897" spans="1:4">
      <c r="A897" s="5">
        <v>836</v>
      </c>
      <c r="B897" s="138">
        <f>'Expenditures 15-22'!F38</f>
        <v>5051</v>
      </c>
      <c r="D897" s="2" t="str">
        <f t="shared" si="13"/>
        <v>Error?</v>
      </c>
    </row>
    <row r="898" spans="1:4">
      <c r="A898" s="5">
        <v>837</v>
      </c>
      <c r="B898" s="138">
        <f>'Expenditures 15-22'!F39</f>
        <v>297</v>
      </c>
      <c r="D898" s="2" t="str">
        <f t="shared" si="13"/>
        <v>Error?</v>
      </c>
    </row>
    <row r="899" spans="1:4">
      <c r="A899" s="5">
        <v>838</v>
      </c>
      <c r="B899" s="138">
        <f>'Expenditures 15-22'!F40</f>
        <v>501</v>
      </c>
      <c r="D899" s="2" t="str">
        <f t="shared" si="13"/>
        <v>Error?</v>
      </c>
    </row>
    <row r="900" spans="1:4">
      <c r="A900" s="5">
        <v>839</v>
      </c>
      <c r="B900" s="138">
        <f>'Expenditures 15-22'!F41</f>
        <v>0</v>
      </c>
      <c r="D900" s="2" t="str">
        <f t="shared" si="13"/>
        <v>Error?</v>
      </c>
    </row>
    <row r="901" spans="1:4">
      <c r="A901" s="5">
        <v>840</v>
      </c>
      <c r="B901" s="138">
        <f>'Expenditures 15-22'!F42</f>
        <v>6524</v>
      </c>
      <c r="C901" s="2" t="s">
        <v>573</v>
      </c>
      <c r="D901" s="2" t="str">
        <f t="shared" si="13"/>
        <v>Error?</v>
      </c>
    </row>
    <row r="902" spans="1:4">
      <c r="A902" s="5">
        <v>841</v>
      </c>
      <c r="B902" s="138">
        <f>'Expenditures 15-22'!F44</f>
        <v>2855</v>
      </c>
      <c r="D902" s="2" t="str">
        <f t="shared" si="13"/>
        <v>Error?</v>
      </c>
    </row>
    <row r="903" spans="1:4">
      <c r="A903" s="5">
        <v>842</v>
      </c>
      <c r="B903" s="138">
        <f>'Expenditures 15-22'!F45</f>
        <v>30099</v>
      </c>
      <c r="D903" s="2" t="str">
        <f t="shared" si="13"/>
        <v>Error?</v>
      </c>
    </row>
    <row r="904" spans="1:4">
      <c r="A904" s="5">
        <v>843</v>
      </c>
      <c r="B904" s="138">
        <f>'Expenditures 15-22'!F46</f>
        <v>1379</v>
      </c>
      <c r="D904" s="2" t="str">
        <f t="shared" si="13"/>
        <v>Error?</v>
      </c>
    </row>
    <row r="905" spans="1:4">
      <c r="A905" s="5">
        <v>844</v>
      </c>
      <c r="B905" s="138">
        <f>'Expenditures 15-22'!F47</f>
        <v>34333</v>
      </c>
      <c r="C905" s="2" t="s">
        <v>573</v>
      </c>
      <c r="D905" s="2" t="str">
        <f t="shared" si="13"/>
        <v>Error?</v>
      </c>
    </row>
    <row r="906" spans="1:4">
      <c r="A906" s="5">
        <v>845</v>
      </c>
      <c r="B906" s="138">
        <f>'Expenditures 15-22'!F49</f>
        <v>13601</v>
      </c>
      <c r="D906" s="2" t="str">
        <f t="shared" si="13"/>
        <v>Error?</v>
      </c>
    </row>
    <row r="907" spans="1:4">
      <c r="A907" s="5">
        <v>846</v>
      </c>
      <c r="B907" s="138">
        <f>'Expenditures 15-22'!F50</f>
        <v>747</v>
      </c>
      <c r="D907" s="2" t="str">
        <f t="shared" si="13"/>
        <v>Error?</v>
      </c>
    </row>
    <row r="908" spans="1:4">
      <c r="A908" s="5">
        <v>847</v>
      </c>
      <c r="B908" s="138">
        <f>'Expenditures 15-22'!F53</f>
        <v>15052</v>
      </c>
      <c r="C908" s="2" t="s">
        <v>573</v>
      </c>
      <c r="D908" s="2" t="str">
        <f t="shared" si="13"/>
        <v>Error?</v>
      </c>
    </row>
    <row r="909" spans="1:4">
      <c r="A909" s="5">
        <v>848</v>
      </c>
      <c r="B909" s="138">
        <f>'Expenditures 15-22'!F55</f>
        <v>10364</v>
      </c>
      <c r="D909" s="2" t="str">
        <f t="shared" si="13"/>
        <v>Error?</v>
      </c>
    </row>
    <row r="910" spans="1:4">
      <c r="A910" s="5">
        <v>849</v>
      </c>
      <c r="B910" s="138">
        <f>'Expenditures 15-22'!F56</f>
        <v>0</v>
      </c>
      <c r="D910" s="2" t="str">
        <f t="shared" si="13"/>
        <v>Error?</v>
      </c>
    </row>
    <row r="911" spans="1:4">
      <c r="A911" s="5">
        <v>850</v>
      </c>
      <c r="B911" s="138">
        <f>'Expenditures 15-22'!F57</f>
        <v>10364</v>
      </c>
      <c r="C911" s="2" t="s">
        <v>573</v>
      </c>
      <c r="D911" s="2" t="str">
        <f t="shared" si="13"/>
        <v>Error?</v>
      </c>
    </row>
    <row r="912" spans="1:4">
      <c r="A912" s="5">
        <v>851</v>
      </c>
      <c r="B912" s="138">
        <f>'Expenditures 15-22'!F59</f>
        <v>373</v>
      </c>
      <c r="D912" s="2" t="str">
        <f t="shared" si="13"/>
        <v>Error?</v>
      </c>
    </row>
    <row r="913" spans="1:4">
      <c r="A913" s="5">
        <v>852</v>
      </c>
      <c r="B913" s="138">
        <f>'Expenditures 15-22'!F60</f>
        <v>685</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865141</v>
      </c>
      <c r="D916" s="2" t="str">
        <f t="shared" si="13"/>
        <v>Error?</v>
      </c>
    </row>
    <row r="917" spans="1:4">
      <c r="A917" s="5">
        <v>856</v>
      </c>
      <c r="B917" s="138">
        <f>'Expenditures 15-22'!F64</f>
        <v>81471</v>
      </c>
      <c r="D917" s="2" t="str">
        <f t="shared" si="13"/>
        <v>Error?</v>
      </c>
    </row>
    <row r="918" spans="1:4">
      <c r="A918" s="10">
        <v>857</v>
      </c>
      <c r="D918" s="2" t="str">
        <f t="shared" si="13"/>
        <v>OK</v>
      </c>
    </row>
    <row r="919" spans="1:4">
      <c r="A919" s="5">
        <v>858</v>
      </c>
      <c r="B919" s="138">
        <f>'Expenditures 15-22'!F65</f>
        <v>947670</v>
      </c>
      <c r="C919" s="2" t="s">
        <v>573</v>
      </c>
      <c r="D919" s="2" t="str">
        <f t="shared" si="13"/>
        <v>Error?</v>
      </c>
    </row>
    <row r="920" spans="1:4">
      <c r="A920" s="5">
        <v>859</v>
      </c>
      <c r="B920" s="138">
        <f>'Expenditures 15-22'!F67</f>
        <v>4565</v>
      </c>
      <c r="D920" s="2" t="str">
        <f t="shared" si="13"/>
        <v>Error?</v>
      </c>
    </row>
    <row r="921" spans="1:4">
      <c r="A921" s="5">
        <v>860</v>
      </c>
      <c r="B921" s="138">
        <f>'Expenditures 15-22'!F68</f>
        <v>0</v>
      </c>
      <c r="D921" s="2" t="str">
        <f t="shared" si="13"/>
        <v>Error?</v>
      </c>
    </row>
    <row r="922" spans="1:4">
      <c r="A922" s="5">
        <v>861</v>
      </c>
      <c r="B922" s="138">
        <f>'Expenditures 15-22'!F69</f>
        <v>29033</v>
      </c>
      <c r="D922" s="2" t="str">
        <f t="shared" si="13"/>
        <v>Error?</v>
      </c>
    </row>
    <row r="923" spans="1:4">
      <c r="A923" s="5">
        <v>862</v>
      </c>
      <c r="B923" s="138">
        <f>'Expenditures 15-22'!F70</f>
        <v>1076</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34674</v>
      </c>
      <c r="C927" s="2" t="s">
        <v>573</v>
      </c>
      <c r="D927" s="2" t="str">
        <f t="shared" si="13"/>
        <v>Error?</v>
      </c>
    </row>
    <row r="928" spans="1:4">
      <c r="A928" s="5">
        <v>867</v>
      </c>
      <c r="B928" s="138">
        <f>'Expenditures 15-22'!F73</f>
        <v>0</v>
      </c>
      <c r="D928" s="2" t="str">
        <f t="shared" si="13"/>
        <v>Error?</v>
      </c>
    </row>
    <row r="929" spans="1:4">
      <c r="A929" s="5">
        <v>868</v>
      </c>
      <c r="B929" s="138">
        <f>'Expenditures 15-22'!F74</f>
        <v>1048617</v>
      </c>
      <c r="C929" s="2" t="s">
        <v>573</v>
      </c>
      <c r="D929" s="2" t="str">
        <f t="shared" si="13"/>
        <v>Error?</v>
      </c>
    </row>
    <row r="930" spans="1:4">
      <c r="A930" s="5">
        <v>869</v>
      </c>
      <c r="B930" s="138">
        <f>'Expenditures 15-22'!F75</f>
        <v>3727</v>
      </c>
      <c r="D930" s="2" t="str">
        <f t="shared" si="13"/>
        <v>Error?</v>
      </c>
    </row>
    <row r="931" spans="1:4">
      <c r="A931" s="5">
        <v>870</v>
      </c>
      <c r="B931" s="138">
        <f>'Expenditures 15-22'!F114</f>
        <v>1468907</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20517</v>
      </c>
      <c r="D937" s="2" t="str">
        <f t="shared" si="13"/>
        <v>Error?</v>
      </c>
    </row>
    <row r="938" spans="1:4">
      <c r="A938" s="5">
        <v>877</v>
      </c>
      <c r="B938" s="138">
        <f>'Expenditures 15-22'!G16</f>
        <v>770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3112</v>
      </c>
      <c r="D950" s="2" t="str">
        <f t="shared" si="13"/>
        <v>Error?</v>
      </c>
    </row>
    <row r="951" spans="1:4">
      <c r="A951" s="5">
        <v>890</v>
      </c>
      <c r="B951" s="138">
        <f>'Expenditures 15-22'!G15</f>
        <v>0</v>
      </c>
      <c r="D951" s="2" t="str">
        <f t="shared" si="13"/>
        <v>Error?</v>
      </c>
    </row>
    <row r="952" spans="1:4">
      <c r="A952" s="5">
        <v>891</v>
      </c>
      <c r="B952" s="138">
        <f>'Expenditures 15-22'!G33</f>
        <v>25999</v>
      </c>
      <c r="C952" s="2" t="s">
        <v>573</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573</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2789</v>
      </c>
      <c r="D961" s="2" t="str">
        <f t="shared" si="14"/>
        <v>Error?</v>
      </c>
    </row>
    <row r="962" spans="1:4">
      <c r="A962" s="5">
        <v>901</v>
      </c>
      <c r="B962" s="138">
        <f>'Expenditures 15-22'!G46</f>
        <v>9988</v>
      </c>
      <c r="D962" s="2" t="str">
        <f t="shared" si="14"/>
        <v>Error?</v>
      </c>
    </row>
    <row r="963" spans="1:4">
      <c r="A963" s="5">
        <v>902</v>
      </c>
      <c r="B963" s="138">
        <f>'Expenditures 15-22'!G47</f>
        <v>12777</v>
      </c>
      <c r="C963" s="2" t="s">
        <v>573</v>
      </c>
      <c r="D963" s="2" t="str">
        <f t="shared" si="14"/>
        <v>Error?</v>
      </c>
    </row>
    <row r="964" spans="1:4">
      <c r="A964" s="5">
        <v>903</v>
      </c>
      <c r="B964" s="138">
        <f>'Expenditures 15-22'!G49</f>
        <v>0</v>
      </c>
      <c r="D964" s="2" t="str">
        <f t="shared" si="14"/>
        <v>Error?</v>
      </c>
    </row>
    <row r="965" spans="1:4">
      <c r="A965" s="5">
        <v>904</v>
      </c>
      <c r="B965" s="138">
        <f>'Expenditures 15-22'!G50</f>
        <v>3077</v>
      </c>
      <c r="D965" s="2" t="str">
        <f t="shared" si="14"/>
        <v>Error?</v>
      </c>
    </row>
    <row r="966" spans="1:4">
      <c r="A966" s="5">
        <v>905</v>
      </c>
      <c r="B966" s="138">
        <f>'Expenditures 15-22'!G53</f>
        <v>3077</v>
      </c>
      <c r="C966" s="2" t="s">
        <v>573</v>
      </c>
      <c r="D966" s="2" t="str">
        <f t="shared" si="14"/>
        <v>Error?</v>
      </c>
    </row>
    <row r="967" spans="1:4">
      <c r="A967" s="5">
        <v>906</v>
      </c>
      <c r="B967" s="138">
        <f>'Expenditures 15-22'!G55</f>
        <v>5600</v>
      </c>
      <c r="D967" s="2" t="str">
        <f t="shared" si="14"/>
        <v>Error?</v>
      </c>
    </row>
    <row r="968" spans="1:4">
      <c r="A968" s="5">
        <v>907</v>
      </c>
      <c r="B968" s="138">
        <f>'Expenditures 15-22'!G56</f>
        <v>0</v>
      </c>
      <c r="D968" s="2" t="str">
        <f t="shared" si="14"/>
        <v>Error?</v>
      </c>
    </row>
    <row r="969" spans="1:4">
      <c r="A969" s="5">
        <v>908</v>
      </c>
      <c r="B969" s="138">
        <f>'Expenditures 15-22'!G57</f>
        <v>5600</v>
      </c>
      <c r="C969" s="2" t="s">
        <v>573</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27914</v>
      </c>
      <c r="D972" s="2" t="str">
        <f t="shared" si="14"/>
        <v>Error?</v>
      </c>
    </row>
    <row r="973" spans="1:4">
      <c r="A973" s="5">
        <v>912</v>
      </c>
      <c r="B973" s="138">
        <f>'Expenditures 15-22'!G62</f>
        <v>0</v>
      </c>
      <c r="D973" s="2" t="str">
        <f t="shared" si="14"/>
        <v>Error?</v>
      </c>
    </row>
    <row r="974" spans="1:4">
      <c r="A974" s="5">
        <v>913</v>
      </c>
      <c r="B974" s="138">
        <f>'Expenditures 15-22'!G63</f>
        <v>13686</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41600</v>
      </c>
      <c r="C977" s="2" t="s">
        <v>573</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158630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158630</v>
      </c>
      <c r="C985" s="2" t="s">
        <v>573</v>
      </c>
      <c r="D985" s="2" t="str">
        <f t="shared" si="14"/>
        <v>Error?</v>
      </c>
    </row>
    <row r="986" spans="1:4">
      <c r="A986" s="5">
        <v>925</v>
      </c>
      <c r="B986" s="138">
        <f>'Expenditures 15-22'!G73</f>
        <v>0</v>
      </c>
      <c r="D986" s="2" t="str">
        <f t="shared" si="14"/>
        <v>Error?</v>
      </c>
    </row>
    <row r="987" spans="1:4">
      <c r="A987" s="5">
        <v>926</v>
      </c>
      <c r="B987" s="138">
        <f>'Expenditures 15-22'!G74</f>
        <v>221684</v>
      </c>
      <c r="C987" s="2" t="s">
        <v>573</v>
      </c>
      <c r="D987" s="2" t="str">
        <f t="shared" si="14"/>
        <v>Error?</v>
      </c>
    </row>
    <row r="988" spans="1:4">
      <c r="A988" s="5">
        <v>927</v>
      </c>
      <c r="B988" s="138">
        <f>'Expenditures 15-22'!G75</f>
        <v>0</v>
      </c>
      <c r="D988" s="2" t="str">
        <f t="shared" si="14"/>
        <v>Error?</v>
      </c>
    </row>
    <row r="989" spans="1:4">
      <c r="A989" s="5">
        <v>928</v>
      </c>
      <c r="B989" s="138">
        <f>'Expenditures 15-22'!G114</f>
        <v>247683</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3910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1880</v>
      </c>
      <c r="D1008" s="2" t="str">
        <f t="shared" si="14"/>
        <v>Error?</v>
      </c>
    </row>
    <row r="1009" spans="1:4">
      <c r="A1009" s="5">
        <v>948</v>
      </c>
      <c r="B1009" s="138">
        <f>'Expenditures 15-22'!H15</f>
        <v>0</v>
      </c>
      <c r="D1009" s="2" t="str">
        <f t="shared" si="14"/>
        <v>Error?</v>
      </c>
    </row>
    <row r="1010" spans="1:4">
      <c r="A1010" s="5">
        <v>949</v>
      </c>
      <c r="B1010" s="138">
        <f>'Expenditures 15-22'!H33</f>
        <v>5970</v>
      </c>
      <c r="C1010" s="2" t="s">
        <v>573</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573</v>
      </c>
      <c r="D1017" s="2" t="str">
        <f t="shared" si="14"/>
        <v>Error?</v>
      </c>
    </row>
    <row r="1018" spans="1:4">
      <c r="A1018" s="5">
        <v>957</v>
      </c>
      <c r="B1018" s="138">
        <f>'Expenditures 15-22'!H44</f>
        <v>0</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0</v>
      </c>
      <c r="C1021" s="2" t="s">
        <v>573</v>
      </c>
      <c r="D1021" s="2" t="str">
        <f t="shared" si="14"/>
        <v>Error?</v>
      </c>
    </row>
    <row r="1022" spans="1:4">
      <c r="A1022" s="5">
        <v>961</v>
      </c>
      <c r="B1022" s="138">
        <f>'Expenditures 15-22'!H49</f>
        <v>18323</v>
      </c>
      <c r="D1022" s="2" t="str">
        <f t="shared" si="14"/>
        <v>Error?</v>
      </c>
    </row>
    <row r="1023" spans="1:4">
      <c r="A1023" s="5">
        <v>962</v>
      </c>
      <c r="B1023" s="138">
        <f>'Expenditures 15-22'!H50</f>
        <v>2609</v>
      </c>
      <c r="D1023" s="2" t="str">
        <f t="shared" ref="D1023:D1086" si="15">IF(ISBLANK(B1023),"OK",IF(A1023-B1023=0,"OK","Error?"))</f>
        <v>Error?</v>
      </c>
    </row>
    <row r="1024" spans="1:4">
      <c r="A1024" s="5">
        <v>963</v>
      </c>
      <c r="B1024" s="138">
        <f>'Expenditures 15-22'!H53</f>
        <v>20932</v>
      </c>
      <c r="C1024" s="2" t="s">
        <v>573</v>
      </c>
      <c r="D1024" s="2" t="str">
        <f t="shared" si="15"/>
        <v>Error?</v>
      </c>
    </row>
    <row r="1025" spans="1:4">
      <c r="A1025" s="5">
        <v>964</v>
      </c>
      <c r="B1025" s="138">
        <f>'Expenditures 15-22'!H55</f>
        <v>2646</v>
      </c>
      <c r="D1025" s="2" t="str">
        <f t="shared" si="15"/>
        <v>Error?</v>
      </c>
    </row>
    <row r="1026" spans="1:4">
      <c r="A1026" s="5">
        <v>965</v>
      </c>
      <c r="B1026" s="138">
        <f>'Expenditures 15-22'!H56</f>
        <v>0</v>
      </c>
      <c r="D1026" s="2" t="str">
        <f t="shared" si="15"/>
        <v>Error?</v>
      </c>
    </row>
    <row r="1027" spans="1:4">
      <c r="A1027" s="5">
        <v>966</v>
      </c>
      <c r="B1027" s="138">
        <f>'Expenditures 15-22'!H57</f>
        <v>2646</v>
      </c>
      <c r="C1027" s="2" t="s">
        <v>573</v>
      </c>
      <c r="D1027" s="2" t="str">
        <f t="shared" si="15"/>
        <v>Error?</v>
      </c>
    </row>
    <row r="1028" spans="1:4">
      <c r="A1028" s="5">
        <v>967</v>
      </c>
      <c r="B1028" s="138">
        <f>'Expenditures 15-22'!H59</f>
        <v>0</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0</v>
      </c>
      <c r="C1035" s="2" t="s">
        <v>573</v>
      </c>
      <c r="D1035" s="2" t="str">
        <f t="shared" si="15"/>
        <v>Error?</v>
      </c>
    </row>
    <row r="1036" spans="1:4">
      <c r="A1036" s="5">
        <v>975</v>
      </c>
      <c r="B1036" s="138">
        <f>'Expenditures 15-22'!H67</f>
        <v>138</v>
      </c>
      <c r="D1036" s="2" t="str">
        <f t="shared" si="15"/>
        <v>Error?</v>
      </c>
    </row>
    <row r="1037" spans="1:4">
      <c r="A1037" s="5">
        <v>976</v>
      </c>
      <c r="B1037" s="138">
        <f>'Expenditures 15-22'!H68</f>
        <v>0</v>
      </c>
      <c r="D1037" s="2" t="str">
        <f t="shared" si="15"/>
        <v>Error?</v>
      </c>
    </row>
    <row r="1038" spans="1:4">
      <c r="A1038" s="5">
        <v>977</v>
      </c>
      <c r="B1038" s="138">
        <f>'Expenditures 15-22'!H69</f>
        <v>366</v>
      </c>
      <c r="D1038" s="2" t="str">
        <f t="shared" si="15"/>
        <v>Error?</v>
      </c>
    </row>
    <row r="1039" spans="1:4">
      <c r="A1039" s="5">
        <v>978</v>
      </c>
      <c r="B1039" s="138">
        <f>'Expenditures 15-22'!H70</f>
        <v>345</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849</v>
      </c>
      <c r="C1043" s="2" t="s">
        <v>573</v>
      </c>
      <c r="D1043" s="2" t="str">
        <f t="shared" si="15"/>
        <v>Error?</v>
      </c>
    </row>
    <row r="1044" spans="1:4">
      <c r="A1044" s="5">
        <v>983</v>
      </c>
      <c r="B1044" s="138">
        <f>'Expenditures 15-22'!H73</f>
        <v>0</v>
      </c>
      <c r="D1044" s="2" t="str">
        <f t="shared" si="15"/>
        <v>Error?</v>
      </c>
    </row>
    <row r="1045" spans="1:4">
      <c r="A1045" s="5">
        <v>984</v>
      </c>
      <c r="B1045" s="138">
        <f>'Expenditures 15-22'!H74</f>
        <v>24427</v>
      </c>
      <c r="C1045" s="2" t="s">
        <v>573</v>
      </c>
      <c r="D1045" s="2" t="str">
        <f t="shared" si="15"/>
        <v>Error?</v>
      </c>
    </row>
    <row r="1046" spans="1:4">
      <c r="A1046" s="5">
        <v>985</v>
      </c>
      <c r="B1046" s="138">
        <f>'Expenditures 15-22'!H75</f>
        <v>4500</v>
      </c>
      <c r="D1046" s="2" t="str">
        <f t="shared" si="15"/>
        <v>Error?</v>
      </c>
    </row>
    <row r="1047" spans="1:4">
      <c r="A1047" s="5">
        <v>986</v>
      </c>
      <c r="B1047" s="138">
        <f>'Expenditures 15-22'!H102</f>
        <v>1424958</v>
      </c>
      <c r="C1047" s="2" t="s">
        <v>573</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37571</v>
      </c>
      <c r="D1051" s="2" t="str">
        <f t="shared" si="15"/>
        <v>Error?</v>
      </c>
    </row>
    <row r="1052" spans="1:4">
      <c r="A1052" s="10">
        <v>991</v>
      </c>
      <c r="D1052" s="2" t="str">
        <f t="shared" si="15"/>
        <v>OK</v>
      </c>
    </row>
    <row r="1053" spans="1:4">
      <c r="A1053" s="5">
        <v>992</v>
      </c>
      <c r="B1053" s="138">
        <f>'Expenditures 15-22'!H110</f>
        <v>37571</v>
      </c>
      <c r="C1053" s="2" t="s">
        <v>573</v>
      </c>
      <c r="D1053" s="2" t="str">
        <f t="shared" si="15"/>
        <v>Error?</v>
      </c>
    </row>
    <row r="1054" spans="1:4">
      <c r="A1054" s="5">
        <v>993</v>
      </c>
      <c r="B1054" s="138">
        <f>'Expenditures 15-22'!H114</f>
        <v>1497426</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10542967</v>
      </c>
      <c r="C1093" s="2" t="s">
        <v>573</v>
      </c>
      <c r="D1093" s="2" t="str">
        <f t="shared" si="16"/>
        <v>Error?</v>
      </c>
    </row>
    <row r="1094" spans="1:4">
      <c r="A1094" s="5">
        <v>1033</v>
      </c>
      <c r="B1094" s="138">
        <f>'Expenditures 15-22'!K16</f>
        <v>4349</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947064</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573</v>
      </c>
      <c r="D1104" s="2" t="str">
        <f t="shared" si="16"/>
        <v>Error?</v>
      </c>
    </row>
    <row r="1105" spans="1:4">
      <c r="A1105" s="5">
        <v>1044</v>
      </c>
      <c r="B1105" s="138">
        <f>'Expenditures 15-22'!K13</f>
        <v>0</v>
      </c>
      <c r="C1105" s="2" t="s">
        <v>573</v>
      </c>
      <c r="D1105" s="2" t="str">
        <f t="shared" si="16"/>
        <v>Error?</v>
      </c>
    </row>
    <row r="1106" spans="1:4">
      <c r="A1106" s="5">
        <v>1045</v>
      </c>
      <c r="B1106" s="138">
        <f>'Expenditures 15-22'!K14</f>
        <v>128964</v>
      </c>
      <c r="C1106" s="2" t="s">
        <v>573</v>
      </c>
      <c r="D1106" s="2" t="str">
        <f t="shared" si="16"/>
        <v>Error?</v>
      </c>
    </row>
    <row r="1107" spans="1:4">
      <c r="A1107" s="5">
        <v>1046</v>
      </c>
      <c r="B1107" s="138">
        <f>'Expenditures 15-22'!K15</f>
        <v>0</v>
      </c>
      <c r="C1107" s="2" t="s">
        <v>573</v>
      </c>
      <c r="D1107" s="2" t="str">
        <f t="shared" si="16"/>
        <v>Error?</v>
      </c>
    </row>
    <row r="1108" spans="1:4">
      <c r="A1108" s="5">
        <v>1047</v>
      </c>
      <c r="B1108" s="138">
        <f>'Expenditures 15-22'!K33</f>
        <v>15543925</v>
      </c>
      <c r="C1108" s="2" t="s">
        <v>573</v>
      </c>
      <c r="D1108" s="2" t="str">
        <f t="shared" si="16"/>
        <v>Error?</v>
      </c>
    </row>
    <row r="1109" spans="1:4">
      <c r="A1109" s="5">
        <v>1048</v>
      </c>
      <c r="B1109" s="138">
        <f>'Expenditures 15-22'!K36</f>
        <v>300993</v>
      </c>
      <c r="C1109" s="2" t="s">
        <v>573</v>
      </c>
      <c r="D1109" s="2" t="str">
        <f t="shared" si="16"/>
        <v>Error?</v>
      </c>
    </row>
    <row r="1110" spans="1:4">
      <c r="A1110" s="5">
        <v>1049</v>
      </c>
      <c r="B1110" s="138">
        <f>'Expenditures 15-22'!K37</f>
        <v>710624</v>
      </c>
      <c r="C1110" s="2" t="s">
        <v>573</v>
      </c>
      <c r="D1110" s="2" t="str">
        <f t="shared" si="16"/>
        <v>Error?</v>
      </c>
    </row>
    <row r="1111" spans="1:4">
      <c r="A1111" s="5">
        <v>1050</v>
      </c>
      <c r="B1111" s="138">
        <f>'Expenditures 15-22'!K38</f>
        <v>214063</v>
      </c>
      <c r="C1111" s="2" t="s">
        <v>573</v>
      </c>
      <c r="D1111" s="2" t="str">
        <f t="shared" si="16"/>
        <v>Error?</v>
      </c>
    </row>
    <row r="1112" spans="1:4">
      <c r="A1112" s="5">
        <v>1051</v>
      </c>
      <c r="B1112" s="138">
        <f>'Expenditures 15-22'!K39</f>
        <v>206838</v>
      </c>
      <c r="C1112" s="2" t="s">
        <v>573</v>
      </c>
      <c r="D1112" s="2" t="str">
        <f t="shared" si="16"/>
        <v>Error?</v>
      </c>
    </row>
    <row r="1113" spans="1:4">
      <c r="A1113" s="5">
        <v>1052</v>
      </c>
      <c r="B1113" s="138">
        <f>'Expenditures 15-22'!K40</f>
        <v>417236</v>
      </c>
      <c r="C1113" s="2" t="s">
        <v>573</v>
      </c>
      <c r="D1113" s="2" t="str">
        <f t="shared" si="16"/>
        <v>Error?</v>
      </c>
    </row>
    <row r="1114" spans="1:4">
      <c r="A1114" s="5">
        <v>1053</v>
      </c>
      <c r="B1114" s="138">
        <f>'Expenditures 15-22'!K41</f>
        <v>193326</v>
      </c>
      <c r="C1114" s="2" t="s">
        <v>573</v>
      </c>
      <c r="D1114" s="2" t="str">
        <f t="shared" si="16"/>
        <v>Error?</v>
      </c>
    </row>
    <row r="1115" spans="1:4">
      <c r="A1115" s="5">
        <v>1054</v>
      </c>
      <c r="B1115" s="138">
        <f>'Expenditures 15-22'!K42</f>
        <v>2043080</v>
      </c>
      <c r="C1115" s="2" t="s">
        <v>573</v>
      </c>
      <c r="D1115" s="2" t="str">
        <f t="shared" si="16"/>
        <v>Error?</v>
      </c>
    </row>
    <row r="1116" spans="1:4">
      <c r="A1116" s="5">
        <v>1055</v>
      </c>
      <c r="B1116" s="138">
        <f>'Expenditures 15-22'!K44</f>
        <v>1056770</v>
      </c>
      <c r="C1116" s="2" t="s">
        <v>573</v>
      </c>
      <c r="D1116" s="2" t="str">
        <f t="shared" si="16"/>
        <v>Error?</v>
      </c>
    </row>
    <row r="1117" spans="1:4">
      <c r="A1117" s="5">
        <v>1056</v>
      </c>
      <c r="B1117" s="138">
        <f>'Expenditures 15-22'!K45</f>
        <v>55037</v>
      </c>
      <c r="C1117" s="2" t="s">
        <v>573</v>
      </c>
      <c r="D1117" s="2" t="str">
        <f t="shared" si="16"/>
        <v>Error?</v>
      </c>
    </row>
    <row r="1118" spans="1:4">
      <c r="A1118" s="5">
        <v>1057</v>
      </c>
      <c r="B1118" s="138">
        <f>'Expenditures 15-22'!K46</f>
        <v>122185</v>
      </c>
      <c r="C1118" s="2" t="s">
        <v>573</v>
      </c>
      <c r="D1118" s="2" t="str">
        <f t="shared" si="16"/>
        <v>Error?</v>
      </c>
    </row>
    <row r="1119" spans="1:4">
      <c r="A1119" s="5">
        <v>1058</v>
      </c>
      <c r="B1119" s="138">
        <f>'Expenditures 15-22'!K47</f>
        <v>1233992</v>
      </c>
      <c r="C1119" s="2" t="s">
        <v>573</v>
      </c>
      <c r="D1119" s="2" t="str">
        <f t="shared" si="16"/>
        <v>Error?</v>
      </c>
    </row>
    <row r="1120" spans="1:4">
      <c r="A1120" s="5">
        <v>1059</v>
      </c>
      <c r="B1120" s="138">
        <f>'Expenditures 15-22'!K49</f>
        <v>354144</v>
      </c>
      <c r="C1120" s="2" t="s">
        <v>573</v>
      </c>
      <c r="D1120" s="2" t="str">
        <f t="shared" si="16"/>
        <v>Error?</v>
      </c>
    </row>
    <row r="1121" spans="1:4">
      <c r="A1121" s="5">
        <v>1060</v>
      </c>
      <c r="B1121" s="138">
        <f>'Expenditures 15-22'!K50</f>
        <v>204310</v>
      </c>
      <c r="C1121" s="2" t="s">
        <v>573</v>
      </c>
      <c r="D1121" s="2" t="str">
        <f t="shared" si="16"/>
        <v>Error?</v>
      </c>
    </row>
    <row r="1122" spans="1:4">
      <c r="A1122" s="5">
        <v>1061</v>
      </c>
      <c r="B1122" s="138">
        <f>'Expenditures 15-22'!K53</f>
        <v>786929</v>
      </c>
      <c r="C1122" s="2" t="s">
        <v>573</v>
      </c>
      <c r="D1122" s="2" t="str">
        <f t="shared" si="16"/>
        <v>Error?</v>
      </c>
    </row>
    <row r="1123" spans="1:4">
      <c r="A1123" s="5">
        <v>1062</v>
      </c>
      <c r="B1123" s="138">
        <f>'Expenditures 15-22'!K55</f>
        <v>1461923</v>
      </c>
      <c r="C1123" s="2" t="s">
        <v>573</v>
      </c>
      <c r="D1123" s="2" t="str">
        <f t="shared" si="16"/>
        <v>Error?</v>
      </c>
    </row>
    <row r="1124" spans="1:4">
      <c r="A1124" s="5">
        <v>1063</v>
      </c>
      <c r="B1124" s="138">
        <f>'Expenditures 15-22'!K56</f>
        <v>0</v>
      </c>
      <c r="C1124" s="2" t="s">
        <v>573</v>
      </c>
      <c r="D1124" s="2" t="str">
        <f t="shared" si="16"/>
        <v>Error?</v>
      </c>
    </row>
    <row r="1125" spans="1:4">
      <c r="A1125" s="5">
        <v>1064</v>
      </c>
      <c r="B1125" s="138">
        <f>'Expenditures 15-22'!K57</f>
        <v>1461923</v>
      </c>
      <c r="C1125" s="2" t="s">
        <v>573</v>
      </c>
      <c r="D1125" s="2" t="str">
        <f t="shared" si="16"/>
        <v>Error?</v>
      </c>
    </row>
    <row r="1126" spans="1:4">
      <c r="A1126" s="5">
        <v>1065</v>
      </c>
      <c r="B1126" s="138">
        <f>'Expenditures 15-22'!K59</f>
        <v>138130</v>
      </c>
      <c r="C1126" s="2" t="s">
        <v>573</v>
      </c>
      <c r="D1126" s="2" t="str">
        <f t="shared" si="16"/>
        <v>Error?</v>
      </c>
    </row>
    <row r="1127" spans="1:4">
      <c r="A1127" s="5">
        <v>1066</v>
      </c>
      <c r="B1127" s="138">
        <f>'Expenditures 15-22'!K60</f>
        <v>130781</v>
      </c>
      <c r="C1127" s="2" t="s">
        <v>573</v>
      </c>
      <c r="D1127" s="2" t="str">
        <f t="shared" si="16"/>
        <v>Error?</v>
      </c>
    </row>
    <row r="1128" spans="1:4">
      <c r="A1128" s="5">
        <v>1067</v>
      </c>
      <c r="B1128" s="138">
        <f>'Expenditures 15-22'!K61</f>
        <v>27914</v>
      </c>
      <c r="C1128" s="2" t="s">
        <v>573</v>
      </c>
      <c r="D1128" s="2" t="str">
        <f t="shared" si="16"/>
        <v>Error?</v>
      </c>
    </row>
    <row r="1129" spans="1:4">
      <c r="A1129" s="5">
        <v>1068</v>
      </c>
      <c r="B1129" s="138">
        <f>'Expenditures 15-22'!K62</f>
        <v>36884</v>
      </c>
      <c r="C1129" s="2" t="s">
        <v>573</v>
      </c>
      <c r="D1129" s="2" t="str">
        <f t="shared" si="16"/>
        <v>Error?</v>
      </c>
    </row>
    <row r="1130" spans="1:4">
      <c r="A1130" s="5">
        <v>1069</v>
      </c>
      <c r="B1130" s="138">
        <f>'Expenditures 15-22'!K63</f>
        <v>1583106</v>
      </c>
      <c r="C1130" s="2" t="s">
        <v>573</v>
      </c>
      <c r="D1130" s="2" t="str">
        <f t="shared" si="16"/>
        <v>Error?</v>
      </c>
    </row>
    <row r="1131" spans="1:4">
      <c r="A1131" s="5">
        <v>1070</v>
      </c>
      <c r="B1131" s="138">
        <f>'Expenditures 15-22'!K64</f>
        <v>220400</v>
      </c>
      <c r="C1131" s="2" t="s">
        <v>573</v>
      </c>
      <c r="D1131" s="2" t="str">
        <f t="shared" si="16"/>
        <v>Error?</v>
      </c>
    </row>
    <row r="1132" spans="1:4">
      <c r="A1132" s="10">
        <v>1071</v>
      </c>
      <c r="D1132" s="2" t="str">
        <f t="shared" si="16"/>
        <v>OK</v>
      </c>
    </row>
    <row r="1133" spans="1:4">
      <c r="A1133" s="5">
        <v>1072</v>
      </c>
      <c r="B1133" s="138">
        <f>'Expenditures 15-22'!K65</f>
        <v>2137215</v>
      </c>
      <c r="C1133" s="2" t="s">
        <v>573</v>
      </c>
      <c r="D1133" s="2" t="str">
        <f t="shared" si="16"/>
        <v>Error?</v>
      </c>
    </row>
    <row r="1134" spans="1:4">
      <c r="A1134" s="5">
        <v>1073</v>
      </c>
      <c r="B1134" s="138">
        <f>'Expenditures 15-22'!K67</f>
        <v>217715</v>
      </c>
      <c r="C1134" s="2" t="s">
        <v>573</v>
      </c>
      <c r="D1134" s="2" t="str">
        <f t="shared" si="16"/>
        <v>Error?</v>
      </c>
    </row>
    <row r="1135" spans="1:4">
      <c r="A1135" s="5">
        <v>1074</v>
      </c>
      <c r="B1135" s="138">
        <f>'Expenditures 15-22'!K68</f>
        <v>507</v>
      </c>
      <c r="C1135" s="2" t="s">
        <v>573</v>
      </c>
      <c r="D1135" s="2" t="str">
        <f t="shared" si="16"/>
        <v>Error?</v>
      </c>
    </row>
    <row r="1136" spans="1:4">
      <c r="A1136" s="5">
        <v>1075</v>
      </c>
      <c r="B1136" s="138">
        <f>'Expenditures 15-22'!K69</f>
        <v>897897</v>
      </c>
      <c r="C1136" s="2" t="s">
        <v>573</v>
      </c>
      <c r="D1136" s="2" t="str">
        <f t="shared" si="16"/>
        <v>Error?</v>
      </c>
    </row>
    <row r="1137" spans="1:4">
      <c r="A1137" s="5">
        <v>1076</v>
      </c>
      <c r="B1137" s="138">
        <f>'Expenditures 15-22'!K70</f>
        <v>141548</v>
      </c>
      <c r="C1137" s="2" t="s">
        <v>573</v>
      </c>
      <c r="D1137" s="2" t="str">
        <f t="shared" si="16"/>
        <v>Error?</v>
      </c>
    </row>
    <row r="1138" spans="1:4">
      <c r="A1138" s="10">
        <v>1077</v>
      </c>
      <c r="D1138" s="2" t="str">
        <f t="shared" si="16"/>
        <v>OK</v>
      </c>
    </row>
    <row r="1139" spans="1:4">
      <c r="A1139" s="5">
        <v>1078</v>
      </c>
      <c r="B1139" s="138">
        <f>'Expenditures 15-22'!K71</f>
        <v>0</v>
      </c>
      <c r="C1139" s="2" t="s">
        <v>573</v>
      </c>
      <c r="D1139" s="2" t="str">
        <f t="shared" si="16"/>
        <v>Error?</v>
      </c>
    </row>
    <row r="1140" spans="1:4">
      <c r="A1140" s="10">
        <v>1079</v>
      </c>
      <c r="D1140" s="2" t="str">
        <f t="shared" si="16"/>
        <v>OK</v>
      </c>
    </row>
    <row r="1141" spans="1:4">
      <c r="A1141" s="5">
        <v>1080</v>
      </c>
      <c r="B1141" s="138">
        <f>'Expenditures 15-22'!K72</f>
        <v>1257667</v>
      </c>
      <c r="C1141" s="2" t="s">
        <v>573</v>
      </c>
      <c r="D1141" s="2" t="str">
        <f t="shared" si="16"/>
        <v>Error?</v>
      </c>
    </row>
    <row r="1142" spans="1:4">
      <c r="A1142" s="5">
        <v>1081</v>
      </c>
      <c r="B1142" s="138">
        <f>'Expenditures 15-22'!K73</f>
        <v>0</v>
      </c>
      <c r="C1142" s="2" t="s">
        <v>573</v>
      </c>
      <c r="D1142" s="2" t="str">
        <f t="shared" si="16"/>
        <v>Error?</v>
      </c>
    </row>
    <row r="1143" spans="1:4">
      <c r="A1143" s="5">
        <v>1082</v>
      </c>
      <c r="B1143" s="138">
        <f>'Expenditures 15-22'!K74</f>
        <v>8920806</v>
      </c>
      <c r="C1143" s="2" t="s">
        <v>573</v>
      </c>
      <c r="D1143" s="2" t="str">
        <f t="shared" si="16"/>
        <v>Error?</v>
      </c>
    </row>
    <row r="1144" spans="1:4">
      <c r="A1144" s="5">
        <v>1083</v>
      </c>
      <c r="B1144" s="138">
        <f>'Expenditures 15-22'!K75</f>
        <v>82967</v>
      </c>
      <c r="C1144" s="2" t="s">
        <v>573</v>
      </c>
      <c r="D1144" s="2" t="str">
        <f t="shared" si="16"/>
        <v>Error?</v>
      </c>
    </row>
    <row r="1145" spans="1:4">
      <c r="A1145" s="5">
        <v>1084</v>
      </c>
      <c r="B1145" s="138">
        <f>'Expenditures 15-22'!K102</f>
        <v>1424958</v>
      </c>
      <c r="C1145" s="2" t="s">
        <v>573</v>
      </c>
      <c r="D1145" s="2" t="str">
        <f t="shared" si="16"/>
        <v>Error?</v>
      </c>
    </row>
    <row r="1146" spans="1:4">
      <c r="A1146" s="5">
        <v>1085</v>
      </c>
      <c r="B1146" s="138">
        <f>'Expenditures 15-22'!K105</f>
        <v>0</v>
      </c>
      <c r="C1146" s="2" t="s">
        <v>573</v>
      </c>
      <c r="D1146" s="2" t="str">
        <f t="shared" si="16"/>
        <v>Error?</v>
      </c>
    </row>
    <row r="1147" spans="1:4">
      <c r="A1147" s="5">
        <v>1086</v>
      </c>
      <c r="B1147" s="138">
        <f>'Expenditures 15-22'!K106</f>
        <v>0</v>
      </c>
      <c r="C1147" s="2" t="s">
        <v>573</v>
      </c>
      <c r="D1147" s="2" t="str">
        <f t="shared" si="16"/>
        <v>Error?</v>
      </c>
    </row>
    <row r="1148" spans="1:4">
      <c r="A1148" s="10">
        <v>1087</v>
      </c>
      <c r="C1148" s="2" t="s">
        <v>573</v>
      </c>
      <c r="D1148" s="2" t="str">
        <f t="shared" si="16"/>
        <v>OK</v>
      </c>
    </row>
    <row r="1149" spans="1:4">
      <c r="A1149" s="5">
        <v>1088</v>
      </c>
      <c r="B1149" s="138">
        <f>'Expenditures 15-22'!K109</f>
        <v>37571</v>
      </c>
      <c r="C1149" s="2" t="s">
        <v>573</v>
      </c>
      <c r="D1149" s="2" t="str">
        <f t="shared" si="16"/>
        <v>Error?</v>
      </c>
    </row>
    <row r="1150" spans="1:4">
      <c r="A1150" s="10">
        <v>1089</v>
      </c>
      <c r="D1150" s="2" t="str">
        <f t="shared" si="16"/>
        <v>OK</v>
      </c>
    </row>
    <row r="1151" spans="1:4">
      <c r="A1151" s="5">
        <v>1090</v>
      </c>
      <c r="B1151" s="138">
        <f>'Expenditures 15-22'!K110</f>
        <v>37571</v>
      </c>
      <c r="C1151" s="2" t="s">
        <v>573</v>
      </c>
      <c r="D1151" s="2" t="str">
        <f t="shared" ref="D1151:D1214" si="17">IF(ISBLANK(B1151),"OK",IF(A1151-B1151=0,"OK","Error?"))</f>
        <v>Error?</v>
      </c>
    </row>
    <row r="1152" spans="1:4">
      <c r="A1152" s="5">
        <v>1091</v>
      </c>
      <c r="B1152" s="138">
        <f>'Expenditures 15-22'!K114</f>
        <v>26010227</v>
      </c>
      <c r="C1152" s="2" t="s">
        <v>573</v>
      </c>
      <c r="D1152" s="2" t="str">
        <f t="shared" si="17"/>
        <v>Error?</v>
      </c>
    </row>
    <row r="1153" spans="1:4">
      <c r="A1153" s="5">
        <v>1092</v>
      </c>
      <c r="B1153" s="138">
        <f>'Expenditures 15-22'!K115</f>
        <v>1366082</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1201827</v>
      </c>
      <c r="D1221" s="2" t="str">
        <f t="shared" si="18"/>
        <v>Error?</v>
      </c>
    </row>
    <row r="1222" spans="1:4">
      <c r="A1222" s="10">
        <v>1161</v>
      </c>
      <c r="D1222" s="2" t="str">
        <f t="shared" si="18"/>
        <v>OK</v>
      </c>
    </row>
    <row r="1223" spans="1:4">
      <c r="A1223" s="5">
        <v>1162</v>
      </c>
      <c r="B1223" s="138">
        <f>'Expenditures 15-22'!C127</f>
        <v>1201827</v>
      </c>
      <c r="C1223" s="2" t="s">
        <v>573</v>
      </c>
      <c r="D1223" s="2" t="str">
        <f t="shared" si="18"/>
        <v>Error?</v>
      </c>
    </row>
    <row r="1224" spans="1:4">
      <c r="A1224" s="5">
        <v>1163</v>
      </c>
      <c r="B1224" s="138">
        <f>'Expenditures 15-22'!C128</f>
        <v>0</v>
      </c>
      <c r="D1224" s="2" t="str">
        <f t="shared" si="18"/>
        <v>Error?</v>
      </c>
    </row>
    <row r="1225" spans="1:4">
      <c r="A1225" s="5">
        <v>1164</v>
      </c>
      <c r="B1225" s="138">
        <f>'Expenditures 15-22'!C129</f>
        <v>1201827</v>
      </c>
      <c r="C1225" s="2" t="s">
        <v>573</v>
      </c>
      <c r="D1225" s="2" t="str">
        <f t="shared" si="18"/>
        <v>Error?</v>
      </c>
    </row>
    <row r="1226" spans="1:4">
      <c r="A1226" s="5">
        <v>1165</v>
      </c>
      <c r="B1226" s="138">
        <f>'Expenditures 15-22'!C151</f>
        <v>1201827</v>
      </c>
      <c r="C1226" s="2" t="s">
        <v>573</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143155</v>
      </c>
      <c r="D1229" s="2" t="str">
        <f t="shared" si="18"/>
        <v>Error?</v>
      </c>
    </row>
    <row r="1230" spans="1:4">
      <c r="A1230" s="10">
        <v>1169</v>
      </c>
      <c r="D1230" s="2" t="str">
        <f t="shared" si="18"/>
        <v>OK</v>
      </c>
    </row>
    <row r="1231" spans="1:4">
      <c r="A1231" s="5">
        <v>1170</v>
      </c>
      <c r="B1231" s="138">
        <f>'Expenditures 15-22'!D127</f>
        <v>143155</v>
      </c>
      <c r="C1231" s="2" t="s">
        <v>573</v>
      </c>
      <c r="D1231" s="2" t="str">
        <f t="shared" si="18"/>
        <v>Error?</v>
      </c>
    </row>
    <row r="1232" spans="1:4">
      <c r="A1232" s="5">
        <v>1171</v>
      </c>
      <c r="B1232" s="138">
        <f>'Expenditures 15-22'!D128</f>
        <v>0</v>
      </c>
      <c r="D1232" s="2" t="str">
        <f t="shared" si="18"/>
        <v>Error?</v>
      </c>
    </row>
    <row r="1233" spans="1:4">
      <c r="A1233" s="5">
        <v>1172</v>
      </c>
      <c r="B1233" s="138">
        <f>'Expenditures 15-22'!D129</f>
        <v>143155</v>
      </c>
      <c r="C1233" s="2" t="s">
        <v>573</v>
      </c>
      <c r="D1233" s="2" t="str">
        <f t="shared" si="18"/>
        <v>Error?</v>
      </c>
    </row>
    <row r="1234" spans="1:4">
      <c r="A1234" s="5">
        <v>1173</v>
      </c>
      <c r="B1234" s="138">
        <f>'Expenditures 15-22'!D151</f>
        <v>143155</v>
      </c>
      <c r="C1234" s="2" t="s">
        <v>573</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290020</v>
      </c>
      <c r="D1237" s="2" t="str">
        <f t="shared" si="18"/>
        <v>Error?</v>
      </c>
    </row>
    <row r="1238" spans="1:4">
      <c r="A1238" s="10">
        <v>1177</v>
      </c>
      <c r="D1238" s="2" t="str">
        <f t="shared" si="18"/>
        <v>OK</v>
      </c>
    </row>
    <row r="1239" spans="1:4">
      <c r="A1239" s="5">
        <v>1178</v>
      </c>
      <c r="B1239" s="138">
        <f>'Expenditures 15-22'!E127</f>
        <v>290020</v>
      </c>
      <c r="C1239" s="2" t="s">
        <v>573</v>
      </c>
      <c r="D1239" s="2" t="str">
        <f t="shared" si="18"/>
        <v>Error?</v>
      </c>
    </row>
    <row r="1240" spans="1:4">
      <c r="A1240" s="5">
        <v>1179</v>
      </c>
      <c r="B1240" s="138">
        <f>'Expenditures 15-22'!E128</f>
        <v>0</v>
      </c>
      <c r="D1240" s="2" t="str">
        <f t="shared" si="18"/>
        <v>Error?</v>
      </c>
    </row>
    <row r="1241" spans="1:4">
      <c r="A1241" s="5">
        <v>1180</v>
      </c>
      <c r="B1241" s="138">
        <f>'Expenditures 15-22'!E129</f>
        <v>290020</v>
      </c>
      <c r="C1241" s="2" t="s">
        <v>573</v>
      </c>
      <c r="D1241" s="2" t="str">
        <f t="shared" si="18"/>
        <v>Error?</v>
      </c>
    </row>
    <row r="1242" spans="1:4">
      <c r="A1242" s="5">
        <v>1181</v>
      </c>
      <c r="B1242" s="138">
        <f>'Expenditures 15-22'!E151</f>
        <v>290020</v>
      </c>
      <c r="C1242" s="2" t="s">
        <v>573</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497583</v>
      </c>
      <c r="D1245" s="2" t="str">
        <f t="shared" si="18"/>
        <v>Error?</v>
      </c>
    </row>
    <row r="1246" spans="1:4">
      <c r="A1246" s="10">
        <v>1185</v>
      </c>
      <c r="D1246" s="2" t="str">
        <f t="shared" si="18"/>
        <v>OK</v>
      </c>
    </row>
    <row r="1247" spans="1:4">
      <c r="A1247" s="5">
        <v>1186</v>
      </c>
      <c r="B1247" s="138">
        <f>'Expenditures 15-22'!F127</f>
        <v>497583</v>
      </c>
      <c r="C1247" s="2" t="s">
        <v>573</v>
      </c>
      <c r="D1247" s="2" t="str">
        <f t="shared" si="18"/>
        <v>Error?</v>
      </c>
    </row>
    <row r="1248" spans="1:4">
      <c r="A1248" s="5">
        <v>1187</v>
      </c>
      <c r="B1248" s="138">
        <f>'Expenditures 15-22'!F128</f>
        <v>0</v>
      </c>
      <c r="D1248" s="2" t="str">
        <f t="shared" si="18"/>
        <v>Error?</v>
      </c>
    </row>
    <row r="1249" spans="1:4">
      <c r="A1249" s="5">
        <v>1188</v>
      </c>
      <c r="B1249" s="138">
        <f>'Expenditures 15-22'!F129</f>
        <v>497583</v>
      </c>
      <c r="C1249" s="2" t="s">
        <v>573</v>
      </c>
      <c r="D1249" s="2" t="str">
        <f t="shared" si="18"/>
        <v>Error?</v>
      </c>
    </row>
    <row r="1250" spans="1:4">
      <c r="A1250" s="5">
        <v>1189</v>
      </c>
      <c r="B1250" s="138">
        <f>'Expenditures 15-22'!F151</f>
        <v>497583</v>
      </c>
      <c r="C1250" s="2" t="s">
        <v>573</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33742</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33742</v>
      </c>
      <c r="C1256" s="2" t="s">
        <v>573</v>
      </c>
      <c r="D1256" s="2" t="str">
        <f t="shared" si="18"/>
        <v>Error?</v>
      </c>
    </row>
    <row r="1257" spans="1:4">
      <c r="A1257" s="5">
        <v>1196</v>
      </c>
      <c r="B1257" s="138">
        <f>'Expenditures 15-22'!G128</f>
        <v>0</v>
      </c>
      <c r="D1257" s="2" t="str">
        <f t="shared" si="18"/>
        <v>Error?</v>
      </c>
    </row>
    <row r="1258" spans="1:4">
      <c r="A1258" s="5">
        <v>1197</v>
      </c>
      <c r="B1258" s="138">
        <f>'Expenditures 15-22'!G129</f>
        <v>33742</v>
      </c>
      <c r="C1258" s="2" t="s">
        <v>573</v>
      </c>
      <c r="D1258" s="2" t="str">
        <f t="shared" si="18"/>
        <v>Error?</v>
      </c>
    </row>
    <row r="1259" spans="1:4">
      <c r="A1259" s="5">
        <v>1198</v>
      </c>
      <c r="B1259" s="138">
        <f>'Expenditures 15-22'!G151</f>
        <v>33742</v>
      </c>
      <c r="C1259" s="2" t="s">
        <v>573</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573</v>
      </c>
      <c r="D1264" s="2" t="str">
        <f t="shared" si="18"/>
        <v>Error?</v>
      </c>
    </row>
    <row r="1265" spans="1:4">
      <c r="A1265" s="5">
        <v>1204</v>
      </c>
      <c r="B1265" s="138">
        <f>'Expenditures 15-22'!H128</f>
        <v>0</v>
      </c>
      <c r="D1265" s="2" t="str">
        <f t="shared" si="18"/>
        <v>Error?</v>
      </c>
    </row>
    <row r="1266" spans="1:4">
      <c r="A1266" s="5">
        <v>1205</v>
      </c>
      <c r="B1266" s="138">
        <f>'Expenditures 15-22'!H129</f>
        <v>0</v>
      </c>
      <c r="C1266" s="2" t="s">
        <v>573</v>
      </c>
      <c r="D1266" s="2" t="str">
        <f t="shared" si="18"/>
        <v>Error?</v>
      </c>
    </row>
    <row r="1267" spans="1:4">
      <c r="A1267" s="5">
        <v>1206</v>
      </c>
      <c r="B1267" s="138">
        <f>'Expenditures 15-22'!H139</f>
        <v>0</v>
      </c>
      <c r="C1267" s="2" t="s">
        <v>573</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573</v>
      </c>
      <c r="D1272" s="2" t="str">
        <f t="shared" si="18"/>
        <v>Error?</v>
      </c>
    </row>
    <row r="1273" spans="1:4">
      <c r="A1273" s="5">
        <v>1212</v>
      </c>
      <c r="B1273" s="138">
        <f>'Expenditures 15-22'!H151</f>
        <v>0</v>
      </c>
      <c r="C1273" s="2" t="s">
        <v>573</v>
      </c>
      <c r="D1273" s="2" t="str">
        <f t="shared" si="18"/>
        <v>Error?</v>
      </c>
    </row>
    <row r="1274" spans="1:4">
      <c r="A1274" s="5">
        <v>1213</v>
      </c>
      <c r="B1274" s="138">
        <f>'Expenditures 15-22'!K122</f>
        <v>0</v>
      </c>
      <c r="C1274" s="2" t="s">
        <v>573</v>
      </c>
      <c r="D1274" s="2" t="str">
        <f t="shared" si="18"/>
        <v>Error?</v>
      </c>
    </row>
    <row r="1275" spans="1:4">
      <c r="A1275" s="5">
        <v>1214</v>
      </c>
      <c r="B1275" s="138">
        <f>'Expenditures 15-22'!K123</f>
        <v>0</v>
      </c>
      <c r="C1275" s="2" t="s">
        <v>573</v>
      </c>
      <c r="D1275" s="2" t="str">
        <f t="shared" si="18"/>
        <v>Error?</v>
      </c>
    </row>
    <row r="1276" spans="1:4">
      <c r="A1276" s="5">
        <v>1215</v>
      </c>
      <c r="B1276" s="138">
        <f>'Expenditures 15-22'!K124</f>
        <v>2166327</v>
      </c>
      <c r="C1276" s="2" t="s">
        <v>573</v>
      </c>
      <c r="D1276" s="2" t="str">
        <f t="shared" si="18"/>
        <v>Error?</v>
      </c>
    </row>
    <row r="1277" spans="1:4">
      <c r="A1277" s="5">
        <v>1216</v>
      </c>
      <c r="B1277" s="138">
        <f>'Expenditures 15-22'!K126</f>
        <v>0</v>
      </c>
      <c r="C1277" s="2" t="s">
        <v>573</v>
      </c>
      <c r="D1277" s="2" t="str">
        <f t="shared" si="18"/>
        <v>Error?</v>
      </c>
    </row>
    <row r="1278" spans="1:4">
      <c r="A1278" s="10">
        <v>1217</v>
      </c>
      <c r="D1278" s="2" t="str">
        <f t="shared" si="18"/>
        <v>OK</v>
      </c>
    </row>
    <row r="1279" spans="1:4">
      <c r="A1279" s="5">
        <v>1218</v>
      </c>
      <c r="B1279" s="138">
        <f>'Expenditures 15-22'!K127</f>
        <v>2166327</v>
      </c>
      <c r="C1279" s="2" t="s">
        <v>573</v>
      </c>
      <c r="D1279" s="2" t="str">
        <f t="shared" ref="D1279:D1342" si="19">IF(ISBLANK(B1279),"OK",IF(A1279-B1279=0,"OK","Error?"))</f>
        <v>Error?</v>
      </c>
    </row>
    <row r="1280" spans="1:4">
      <c r="A1280" s="5">
        <v>1219</v>
      </c>
      <c r="B1280" s="138">
        <f>'Expenditures 15-22'!K128</f>
        <v>0</v>
      </c>
      <c r="C1280" s="2" t="s">
        <v>573</v>
      </c>
      <c r="D1280" s="2" t="str">
        <f t="shared" si="19"/>
        <v>Error?</v>
      </c>
    </row>
    <row r="1281" spans="1:4">
      <c r="A1281" s="5">
        <v>1220</v>
      </c>
      <c r="B1281" s="138">
        <f>'Expenditures 15-22'!K129</f>
        <v>2166327</v>
      </c>
      <c r="C1281" s="2" t="s">
        <v>573</v>
      </c>
      <c r="D1281" s="2" t="str">
        <f t="shared" si="19"/>
        <v>Error?</v>
      </c>
    </row>
    <row r="1282" spans="1:4">
      <c r="A1282" s="5">
        <v>1221</v>
      </c>
      <c r="B1282" s="138">
        <f>'Expenditures 15-22'!K139</f>
        <v>0</v>
      </c>
      <c r="C1282" s="2" t="s">
        <v>573</v>
      </c>
      <c r="D1282" s="2" t="str">
        <f t="shared" si="19"/>
        <v>Error?</v>
      </c>
    </row>
    <row r="1283" spans="1:4">
      <c r="A1283" s="5">
        <v>1222</v>
      </c>
      <c r="B1283" s="138">
        <f>'Expenditures 15-22'!K142</f>
        <v>0</v>
      </c>
      <c r="C1283" s="2" t="s">
        <v>573</v>
      </c>
      <c r="D1283" s="2" t="str">
        <f t="shared" si="19"/>
        <v>Error?</v>
      </c>
    </row>
    <row r="1284" spans="1:4">
      <c r="A1284" s="5">
        <v>1223</v>
      </c>
      <c r="B1284" s="138">
        <f>'Expenditures 15-22'!K143</f>
        <v>0</v>
      </c>
      <c r="C1284" s="2" t="s">
        <v>573</v>
      </c>
      <c r="D1284" s="2" t="str">
        <f t="shared" si="19"/>
        <v>Error?</v>
      </c>
    </row>
    <row r="1285" spans="1:4">
      <c r="A1285" s="5">
        <v>1224</v>
      </c>
      <c r="B1285" s="138">
        <f>'Expenditures 15-22'!K146</f>
        <v>0</v>
      </c>
      <c r="C1285" s="2" t="s">
        <v>573</v>
      </c>
      <c r="D1285" s="2" t="str">
        <f t="shared" si="19"/>
        <v>Error?</v>
      </c>
    </row>
    <row r="1286" spans="1:4">
      <c r="A1286" s="10">
        <v>1225</v>
      </c>
      <c r="D1286" s="2" t="str">
        <f t="shared" si="19"/>
        <v>OK</v>
      </c>
    </row>
    <row r="1287" spans="1:4">
      <c r="A1287" s="12">
        <v>1226</v>
      </c>
      <c r="B1287" s="138">
        <f>'Expenditures 15-22'!K149</f>
        <v>0</v>
      </c>
      <c r="C1287" s="2" t="s">
        <v>573</v>
      </c>
      <c r="D1287" s="2" t="str">
        <f t="shared" si="19"/>
        <v>Error?</v>
      </c>
    </row>
    <row r="1288" spans="1:4">
      <c r="A1288" s="5">
        <v>1227</v>
      </c>
      <c r="B1288" s="138">
        <f>'Expenditures 15-22'!K151</f>
        <v>2166327</v>
      </c>
      <c r="C1288" s="2" t="s">
        <v>573</v>
      </c>
      <c r="D1288" s="2" t="str">
        <f t="shared" si="19"/>
        <v>Error?</v>
      </c>
    </row>
    <row r="1289" spans="1:4">
      <c r="A1289" s="5">
        <v>1228</v>
      </c>
      <c r="B1289" s="138">
        <f>'Expenditures 15-22'!K152</f>
        <v>-244922</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573</v>
      </c>
      <c r="D1308" s="2" t="str">
        <f t="shared" si="19"/>
        <v>Error?</v>
      </c>
    </row>
    <row r="1309" spans="1:4">
      <c r="A1309" s="5">
        <v>1248</v>
      </c>
      <c r="B1309" s="138">
        <f>'Expenditures 15-22'!E174</f>
        <v>0</v>
      </c>
      <c r="C1309" s="2" t="s">
        <v>573</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1033062</v>
      </c>
      <c r="D1312" s="2" t="str">
        <f t="shared" si="19"/>
        <v>Error?</v>
      </c>
    </row>
    <row r="1313" spans="1:4">
      <c r="A1313" s="5">
        <v>1252</v>
      </c>
      <c r="B1313" s="138">
        <f>'Expenditures 15-22'!H167</f>
        <v>0</v>
      </c>
      <c r="D1313" s="2" t="str">
        <f t="shared" si="19"/>
        <v>Error?</v>
      </c>
    </row>
    <row r="1314" spans="1:4">
      <c r="A1314" s="5">
        <v>1253</v>
      </c>
      <c r="B1314" s="138">
        <f>'Expenditures 15-22'!H168</f>
        <v>0</v>
      </c>
      <c r="C1314" s="2" t="s">
        <v>573</v>
      </c>
      <c r="D1314" s="2" t="str">
        <f t="shared" si="19"/>
        <v>Error?</v>
      </c>
    </row>
    <row r="1315" spans="1:4">
      <c r="A1315" s="5">
        <v>1254</v>
      </c>
      <c r="B1315" s="138">
        <f>'Expenditures 15-22'!H170</f>
        <v>2255000</v>
      </c>
      <c r="D1315" s="2" t="str">
        <f t="shared" si="19"/>
        <v>Error?</v>
      </c>
    </row>
    <row r="1316" spans="1:4">
      <c r="A1316" s="5">
        <v>1255</v>
      </c>
      <c r="B1316" s="138">
        <f>'Expenditures 15-22'!H171</f>
        <v>1900</v>
      </c>
      <c r="D1316" s="2" t="str">
        <f t="shared" si="19"/>
        <v>Error?</v>
      </c>
    </row>
    <row r="1317" spans="1:4">
      <c r="A1317" s="5">
        <v>1256</v>
      </c>
      <c r="B1317" s="138">
        <f>'Expenditures 15-22'!H172</f>
        <v>3289962</v>
      </c>
      <c r="C1317" s="2" t="s">
        <v>573</v>
      </c>
      <c r="D1317" s="2" t="str">
        <f t="shared" si="19"/>
        <v>Error?</v>
      </c>
    </row>
    <row r="1318" spans="1:4">
      <c r="A1318" s="5">
        <v>1257</v>
      </c>
      <c r="B1318" s="138">
        <f>'Expenditures 15-22'!H174</f>
        <v>3289962</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8">
        <f>'Expenditures 15-22'!K155</f>
        <v>0</v>
      </c>
      <c r="C1323" s="2" t="s">
        <v>573</v>
      </c>
      <c r="D1323" s="2" t="str">
        <f t="shared" si="19"/>
        <v>Error?</v>
      </c>
    </row>
    <row r="1324" spans="1:4">
      <c r="A1324" s="5">
        <v>1263</v>
      </c>
      <c r="B1324" s="138">
        <f>'Expenditures 15-22'!K163</f>
        <v>0</v>
      </c>
      <c r="C1324" s="2" t="s">
        <v>573</v>
      </c>
      <c r="D1324" s="2" t="str">
        <f t="shared" si="19"/>
        <v>Error?</v>
      </c>
    </row>
    <row r="1325" spans="1:4">
      <c r="A1325" s="5">
        <v>1264</v>
      </c>
      <c r="B1325" s="138">
        <f>'Expenditures 15-22'!K164</f>
        <v>0</v>
      </c>
      <c r="C1325" s="2" t="s">
        <v>573</v>
      </c>
      <c r="D1325" s="2" t="str">
        <f t="shared" si="19"/>
        <v>Error?</v>
      </c>
    </row>
    <row r="1326" spans="1:4">
      <c r="A1326" s="5">
        <v>1265</v>
      </c>
      <c r="B1326" s="138">
        <f>'Expenditures 15-22'!K169</f>
        <v>1033062</v>
      </c>
      <c r="C1326" s="2" t="s">
        <v>573</v>
      </c>
      <c r="D1326" s="2" t="str">
        <f t="shared" si="19"/>
        <v>Error?</v>
      </c>
    </row>
    <row r="1327" spans="1:4">
      <c r="A1327" s="5">
        <v>1266</v>
      </c>
      <c r="B1327" s="138">
        <f>'Expenditures 15-22'!K167</f>
        <v>0</v>
      </c>
      <c r="C1327" s="2" t="s">
        <v>573</v>
      </c>
      <c r="D1327" s="2" t="str">
        <f t="shared" si="19"/>
        <v>Error?</v>
      </c>
    </row>
    <row r="1328" spans="1:4">
      <c r="A1328" s="5">
        <v>1267</v>
      </c>
      <c r="B1328" s="138">
        <f>'Expenditures 15-22'!K168</f>
        <v>0</v>
      </c>
      <c r="C1328" s="2" t="s">
        <v>573</v>
      </c>
      <c r="D1328" s="2" t="str">
        <f t="shared" si="19"/>
        <v>Error?</v>
      </c>
    </row>
    <row r="1329" spans="1:4">
      <c r="A1329" s="5">
        <v>1268</v>
      </c>
      <c r="B1329" s="138">
        <f>'Expenditures 15-22'!K170</f>
        <v>2255000</v>
      </c>
      <c r="C1329" s="2" t="s">
        <v>573</v>
      </c>
      <c r="D1329" s="2" t="str">
        <f t="shared" si="19"/>
        <v>Error?</v>
      </c>
    </row>
    <row r="1330" spans="1:4">
      <c r="A1330" s="5">
        <v>1269</v>
      </c>
      <c r="B1330" s="138">
        <f>'Expenditures 15-22'!K171</f>
        <v>1900</v>
      </c>
      <c r="C1330" s="2" t="s">
        <v>573</v>
      </c>
      <c r="D1330" s="2" t="str">
        <f t="shared" si="19"/>
        <v>Error?</v>
      </c>
    </row>
    <row r="1331" spans="1:4">
      <c r="A1331" s="5">
        <v>1270</v>
      </c>
      <c r="B1331" s="138">
        <f>'Expenditures 15-22'!K172</f>
        <v>3289962</v>
      </c>
      <c r="C1331" s="2" t="s">
        <v>573</v>
      </c>
      <c r="D1331" s="2" t="str">
        <f t="shared" si="19"/>
        <v>Error?</v>
      </c>
    </row>
    <row r="1332" spans="1:4">
      <c r="A1332" s="5">
        <v>1271</v>
      </c>
      <c r="B1332" s="138">
        <f>'Expenditures 15-22'!K174</f>
        <v>3289962</v>
      </c>
      <c r="C1332" s="2" t="s">
        <v>573</v>
      </c>
      <c r="D1332" s="2" t="str">
        <f t="shared" si="19"/>
        <v>Error?</v>
      </c>
    </row>
    <row r="1333" spans="1:4">
      <c r="A1333" s="5">
        <v>1272</v>
      </c>
      <c r="B1333" s="138">
        <f>'Expenditures 15-22'!K175</f>
        <v>125405</v>
      </c>
      <c r="C1333" s="2" t="s">
        <v>573</v>
      </c>
      <c r="D1333" s="2" t="str">
        <f t="shared" si="19"/>
        <v>Error?</v>
      </c>
    </row>
    <row r="1334" spans="1:4">
      <c r="A1334" s="10">
        <v>1273</v>
      </c>
      <c r="D1334" s="2" t="str">
        <f t="shared" si="19"/>
        <v>OK</v>
      </c>
    </row>
    <row r="1335" spans="1:4">
      <c r="A1335" s="5">
        <v>1274</v>
      </c>
      <c r="B1335" s="138">
        <f>'Expenditures 15-22'!C182</f>
        <v>958638</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958638</v>
      </c>
      <c r="C1339" s="2" t="s">
        <v>573</v>
      </c>
      <c r="D1339" s="2" t="str">
        <f t="shared" si="19"/>
        <v>Error?</v>
      </c>
    </row>
    <row r="1340" spans="1:4">
      <c r="A1340" s="5">
        <v>1279</v>
      </c>
      <c r="B1340" s="138">
        <f>'Expenditures 15-22'!C210</f>
        <v>958638</v>
      </c>
      <c r="C1340" s="2" t="s">
        <v>573</v>
      </c>
      <c r="D1340" s="2" t="str">
        <f t="shared" si="19"/>
        <v>Error?</v>
      </c>
    </row>
    <row r="1341" spans="1:4">
      <c r="A1341" s="5">
        <v>1280</v>
      </c>
      <c r="B1341" s="138">
        <f>'Expenditures 15-22'!D182</f>
        <v>77742</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77742</v>
      </c>
      <c r="C1345" s="2" t="s">
        <v>573</v>
      </c>
      <c r="D1345" s="2" t="str">
        <f t="shared" si="20"/>
        <v>Error?</v>
      </c>
    </row>
    <row r="1346" spans="1:4">
      <c r="A1346" s="5">
        <v>1285</v>
      </c>
      <c r="B1346" s="138">
        <f>'Expenditures 15-22'!D210</f>
        <v>77742</v>
      </c>
      <c r="C1346" s="2" t="s">
        <v>573</v>
      </c>
      <c r="D1346" s="2" t="str">
        <f t="shared" si="20"/>
        <v>Error?</v>
      </c>
    </row>
    <row r="1347" spans="1:4">
      <c r="A1347" s="5">
        <v>1286</v>
      </c>
      <c r="B1347" s="138">
        <f>'Expenditures 15-22'!E182</f>
        <v>423931</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423931</v>
      </c>
      <c r="C1351" s="2" t="s">
        <v>573</v>
      </c>
      <c r="D1351" s="2" t="str">
        <f t="shared" si="20"/>
        <v>Error?</v>
      </c>
    </row>
    <row r="1352" spans="1:4">
      <c r="A1352" s="5">
        <v>1291</v>
      </c>
      <c r="B1352" s="138">
        <f>'Expenditures 15-22'!E196</f>
        <v>0</v>
      </c>
      <c r="C1352" s="2" t="s">
        <v>573</v>
      </c>
      <c r="D1352" s="2" t="str">
        <f t="shared" si="20"/>
        <v>Error?</v>
      </c>
    </row>
    <row r="1353" spans="1:4">
      <c r="A1353" s="5">
        <v>1292</v>
      </c>
      <c r="B1353" s="138">
        <f>'Expenditures 15-22'!E210</f>
        <v>423931</v>
      </c>
      <c r="C1353" s="2" t="s">
        <v>573</v>
      </c>
      <c r="D1353" s="2" t="str">
        <f t="shared" si="20"/>
        <v>Error?</v>
      </c>
    </row>
    <row r="1354" spans="1:4">
      <c r="A1354" s="5">
        <v>1293</v>
      </c>
      <c r="B1354" s="138">
        <f>'Expenditures 15-22'!F182</f>
        <v>131200</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131200</v>
      </c>
      <c r="C1358" s="2" t="s">
        <v>573</v>
      </c>
      <c r="D1358" s="2" t="str">
        <f t="shared" si="20"/>
        <v>Error?</v>
      </c>
    </row>
    <row r="1359" spans="1:4">
      <c r="A1359" s="5">
        <v>1298</v>
      </c>
      <c r="B1359" s="138">
        <f>'Expenditures 15-22'!F210</f>
        <v>131200</v>
      </c>
      <c r="C1359" s="2" t="s">
        <v>573</v>
      </c>
      <c r="D1359" s="2" t="str">
        <f t="shared" si="20"/>
        <v>Error?</v>
      </c>
    </row>
    <row r="1360" spans="1:4">
      <c r="A1360" s="5">
        <v>1299</v>
      </c>
      <c r="B1360" s="138">
        <f>'Expenditures 15-22'!G182</f>
        <v>6690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6690</v>
      </c>
      <c r="C1364" s="2" t="s">
        <v>573</v>
      </c>
      <c r="D1364" s="2" t="str">
        <f t="shared" si="20"/>
        <v>Error?</v>
      </c>
    </row>
    <row r="1365" spans="1:4">
      <c r="A1365" s="5">
        <v>1304</v>
      </c>
      <c r="B1365" s="138">
        <f>'Expenditures 15-22'!G210</f>
        <v>6690</v>
      </c>
      <c r="C1365" s="2" t="s">
        <v>573</v>
      </c>
      <c r="D1365" s="2" t="str">
        <f t="shared" si="20"/>
        <v>Error?</v>
      </c>
    </row>
    <row r="1366" spans="1:4">
      <c r="A1366" s="5">
        <v>1305</v>
      </c>
      <c r="B1366" s="138">
        <f>'Expenditures 15-22'!H182</f>
        <v>20053</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20053</v>
      </c>
      <c r="C1370" s="2" t="s">
        <v>573</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573</v>
      </c>
      <c r="D1375" s="2" t="str">
        <f t="shared" si="20"/>
        <v>Error?</v>
      </c>
    </row>
    <row r="1376" spans="1:4">
      <c r="A1376" s="5">
        <v>1315</v>
      </c>
      <c r="B1376" s="138">
        <f>'Expenditures 15-22'!H210</f>
        <v>20053</v>
      </c>
      <c r="C1376" s="2" t="s">
        <v>573</v>
      </c>
      <c r="D1376" s="2" t="str">
        <f t="shared" si="20"/>
        <v>Error?</v>
      </c>
    </row>
    <row r="1377" spans="1:4">
      <c r="A1377" s="5">
        <v>1316</v>
      </c>
      <c r="B1377" s="138">
        <f>'Expenditures 15-22'!K182</f>
        <v>1618254</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573</v>
      </c>
      <c r="D1380" s="2" t="str">
        <f t="shared" si="20"/>
        <v>Error?</v>
      </c>
    </row>
    <row r="1381" spans="1:4">
      <c r="A1381" s="5">
        <v>1320</v>
      </c>
      <c r="B1381" s="138">
        <f>'Expenditures 15-22'!K184</f>
        <v>1618254</v>
      </c>
      <c r="C1381" s="2" t="s">
        <v>573</v>
      </c>
      <c r="D1381" s="2" t="str">
        <f t="shared" si="20"/>
        <v>Error?</v>
      </c>
    </row>
    <row r="1382" spans="1:4">
      <c r="A1382" s="5">
        <v>1321</v>
      </c>
      <c r="B1382" s="138">
        <f>'Expenditures 15-22'!K196</f>
        <v>0</v>
      </c>
      <c r="C1382" s="2" t="s">
        <v>573</v>
      </c>
      <c r="D1382" s="2" t="str">
        <f t="shared" si="20"/>
        <v>Error?</v>
      </c>
    </row>
    <row r="1383" spans="1:4">
      <c r="A1383" s="5">
        <v>1322</v>
      </c>
      <c r="B1383" s="138">
        <f>'Expenditures 15-22'!K199</f>
        <v>0</v>
      </c>
      <c r="C1383" s="2" t="s">
        <v>573</v>
      </c>
      <c r="D1383" s="2" t="str">
        <f t="shared" si="20"/>
        <v>Error?</v>
      </c>
    </row>
    <row r="1384" spans="1:4">
      <c r="A1384" s="5">
        <v>1323</v>
      </c>
      <c r="B1384" s="138">
        <f>'Expenditures 15-22'!K200</f>
        <v>0</v>
      </c>
      <c r="C1384" s="2" t="s">
        <v>573</v>
      </c>
      <c r="D1384" s="2" t="str">
        <f t="shared" si="20"/>
        <v>Error?</v>
      </c>
    </row>
    <row r="1385" spans="1:4">
      <c r="A1385" s="5">
        <v>1324</v>
      </c>
      <c r="B1385" s="138">
        <f>'Expenditures 15-22'!K203</f>
        <v>0</v>
      </c>
      <c r="C1385" s="2" t="s">
        <v>573</v>
      </c>
      <c r="D1385" s="2" t="str">
        <f t="shared" si="20"/>
        <v>Error?</v>
      </c>
    </row>
    <row r="1386" spans="1:4">
      <c r="A1386" s="10">
        <v>1325</v>
      </c>
      <c r="D1386" s="2" t="str">
        <f t="shared" si="20"/>
        <v>OK</v>
      </c>
    </row>
    <row r="1387" spans="1:4">
      <c r="A1387" s="5">
        <v>1326</v>
      </c>
      <c r="B1387" s="138">
        <f>'Expenditures 15-22'!K208</f>
        <v>0</v>
      </c>
      <c r="C1387" s="2" t="s">
        <v>573</v>
      </c>
      <c r="D1387" s="2" t="str">
        <f t="shared" si="20"/>
        <v>Error?</v>
      </c>
    </row>
    <row r="1388" spans="1:4">
      <c r="A1388" s="5">
        <v>1327</v>
      </c>
      <c r="B1388" s="138">
        <f>'Expenditures 15-22'!K210</f>
        <v>1618254</v>
      </c>
      <c r="C1388" s="2" t="s">
        <v>573</v>
      </c>
      <c r="D1388" s="2" t="str">
        <f t="shared" si="20"/>
        <v>Error?</v>
      </c>
    </row>
    <row r="1389" spans="1:4">
      <c r="A1389" s="5">
        <v>1328</v>
      </c>
      <c r="B1389" s="138">
        <f>'Expenditures 15-22'!K211</f>
        <v>-187455</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26899</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4823</v>
      </c>
      <c r="D1408" s="2" t="str">
        <f t="shared" si="21"/>
        <v>Error?</v>
      </c>
    </row>
    <row r="1409" spans="1:4">
      <c r="A1409" s="5">
        <v>1348</v>
      </c>
      <c r="B1409" s="138">
        <f>'Expenditures 15-22'!D224</f>
        <v>0</v>
      </c>
      <c r="D1409" s="2" t="str">
        <f t="shared" si="21"/>
        <v>Error?</v>
      </c>
    </row>
    <row r="1410" spans="1:4">
      <c r="A1410" s="5">
        <v>1349</v>
      </c>
      <c r="B1410" s="138">
        <f>'Expenditures 15-22'!D229</f>
        <v>387237</v>
      </c>
      <c r="C1410" s="2" t="s">
        <v>573</v>
      </c>
      <c r="D1410" s="2" t="str">
        <f t="shared" si="21"/>
        <v>Error?</v>
      </c>
    </row>
    <row r="1411" spans="1:4">
      <c r="A1411" s="5">
        <v>1350</v>
      </c>
      <c r="B1411" s="138">
        <f>'Expenditures 15-22'!D232</f>
        <v>3317</v>
      </c>
      <c r="D1411" s="2" t="str">
        <f t="shared" si="21"/>
        <v>Error?</v>
      </c>
    </row>
    <row r="1412" spans="1:4">
      <c r="A1412" s="5">
        <v>1351</v>
      </c>
      <c r="B1412" s="138">
        <f>'Expenditures 15-22'!D233</f>
        <v>7459</v>
      </c>
      <c r="D1412" s="2" t="str">
        <f t="shared" si="21"/>
        <v>Error?</v>
      </c>
    </row>
    <row r="1413" spans="1:4">
      <c r="A1413" s="5">
        <v>1352</v>
      </c>
      <c r="B1413" s="138">
        <f>'Expenditures 15-22'!D234</f>
        <v>16452</v>
      </c>
      <c r="D1413" s="2" t="str">
        <f t="shared" si="21"/>
        <v>Error?</v>
      </c>
    </row>
    <row r="1414" spans="1:4">
      <c r="A1414" s="5">
        <v>1353</v>
      </c>
      <c r="B1414" s="138">
        <f>'Expenditures 15-22'!D235</f>
        <v>1363</v>
      </c>
      <c r="D1414" s="2" t="str">
        <f t="shared" si="21"/>
        <v>Error?</v>
      </c>
    </row>
    <row r="1415" spans="1:4">
      <c r="A1415" s="5">
        <v>1354</v>
      </c>
      <c r="B1415" s="138">
        <f>'Expenditures 15-22'!D236</f>
        <v>5167</v>
      </c>
      <c r="D1415" s="2" t="str">
        <f t="shared" si="21"/>
        <v>Error?</v>
      </c>
    </row>
    <row r="1416" spans="1:4">
      <c r="A1416" s="5">
        <v>1355</v>
      </c>
      <c r="B1416" s="138">
        <f>'Expenditures 15-22'!D237</f>
        <v>27032</v>
      </c>
      <c r="D1416" s="2" t="str">
        <f t="shared" si="21"/>
        <v>Error?</v>
      </c>
    </row>
    <row r="1417" spans="1:4">
      <c r="A1417" s="5">
        <v>1356</v>
      </c>
      <c r="B1417" s="138">
        <f>'Expenditures 15-22'!D238</f>
        <v>60790</v>
      </c>
      <c r="C1417" s="2" t="s">
        <v>573</v>
      </c>
      <c r="D1417" s="2" t="str">
        <f t="shared" si="21"/>
        <v>Error?</v>
      </c>
    </row>
    <row r="1418" spans="1:4">
      <c r="A1418" s="5">
        <v>1357</v>
      </c>
      <c r="B1418" s="138">
        <f>'Expenditures 15-22'!D240</f>
        <v>6923</v>
      </c>
      <c r="D1418" s="2" t="str">
        <f t="shared" si="21"/>
        <v>Error?</v>
      </c>
    </row>
    <row r="1419" spans="1:4">
      <c r="A1419" s="5">
        <v>1358</v>
      </c>
      <c r="B1419" s="138">
        <f>'Expenditures 15-22'!D241</f>
        <v>4332</v>
      </c>
      <c r="D1419" s="2" t="str">
        <f t="shared" si="21"/>
        <v>Error?</v>
      </c>
    </row>
    <row r="1420" spans="1:4">
      <c r="A1420" s="5">
        <v>1359</v>
      </c>
      <c r="B1420" s="138">
        <f>'Expenditures 15-22'!D242</f>
        <v>696</v>
      </c>
      <c r="D1420" s="2" t="str">
        <f t="shared" si="21"/>
        <v>Error?</v>
      </c>
    </row>
    <row r="1421" spans="1:4">
      <c r="A1421" s="5">
        <v>1360</v>
      </c>
      <c r="B1421" s="138">
        <f>'Expenditures 15-22'!D243</f>
        <v>11951</v>
      </c>
      <c r="C1421" s="2" t="s">
        <v>573</v>
      </c>
      <c r="D1421" s="2" t="str">
        <f t="shared" si="21"/>
        <v>Error?</v>
      </c>
    </row>
    <row r="1422" spans="1:4">
      <c r="A1422" s="5">
        <v>1361</v>
      </c>
      <c r="B1422" s="138">
        <f>'Expenditures 15-22'!D245</f>
        <v>13849</v>
      </c>
      <c r="D1422" s="2" t="str">
        <f t="shared" si="21"/>
        <v>Error?</v>
      </c>
    </row>
    <row r="1423" spans="1:4">
      <c r="A1423" s="5">
        <v>1362</v>
      </c>
      <c r="B1423" s="138">
        <f>'Expenditures 15-22'!D246</f>
        <v>2458</v>
      </c>
      <c r="D1423" s="2" t="str">
        <f t="shared" si="21"/>
        <v>Error?</v>
      </c>
    </row>
    <row r="1424" spans="1:4">
      <c r="A1424" s="5">
        <v>1363</v>
      </c>
      <c r="B1424" s="138">
        <f>'Expenditures 15-22'!D257</f>
        <v>32663</v>
      </c>
      <c r="C1424" s="2" t="s">
        <v>573</v>
      </c>
      <c r="D1424" s="2" t="str">
        <f t="shared" si="21"/>
        <v>Error?</v>
      </c>
    </row>
    <row r="1425" spans="1:4">
      <c r="A1425" s="5">
        <v>1364</v>
      </c>
      <c r="B1425" s="138">
        <f>'Expenditures 15-22'!D259</f>
        <v>66449</v>
      </c>
      <c r="D1425" s="2" t="str">
        <f t="shared" si="21"/>
        <v>Error?</v>
      </c>
    </row>
    <row r="1426" spans="1:4">
      <c r="A1426" s="5">
        <v>1365</v>
      </c>
      <c r="B1426" s="138">
        <f>'Expenditures 15-22'!D260</f>
        <v>0</v>
      </c>
      <c r="D1426" s="2" t="str">
        <f t="shared" si="21"/>
        <v>Error?</v>
      </c>
    </row>
    <row r="1427" spans="1:4">
      <c r="A1427" s="5">
        <v>1366</v>
      </c>
      <c r="B1427" s="138">
        <f>'Expenditures 15-22'!D261</f>
        <v>66449</v>
      </c>
      <c r="C1427" s="2" t="s">
        <v>573</v>
      </c>
      <c r="D1427" s="2" t="str">
        <f t="shared" si="21"/>
        <v>Error?</v>
      </c>
    </row>
    <row r="1428" spans="1:4">
      <c r="A1428" s="5">
        <v>1367</v>
      </c>
      <c r="B1428" s="138">
        <f>'Expenditures 15-22'!D263</f>
        <v>27281</v>
      </c>
      <c r="D1428" s="2" t="str">
        <f t="shared" si="21"/>
        <v>Error?</v>
      </c>
    </row>
    <row r="1429" spans="1:4">
      <c r="A1429" s="5">
        <v>1368</v>
      </c>
      <c r="B1429" s="138">
        <f>'Expenditures 15-22'!D264</f>
        <v>21834</v>
      </c>
      <c r="D1429" s="2" t="str">
        <f t="shared" si="21"/>
        <v>Error?</v>
      </c>
    </row>
    <row r="1430" spans="1:4">
      <c r="A1430" s="5">
        <v>1369</v>
      </c>
      <c r="B1430" s="138">
        <f>'Expenditures 15-22'!D265</f>
        <v>0</v>
      </c>
      <c r="D1430" s="2" t="str">
        <f t="shared" si="21"/>
        <v>Error?</v>
      </c>
    </row>
    <row r="1431" spans="1:4">
      <c r="A1431" s="5">
        <v>1370</v>
      </c>
      <c r="B1431" s="138">
        <f>'Expenditures 15-22'!D266</f>
        <v>225567</v>
      </c>
      <c r="D1431" s="2" t="str">
        <f t="shared" si="21"/>
        <v>Error?</v>
      </c>
    </row>
    <row r="1432" spans="1:4">
      <c r="A1432" s="5">
        <v>1371</v>
      </c>
      <c r="B1432" s="138">
        <f>'Expenditures 15-22'!D267</f>
        <v>192420</v>
      </c>
      <c r="D1432" s="2" t="str">
        <f t="shared" si="21"/>
        <v>Error?</v>
      </c>
    </row>
    <row r="1433" spans="1:4">
      <c r="A1433" s="5">
        <v>1372</v>
      </c>
      <c r="B1433" s="138">
        <f>'Expenditures 15-22'!D268</f>
        <v>106905</v>
      </c>
      <c r="D1433" s="2" t="str">
        <f t="shared" si="21"/>
        <v>Error?</v>
      </c>
    </row>
    <row r="1434" spans="1:4">
      <c r="A1434" s="5">
        <v>1373</v>
      </c>
      <c r="B1434" s="138">
        <f>'Expenditures 15-22'!D269</f>
        <v>4440</v>
      </c>
      <c r="D1434" s="2" t="str">
        <f t="shared" si="21"/>
        <v>Error?</v>
      </c>
    </row>
    <row r="1435" spans="1:4">
      <c r="A1435" s="10">
        <v>1374</v>
      </c>
      <c r="D1435" s="2" t="str">
        <f t="shared" si="21"/>
        <v>OK</v>
      </c>
    </row>
    <row r="1436" spans="1:4">
      <c r="A1436" s="5">
        <v>1375</v>
      </c>
      <c r="B1436" s="138">
        <f>'Expenditures 15-22'!D270</f>
        <v>578447</v>
      </c>
      <c r="C1436" s="2" t="s">
        <v>573</v>
      </c>
      <c r="D1436" s="2" t="str">
        <f t="shared" si="21"/>
        <v>Error?</v>
      </c>
    </row>
    <row r="1437" spans="1:4">
      <c r="A1437" s="5">
        <v>1376</v>
      </c>
      <c r="B1437" s="138">
        <f>'Expenditures 15-22'!D272</f>
        <v>11165</v>
      </c>
      <c r="D1437" s="2" t="str">
        <f t="shared" si="21"/>
        <v>Error?</v>
      </c>
    </row>
    <row r="1438" spans="1:4">
      <c r="A1438" s="5">
        <v>1377</v>
      </c>
      <c r="B1438" s="138">
        <f>'Expenditures 15-22'!D273</f>
        <v>6</v>
      </c>
      <c r="D1438" s="2" t="str">
        <f t="shared" si="21"/>
        <v>Error?</v>
      </c>
    </row>
    <row r="1439" spans="1:4">
      <c r="A1439" s="5">
        <v>1378</v>
      </c>
      <c r="B1439" s="138">
        <f>'Expenditures 15-22'!D274</f>
        <v>82484</v>
      </c>
      <c r="D1439" s="2" t="str">
        <f t="shared" si="21"/>
        <v>Error?</v>
      </c>
    </row>
    <row r="1440" spans="1:4">
      <c r="A1440" s="5">
        <v>1379</v>
      </c>
      <c r="B1440" s="138">
        <f>'Expenditures 15-22'!D275</f>
        <v>25209</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118864</v>
      </c>
      <c r="C1444" s="2" t="s">
        <v>573</v>
      </c>
      <c r="D1444" s="2" t="str">
        <f t="shared" si="21"/>
        <v>Error?</v>
      </c>
    </row>
    <row r="1445" spans="1:4">
      <c r="A1445" s="5">
        <v>1384</v>
      </c>
      <c r="B1445" s="138">
        <f>'Expenditures 15-22'!D278</f>
        <v>0</v>
      </c>
      <c r="D1445" s="2" t="str">
        <f t="shared" si="21"/>
        <v>Error?</v>
      </c>
    </row>
    <row r="1446" spans="1:4">
      <c r="A1446" s="5">
        <v>1385</v>
      </c>
      <c r="B1446" s="138">
        <f>'Expenditures 15-22'!D279</f>
        <v>869164</v>
      </c>
      <c r="C1446" s="2" t="s">
        <v>573</v>
      </c>
      <c r="D1446" s="2" t="str">
        <f t="shared" si="21"/>
        <v>Error?</v>
      </c>
    </row>
    <row r="1447" spans="1:4">
      <c r="A1447" s="5">
        <v>1386</v>
      </c>
      <c r="B1447" s="138">
        <f>'Expenditures 15-22'!D280</f>
        <v>6446</v>
      </c>
      <c r="D1447" s="2" t="str">
        <f t="shared" si="21"/>
        <v>Error?</v>
      </c>
    </row>
    <row r="1448" spans="1:4">
      <c r="A1448" s="5">
        <v>1387</v>
      </c>
      <c r="B1448" s="138">
        <f>'Expenditures 15-22'!D295</f>
        <v>1262847</v>
      </c>
      <c r="C1448" s="2" t="s">
        <v>573</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573</v>
      </c>
      <c r="D1452" s="2" t="str">
        <f t="shared" si="21"/>
        <v>Error?</v>
      </c>
    </row>
    <row r="1453" spans="1:4">
      <c r="A1453" s="10">
        <v>1392</v>
      </c>
      <c r="D1453" s="2" t="str">
        <f t="shared" si="21"/>
        <v>OK</v>
      </c>
    </row>
    <row r="1454" spans="1:4">
      <c r="A1454" s="5">
        <v>1393</v>
      </c>
      <c r="B1454" s="138">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26899</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573</v>
      </c>
      <c r="D1470" s="2" t="str">
        <f t="shared" si="21"/>
        <v>Error?</v>
      </c>
    </row>
    <row r="1471" spans="1:4">
      <c r="A1471" s="5">
        <v>1410</v>
      </c>
      <c r="B1471" s="138">
        <f>'Expenditures 15-22'!K222</f>
        <v>0</v>
      </c>
      <c r="C1471" s="2" t="s">
        <v>573</v>
      </c>
      <c r="D1471" s="2" t="str">
        <f t="shared" ref="D1471:D1534" si="22">IF(ISBLANK(B1471),"OK",IF(A1471-B1471=0,"OK","Error?"))</f>
        <v>Error?</v>
      </c>
    </row>
    <row r="1472" spans="1:4">
      <c r="A1472" s="5">
        <v>1411</v>
      </c>
      <c r="B1472" s="138">
        <f>'Expenditures 15-22'!K223</f>
        <v>4823</v>
      </c>
      <c r="C1472" s="2" t="s">
        <v>573</v>
      </c>
      <c r="D1472" s="2" t="str">
        <f t="shared" si="22"/>
        <v>Error?</v>
      </c>
    </row>
    <row r="1473" spans="1:4">
      <c r="A1473" s="5">
        <v>1412</v>
      </c>
      <c r="B1473" s="138">
        <f>'Expenditures 15-22'!K224</f>
        <v>0</v>
      </c>
      <c r="C1473" s="2" t="s">
        <v>573</v>
      </c>
      <c r="D1473" s="2" t="str">
        <f t="shared" si="22"/>
        <v>Error?</v>
      </c>
    </row>
    <row r="1474" spans="1:4">
      <c r="A1474" s="5">
        <v>1413</v>
      </c>
      <c r="B1474" s="138">
        <f>'Expenditures 15-22'!K229</f>
        <v>387237</v>
      </c>
      <c r="C1474" s="2" t="s">
        <v>573</v>
      </c>
      <c r="D1474" s="2" t="str">
        <f t="shared" si="22"/>
        <v>Error?</v>
      </c>
    </row>
    <row r="1475" spans="1:4">
      <c r="A1475" s="5">
        <v>1414</v>
      </c>
      <c r="B1475" s="138">
        <f>'Expenditures 15-22'!K232</f>
        <v>3317</v>
      </c>
      <c r="C1475" s="2" t="s">
        <v>573</v>
      </c>
      <c r="D1475" s="2" t="str">
        <f t="shared" si="22"/>
        <v>Error?</v>
      </c>
    </row>
    <row r="1476" spans="1:4">
      <c r="A1476" s="5">
        <v>1415</v>
      </c>
      <c r="B1476" s="138">
        <f>'Expenditures 15-22'!K233</f>
        <v>7459</v>
      </c>
      <c r="C1476" s="2" t="s">
        <v>573</v>
      </c>
      <c r="D1476" s="2" t="str">
        <f t="shared" si="22"/>
        <v>Error?</v>
      </c>
    </row>
    <row r="1477" spans="1:4">
      <c r="A1477" s="5">
        <v>1416</v>
      </c>
      <c r="B1477" s="138">
        <f>'Expenditures 15-22'!K234</f>
        <v>16452</v>
      </c>
      <c r="C1477" s="2" t="s">
        <v>573</v>
      </c>
      <c r="D1477" s="2" t="str">
        <f t="shared" si="22"/>
        <v>Error?</v>
      </c>
    </row>
    <row r="1478" spans="1:4">
      <c r="A1478" s="5">
        <v>1417</v>
      </c>
      <c r="B1478" s="138">
        <f>'Expenditures 15-22'!K235</f>
        <v>1363</v>
      </c>
      <c r="C1478" s="2" t="s">
        <v>573</v>
      </c>
      <c r="D1478" s="2" t="str">
        <f t="shared" si="22"/>
        <v>Error?</v>
      </c>
    </row>
    <row r="1479" spans="1:4">
      <c r="A1479" s="5">
        <v>1418</v>
      </c>
      <c r="B1479" s="138">
        <f>'Expenditures 15-22'!K236</f>
        <v>5167</v>
      </c>
      <c r="C1479" s="2" t="s">
        <v>573</v>
      </c>
      <c r="D1479" s="2" t="str">
        <f t="shared" si="22"/>
        <v>Error?</v>
      </c>
    </row>
    <row r="1480" spans="1:4">
      <c r="A1480" s="5">
        <v>1419</v>
      </c>
      <c r="B1480" s="138">
        <f>'Expenditures 15-22'!K237</f>
        <v>27032</v>
      </c>
      <c r="C1480" s="2" t="s">
        <v>573</v>
      </c>
      <c r="D1480" s="2" t="str">
        <f t="shared" si="22"/>
        <v>Error?</v>
      </c>
    </row>
    <row r="1481" spans="1:4">
      <c r="A1481" s="5">
        <v>1420</v>
      </c>
      <c r="B1481" s="138">
        <f>'Expenditures 15-22'!K238</f>
        <v>60790</v>
      </c>
      <c r="C1481" s="2" t="s">
        <v>573</v>
      </c>
      <c r="D1481" s="2" t="str">
        <f t="shared" si="22"/>
        <v>Error?</v>
      </c>
    </row>
    <row r="1482" spans="1:4">
      <c r="A1482" s="5">
        <v>1421</v>
      </c>
      <c r="B1482" s="138">
        <f>'Expenditures 15-22'!K240</f>
        <v>6923</v>
      </c>
      <c r="C1482" s="2" t="s">
        <v>573</v>
      </c>
      <c r="D1482" s="2" t="str">
        <f t="shared" si="22"/>
        <v>Error?</v>
      </c>
    </row>
    <row r="1483" spans="1:4">
      <c r="A1483" s="5">
        <v>1422</v>
      </c>
      <c r="B1483" s="138">
        <f>'Expenditures 15-22'!K241</f>
        <v>4332</v>
      </c>
      <c r="C1483" s="2" t="s">
        <v>573</v>
      </c>
      <c r="D1483" s="2" t="str">
        <f t="shared" si="22"/>
        <v>Error?</v>
      </c>
    </row>
    <row r="1484" spans="1:4">
      <c r="A1484" s="5">
        <v>1423</v>
      </c>
      <c r="B1484" s="138">
        <f>'Expenditures 15-22'!K242</f>
        <v>696</v>
      </c>
      <c r="C1484" s="2" t="s">
        <v>573</v>
      </c>
      <c r="D1484" s="2" t="str">
        <f t="shared" si="22"/>
        <v>Error?</v>
      </c>
    </row>
    <row r="1485" spans="1:4">
      <c r="A1485" s="5">
        <v>1424</v>
      </c>
      <c r="B1485" s="138">
        <f>'Expenditures 15-22'!K243</f>
        <v>11951</v>
      </c>
      <c r="C1485" s="2" t="s">
        <v>573</v>
      </c>
      <c r="D1485" s="2" t="str">
        <f t="shared" si="22"/>
        <v>Error?</v>
      </c>
    </row>
    <row r="1486" spans="1:4">
      <c r="A1486" s="5">
        <v>1425</v>
      </c>
      <c r="B1486" s="138">
        <f>'Expenditures 15-22'!K245</f>
        <v>13849</v>
      </c>
      <c r="C1486" s="2" t="s">
        <v>573</v>
      </c>
      <c r="D1486" s="2" t="str">
        <f t="shared" si="22"/>
        <v>Error?</v>
      </c>
    </row>
    <row r="1487" spans="1:4">
      <c r="A1487" s="5">
        <v>1426</v>
      </c>
      <c r="B1487" s="138">
        <f>'Expenditures 15-22'!K246</f>
        <v>2458</v>
      </c>
      <c r="C1487" s="2" t="s">
        <v>573</v>
      </c>
      <c r="D1487" s="2" t="str">
        <f t="shared" si="22"/>
        <v>Error?</v>
      </c>
    </row>
    <row r="1488" spans="1:4">
      <c r="A1488" s="5">
        <v>1427</v>
      </c>
      <c r="B1488" s="138">
        <f>'Expenditures 15-22'!K257</f>
        <v>32663</v>
      </c>
      <c r="C1488" s="2" t="s">
        <v>573</v>
      </c>
      <c r="D1488" s="2" t="str">
        <f t="shared" si="22"/>
        <v>Error?</v>
      </c>
    </row>
    <row r="1489" spans="1:4">
      <c r="A1489" s="5">
        <v>1428</v>
      </c>
      <c r="B1489" s="138">
        <f>'Expenditures 15-22'!K259</f>
        <v>66449</v>
      </c>
      <c r="C1489" s="2" t="s">
        <v>573</v>
      </c>
      <c r="D1489" s="2" t="str">
        <f t="shared" si="22"/>
        <v>Error?</v>
      </c>
    </row>
    <row r="1490" spans="1:4">
      <c r="A1490" s="5">
        <v>1429</v>
      </c>
      <c r="B1490" s="138">
        <f>'Expenditures 15-22'!K260</f>
        <v>0</v>
      </c>
      <c r="C1490" s="2" t="s">
        <v>573</v>
      </c>
      <c r="D1490" s="2" t="str">
        <f t="shared" si="22"/>
        <v>Error?</v>
      </c>
    </row>
    <row r="1491" spans="1:4">
      <c r="A1491" s="5">
        <v>1430</v>
      </c>
      <c r="B1491" s="138">
        <f>'Expenditures 15-22'!K261</f>
        <v>66449</v>
      </c>
      <c r="C1491" s="2" t="s">
        <v>573</v>
      </c>
      <c r="D1491" s="2" t="str">
        <f t="shared" si="22"/>
        <v>Error?</v>
      </c>
    </row>
    <row r="1492" spans="1:4">
      <c r="A1492" s="5">
        <v>1431</v>
      </c>
      <c r="B1492" s="138">
        <f>'Expenditures 15-22'!K263</f>
        <v>27281</v>
      </c>
      <c r="C1492" s="2" t="s">
        <v>573</v>
      </c>
      <c r="D1492" s="2" t="str">
        <f t="shared" si="22"/>
        <v>Error?</v>
      </c>
    </row>
    <row r="1493" spans="1:4">
      <c r="A1493" s="5">
        <v>1432</v>
      </c>
      <c r="B1493" s="138">
        <f>'Expenditures 15-22'!K264</f>
        <v>21834</v>
      </c>
      <c r="C1493" s="2" t="s">
        <v>573</v>
      </c>
      <c r="D1493" s="2" t="str">
        <f t="shared" si="22"/>
        <v>Error?</v>
      </c>
    </row>
    <row r="1494" spans="1:4">
      <c r="A1494" s="5">
        <v>1433</v>
      </c>
      <c r="B1494" s="138">
        <f>'Expenditures 15-22'!K265</f>
        <v>0</v>
      </c>
      <c r="C1494" s="2" t="s">
        <v>573</v>
      </c>
      <c r="D1494" s="2" t="str">
        <f t="shared" si="22"/>
        <v>Error?</v>
      </c>
    </row>
    <row r="1495" spans="1:4">
      <c r="A1495" s="5">
        <v>1434</v>
      </c>
      <c r="B1495" s="138">
        <f>'Expenditures 15-22'!K266</f>
        <v>225567</v>
      </c>
      <c r="C1495" s="2" t="s">
        <v>573</v>
      </c>
      <c r="D1495" s="2" t="str">
        <f t="shared" si="22"/>
        <v>Error?</v>
      </c>
    </row>
    <row r="1496" spans="1:4">
      <c r="A1496" s="5">
        <v>1435</v>
      </c>
      <c r="B1496" s="138">
        <f>'Expenditures 15-22'!K267</f>
        <v>192420</v>
      </c>
      <c r="C1496" s="2" t="s">
        <v>573</v>
      </c>
      <c r="D1496" s="2" t="str">
        <f t="shared" si="22"/>
        <v>Error?</v>
      </c>
    </row>
    <row r="1497" spans="1:4">
      <c r="A1497" s="5">
        <v>1436</v>
      </c>
      <c r="B1497" s="138">
        <f>'Expenditures 15-22'!K268</f>
        <v>106905</v>
      </c>
      <c r="C1497" s="2" t="s">
        <v>573</v>
      </c>
      <c r="D1497" s="2" t="str">
        <f t="shared" si="22"/>
        <v>Error?</v>
      </c>
    </row>
    <row r="1498" spans="1:4">
      <c r="A1498" s="5">
        <v>1437</v>
      </c>
      <c r="B1498" s="138">
        <f>'Expenditures 15-22'!K269</f>
        <v>4440</v>
      </c>
      <c r="C1498" s="2" t="s">
        <v>573</v>
      </c>
      <c r="D1498" s="2" t="str">
        <f t="shared" si="22"/>
        <v>Error?</v>
      </c>
    </row>
    <row r="1499" spans="1:4">
      <c r="A1499" s="10">
        <v>1438</v>
      </c>
      <c r="D1499" s="2" t="str">
        <f t="shared" si="22"/>
        <v>OK</v>
      </c>
    </row>
    <row r="1500" spans="1:4">
      <c r="A1500" s="5">
        <v>1439</v>
      </c>
      <c r="B1500" s="138">
        <f>'Expenditures 15-22'!K270</f>
        <v>578447</v>
      </c>
      <c r="C1500" s="2" t="s">
        <v>573</v>
      </c>
      <c r="D1500" s="2" t="str">
        <f t="shared" si="22"/>
        <v>Error?</v>
      </c>
    </row>
    <row r="1501" spans="1:4">
      <c r="A1501" s="5">
        <v>1440</v>
      </c>
      <c r="B1501" s="138">
        <f>'Expenditures 15-22'!K272</f>
        <v>11165</v>
      </c>
      <c r="C1501" s="2" t="s">
        <v>573</v>
      </c>
      <c r="D1501" s="2" t="str">
        <f t="shared" si="22"/>
        <v>Error?</v>
      </c>
    </row>
    <row r="1502" spans="1:4">
      <c r="A1502" s="5">
        <v>1441</v>
      </c>
      <c r="B1502" s="138">
        <f>'Expenditures 15-22'!K273</f>
        <v>6</v>
      </c>
      <c r="C1502" s="2" t="s">
        <v>573</v>
      </c>
      <c r="D1502" s="2" t="str">
        <f t="shared" si="22"/>
        <v>Error?</v>
      </c>
    </row>
    <row r="1503" spans="1:4">
      <c r="A1503" s="5">
        <v>1442</v>
      </c>
      <c r="B1503" s="138">
        <f>'Expenditures 15-22'!K274</f>
        <v>82484</v>
      </c>
      <c r="C1503" s="2" t="s">
        <v>573</v>
      </c>
      <c r="D1503" s="2" t="str">
        <f t="shared" si="22"/>
        <v>Error?</v>
      </c>
    </row>
    <row r="1504" spans="1:4">
      <c r="A1504" s="5">
        <v>1443</v>
      </c>
      <c r="B1504" s="138">
        <f>'Expenditures 15-22'!K275</f>
        <v>25209</v>
      </c>
      <c r="C1504" s="2" t="s">
        <v>573</v>
      </c>
      <c r="D1504" s="2" t="str">
        <f t="shared" si="22"/>
        <v>Error?</v>
      </c>
    </row>
    <row r="1505" spans="1:4">
      <c r="A1505" s="10">
        <v>1444</v>
      </c>
      <c r="D1505" s="2" t="str">
        <f t="shared" si="22"/>
        <v>OK</v>
      </c>
    </row>
    <row r="1506" spans="1:4">
      <c r="A1506" s="5">
        <v>1445</v>
      </c>
      <c r="B1506" s="138">
        <f>'Expenditures 15-22'!K276</f>
        <v>0</v>
      </c>
      <c r="C1506" s="2" t="s">
        <v>573</v>
      </c>
      <c r="D1506" s="2" t="str">
        <f t="shared" si="22"/>
        <v>Error?</v>
      </c>
    </row>
    <row r="1507" spans="1:4">
      <c r="A1507" s="10">
        <v>1446</v>
      </c>
      <c r="D1507" s="2" t="str">
        <f t="shared" si="22"/>
        <v>OK</v>
      </c>
    </row>
    <row r="1508" spans="1:4">
      <c r="A1508" s="5">
        <v>1447</v>
      </c>
      <c r="B1508" s="138">
        <f>'Expenditures 15-22'!K277</f>
        <v>118864</v>
      </c>
      <c r="C1508" s="2" t="s">
        <v>573</v>
      </c>
      <c r="D1508" s="2" t="str">
        <f t="shared" si="22"/>
        <v>Error?</v>
      </c>
    </row>
    <row r="1509" spans="1:4">
      <c r="A1509" s="5">
        <v>1448</v>
      </c>
      <c r="B1509" s="138">
        <f>'Expenditures 15-22'!K278</f>
        <v>0</v>
      </c>
      <c r="C1509" s="2" t="s">
        <v>573</v>
      </c>
      <c r="D1509" s="2" t="str">
        <f t="shared" si="22"/>
        <v>Error?</v>
      </c>
    </row>
    <row r="1510" spans="1:4">
      <c r="A1510" s="5">
        <v>1449</v>
      </c>
      <c r="B1510" s="138">
        <f>'Expenditures 15-22'!K279</f>
        <v>869164</v>
      </c>
      <c r="C1510" s="2" t="s">
        <v>573</v>
      </c>
      <c r="D1510" s="2" t="str">
        <f t="shared" si="22"/>
        <v>Error?</v>
      </c>
    </row>
    <row r="1511" spans="1:4">
      <c r="A1511" s="5">
        <v>1450</v>
      </c>
      <c r="B1511" s="138">
        <f>'Expenditures 15-22'!K280</f>
        <v>6446</v>
      </c>
      <c r="C1511" s="2" t="s">
        <v>573</v>
      </c>
      <c r="D1511" s="2" t="str">
        <f t="shared" si="22"/>
        <v>Error?</v>
      </c>
    </row>
    <row r="1512" spans="1:4">
      <c r="A1512" s="5">
        <v>1451</v>
      </c>
      <c r="B1512" s="138">
        <f>'Expenditures 15-22'!K288</f>
        <v>0</v>
      </c>
      <c r="C1512" s="2" t="s">
        <v>573</v>
      </c>
      <c r="D1512" s="2" t="str">
        <f t="shared" si="22"/>
        <v>Error?</v>
      </c>
    </row>
    <row r="1513" spans="1:4">
      <c r="A1513" s="5">
        <v>1452</v>
      </c>
      <c r="B1513" s="138">
        <f>'Expenditures 15-22'!K289</f>
        <v>0</v>
      </c>
      <c r="C1513" s="2" t="s">
        <v>573</v>
      </c>
      <c r="D1513" s="2" t="str">
        <f t="shared" si="22"/>
        <v>Error?</v>
      </c>
    </row>
    <row r="1514" spans="1:4">
      <c r="A1514" s="5">
        <v>1453</v>
      </c>
      <c r="B1514" s="138">
        <f>'Expenditures 15-22'!K292</f>
        <v>0</v>
      </c>
      <c r="C1514" s="2" t="s">
        <v>573</v>
      </c>
      <c r="D1514" s="2" t="str">
        <f t="shared" si="22"/>
        <v>Error?</v>
      </c>
    </row>
    <row r="1515" spans="1:4">
      <c r="A1515" s="5">
        <v>1454</v>
      </c>
      <c r="B1515" s="138">
        <f>'Expenditures 15-22'!K293</f>
        <v>0</v>
      </c>
      <c r="C1515" s="2" t="s">
        <v>573</v>
      </c>
      <c r="D1515" s="2" t="str">
        <f t="shared" si="22"/>
        <v>Error?</v>
      </c>
    </row>
    <row r="1516" spans="1:4">
      <c r="A1516" s="10">
        <v>1455</v>
      </c>
      <c r="D1516" s="2" t="str">
        <f t="shared" si="22"/>
        <v>OK</v>
      </c>
    </row>
    <row r="1517" spans="1:4">
      <c r="A1517" s="5">
        <v>1456</v>
      </c>
      <c r="B1517" s="138">
        <f>'Expenditures 15-22'!K295</f>
        <v>1262847</v>
      </c>
      <c r="C1517" s="2" t="s">
        <v>573</v>
      </c>
      <c r="D1517" s="2" t="str">
        <f t="shared" si="22"/>
        <v>Error?</v>
      </c>
    </row>
    <row r="1518" spans="1:4">
      <c r="A1518" s="5">
        <v>1457</v>
      </c>
      <c r="B1518" s="138">
        <f>'Expenditures 15-22'!K296</f>
        <v>223176</v>
      </c>
      <c r="C1518" s="2" t="s">
        <v>573</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573</v>
      </c>
      <c r="D1523" s="2" t="str">
        <f t="shared" si="22"/>
        <v>Error?</v>
      </c>
    </row>
    <row r="1524" spans="1:4">
      <c r="A1524" s="5">
        <v>1463</v>
      </c>
      <c r="B1524" s="138">
        <f>'Expenditures 15-22'!C312</f>
        <v>0</v>
      </c>
      <c r="C1524" s="2" t="s">
        <v>573</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573</v>
      </c>
      <c r="D1529" s="2" t="str">
        <f t="shared" si="22"/>
        <v>Error?</v>
      </c>
    </row>
    <row r="1530" spans="1:4">
      <c r="A1530" s="5">
        <v>1469</v>
      </c>
      <c r="B1530" s="138">
        <f>'Expenditures 15-22'!D312</f>
        <v>0</v>
      </c>
      <c r="C1530" s="2" t="s">
        <v>573</v>
      </c>
      <c r="D1530" s="2" t="str">
        <f t="shared" si="22"/>
        <v>Error?</v>
      </c>
    </row>
    <row r="1531" spans="1:4">
      <c r="A1531" s="5">
        <v>1470</v>
      </c>
      <c r="B1531" s="138">
        <f>'Expenditures 15-22'!E301</f>
        <v>21182</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21182</v>
      </c>
      <c r="C1535" s="2" t="s">
        <v>573</v>
      </c>
      <c r="D1535" s="2" t="str">
        <f t="shared" ref="D1535:D1598" si="23">IF(ISBLANK(B1535),"OK",IF(A1535-B1535=0,"OK","Error?"))</f>
        <v>Error?</v>
      </c>
    </row>
    <row r="1536" spans="1:4">
      <c r="A1536" s="5">
        <v>1475</v>
      </c>
      <c r="B1536" s="138">
        <f>'Expenditures 15-22'!E312</f>
        <v>21182</v>
      </c>
      <c r="C1536" s="2" t="s">
        <v>573</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573</v>
      </c>
      <c r="D1541" s="2" t="str">
        <f t="shared" si="23"/>
        <v>Error?</v>
      </c>
    </row>
    <row r="1542" spans="1:4">
      <c r="A1542" s="5">
        <v>1481</v>
      </c>
      <c r="B1542" s="138">
        <f>'Expenditures 15-22'!F312</f>
        <v>0</v>
      </c>
      <c r="C1542" s="2" t="s">
        <v>573</v>
      </c>
      <c r="D1542" s="2" t="str">
        <f t="shared" si="23"/>
        <v>Error?</v>
      </c>
    </row>
    <row r="1543" spans="1:4">
      <c r="A1543" s="5">
        <v>1482</v>
      </c>
      <c r="B1543" s="138">
        <f>'Expenditures 15-22'!G301</f>
        <v>3381</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3381</v>
      </c>
      <c r="C1547" s="2" t="s">
        <v>573</v>
      </c>
      <c r="D1547" s="2" t="str">
        <f t="shared" si="23"/>
        <v>Error?</v>
      </c>
    </row>
    <row r="1548" spans="1:4">
      <c r="A1548" s="5">
        <v>1487</v>
      </c>
      <c r="B1548" s="138">
        <f>'Expenditures 15-22'!G312</f>
        <v>3381</v>
      </c>
      <c r="C1548" s="2" t="s">
        <v>573</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573</v>
      </c>
      <c r="D1553" s="2" t="str">
        <f t="shared" si="23"/>
        <v>Error?</v>
      </c>
    </row>
    <row r="1554" spans="1:4">
      <c r="A1554" s="5">
        <v>1493</v>
      </c>
      <c r="B1554" s="138">
        <f>'Expenditures 15-22'!H312</f>
        <v>0</v>
      </c>
      <c r="C1554" s="2" t="s">
        <v>573</v>
      </c>
      <c r="D1554" s="2" t="str">
        <f t="shared" si="23"/>
        <v>Error?</v>
      </c>
    </row>
    <row r="1555" spans="1:4">
      <c r="A1555" s="5">
        <v>1494</v>
      </c>
      <c r="B1555" s="138">
        <f>'Expenditures 15-22'!K301</f>
        <v>24563</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573</v>
      </c>
      <c r="D1558" s="2" t="str">
        <f t="shared" si="23"/>
        <v>Error?</v>
      </c>
    </row>
    <row r="1559" spans="1:4">
      <c r="A1559" s="5">
        <v>1498</v>
      </c>
      <c r="B1559" s="138">
        <f>'Expenditures 15-22'!K303</f>
        <v>24563</v>
      </c>
      <c r="C1559" s="2" t="s">
        <v>573</v>
      </c>
      <c r="D1559" s="2" t="str">
        <f t="shared" si="23"/>
        <v>Error?</v>
      </c>
    </row>
    <row r="1560" spans="1:4">
      <c r="A1560" s="5">
        <v>1499</v>
      </c>
      <c r="B1560" s="138">
        <f>'Expenditures 15-22'!K312</f>
        <v>24563</v>
      </c>
      <c r="C1560" s="2" t="s">
        <v>573</v>
      </c>
      <c r="D1560" s="2" t="str">
        <f t="shared" si="23"/>
        <v>Error?</v>
      </c>
    </row>
    <row r="1561" spans="1:4">
      <c r="A1561" s="5">
        <v>1500</v>
      </c>
      <c r="B1561" s="138">
        <f>'Expenditures 15-22'!K313</f>
        <v>565041</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2697378</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5661226</v>
      </c>
      <c r="C1630" s="2" t="s">
        <v>573</v>
      </c>
      <c r="D1630" s="2" t="str">
        <f t="shared" si="24"/>
        <v>Error?</v>
      </c>
    </row>
    <row r="1631" spans="1:4">
      <c r="A1631" s="5">
        <v>1570</v>
      </c>
      <c r="B1631" s="138">
        <f>'Acct Summary 7-8'!D79</f>
        <v>551465</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803566</v>
      </c>
      <c r="C1644" s="2" t="s">
        <v>573</v>
      </c>
      <c r="D1644" s="2" t="str">
        <f t="shared" si="24"/>
        <v>Error?</v>
      </c>
    </row>
    <row r="1645" spans="1:4">
      <c r="A1645" s="5">
        <v>1584</v>
      </c>
      <c r="B1645" s="138">
        <f>'Acct Summary 7-8'!E79</f>
        <v>2786291</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2911696</v>
      </c>
      <c r="C1658" s="2" t="s">
        <v>573</v>
      </c>
      <c r="D1658" s="2" t="str">
        <f t="shared" si="24"/>
        <v>Error?</v>
      </c>
    </row>
    <row r="1659" spans="1:4">
      <c r="A1659" s="5">
        <v>1598</v>
      </c>
      <c r="B1659" s="138">
        <f>'Acct Summary 7-8'!F79</f>
        <v>262107</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418084</v>
      </c>
      <c r="C1672" s="2" t="s">
        <v>573</v>
      </c>
      <c r="D1672" s="2" t="str">
        <f t="shared" si="25"/>
        <v>Error?</v>
      </c>
    </row>
    <row r="1673" spans="1:4">
      <c r="A1673" s="5">
        <v>1612</v>
      </c>
      <c r="B1673" s="138">
        <f>'Acct Summary 7-8'!G79</f>
        <v>128903</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352079</v>
      </c>
      <c r="C1686" s="2" t="s">
        <v>573</v>
      </c>
      <c r="D1686" s="2" t="str">
        <f t="shared" si="25"/>
        <v>Error?</v>
      </c>
    </row>
    <row r="1687" spans="1:4">
      <c r="A1687" s="5">
        <v>1626</v>
      </c>
      <c r="B1687" s="138">
        <f>'Acct Summary 7-8'!H79</f>
        <v>225869</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790910</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8409533</v>
      </c>
      <c r="C1744" s="2" t="s">
        <v>573</v>
      </c>
      <c r="D1744" s="2" t="str">
        <f t="shared" si="26"/>
        <v>Error?</v>
      </c>
    </row>
    <row r="1745" spans="1:5">
      <c r="A1745" s="5">
        <v>1684</v>
      </c>
      <c r="B1745" s="138">
        <f>'Tax Sched 23'!B5</f>
        <v>868753</v>
      </c>
      <c r="C1745" s="2" t="s">
        <v>573</v>
      </c>
      <c r="D1745" s="2" t="str">
        <f t="shared" si="26"/>
        <v>Error?</v>
      </c>
    </row>
    <row r="1746" spans="1:5">
      <c r="A1746" s="5">
        <v>1685</v>
      </c>
      <c r="B1746" s="138">
        <f>'Tax Sched 23'!B6</f>
        <v>2402079</v>
      </c>
      <c r="C1746" s="2" t="s">
        <v>573</v>
      </c>
      <c r="D1746" s="2" t="str">
        <f t="shared" si="26"/>
        <v>Error?</v>
      </c>
    </row>
    <row r="1747" spans="1:5">
      <c r="A1747" s="5">
        <v>1686</v>
      </c>
      <c r="B1747" s="138">
        <f>'Tax Sched 23'!B7</f>
        <v>417002</v>
      </c>
      <c r="C1747" s="2" t="s">
        <v>573</v>
      </c>
      <c r="D1747" s="2" t="str">
        <f t="shared" si="26"/>
        <v>Error?</v>
      </c>
    </row>
    <row r="1748" spans="1:5">
      <c r="A1748" s="5">
        <v>1687</v>
      </c>
      <c r="B1748" s="138">
        <f>'Tax Sched 23'!B8</f>
        <v>710813</v>
      </c>
      <c r="C1748" s="2" t="s">
        <v>573</v>
      </c>
      <c r="D1748" s="2" t="str">
        <f t="shared" si="26"/>
        <v>Error?</v>
      </c>
    </row>
    <row r="1749" spans="1:5">
      <c r="A1749" s="5">
        <v>1688</v>
      </c>
      <c r="B1749" s="138">
        <f>'Tax Sched 23'!B10</f>
        <v>173751</v>
      </c>
      <c r="C1749" s="2" t="s">
        <v>573</v>
      </c>
      <c r="D1749" s="2" t="str">
        <f t="shared" si="26"/>
        <v>Error?</v>
      </c>
    </row>
    <row r="1750" spans="1:5">
      <c r="A1750" s="10">
        <v>1689</v>
      </c>
      <c r="D1750" s="2" t="str">
        <f t="shared" si="26"/>
        <v>OK</v>
      </c>
      <c r="E1750" s="2" t="s">
        <v>187</v>
      </c>
    </row>
    <row r="1751" spans="1:5">
      <c r="A1751" s="5">
        <v>1690</v>
      </c>
      <c r="B1751" s="138">
        <f>'Tax Sched 23'!B9</f>
        <v>0</v>
      </c>
      <c r="C1751" s="2" t="s">
        <v>573</v>
      </c>
      <c r="D1751" s="2" t="str">
        <f t="shared" si="26"/>
        <v>Error?</v>
      </c>
    </row>
    <row r="1752" spans="1:5">
      <c r="A1752" s="5">
        <v>1691</v>
      </c>
      <c r="B1752" s="138">
        <f>'Tax Sched 23'!B11</f>
        <v>884616</v>
      </c>
      <c r="C1752" s="2" t="s">
        <v>573</v>
      </c>
      <c r="D1752" s="2" t="str">
        <f t="shared" si="26"/>
        <v>Error?</v>
      </c>
    </row>
    <row r="1753" spans="1:5">
      <c r="A1753" s="5">
        <v>1692</v>
      </c>
      <c r="B1753" s="138">
        <f>'Tax Sched 23'!B12</f>
        <v>0</v>
      </c>
      <c r="C1753" s="2" t="s">
        <v>573</v>
      </c>
      <c r="D1753" s="2" t="str">
        <f t="shared" si="26"/>
        <v>Error?</v>
      </c>
    </row>
    <row r="1754" spans="1:5">
      <c r="A1754" s="5">
        <v>1693</v>
      </c>
      <c r="B1754" s="138">
        <f>'Tax Sched 23'!B14</f>
        <v>69500</v>
      </c>
      <c r="C1754" s="2" t="s">
        <v>573</v>
      </c>
      <c r="D1754" s="2" t="str">
        <f t="shared" si="26"/>
        <v>Error?</v>
      </c>
    </row>
    <row r="1755" spans="1:5">
      <c r="A1755" s="10">
        <v>1694</v>
      </c>
      <c r="D1755" s="2" t="str">
        <f t="shared" si="26"/>
        <v>OK</v>
      </c>
    </row>
    <row r="1756" spans="1:5">
      <c r="A1756" s="5">
        <v>1695</v>
      </c>
      <c r="B1756" s="138">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8">
        <f>'Tax Sched 23'!B19</f>
        <v>14766997</v>
      </c>
      <c r="C1759" s="2" t="s">
        <v>573</v>
      </c>
      <c r="D1759" s="2" t="str">
        <f t="shared" si="26"/>
        <v>Error?</v>
      </c>
    </row>
    <row r="1760" spans="1:5">
      <c r="A1760" s="5">
        <v>1699</v>
      </c>
      <c r="B1760" s="138">
        <f>'Tax Sched 23'!D4</f>
        <v>5705816</v>
      </c>
      <c r="C1760" s="2" t="s">
        <v>573</v>
      </c>
      <c r="D1760" s="2" t="str">
        <f t="shared" si="26"/>
        <v>Error?</v>
      </c>
    </row>
    <row r="1761" spans="1:5">
      <c r="A1761" s="5">
        <v>1700</v>
      </c>
      <c r="B1761" s="138">
        <f>'Tax Sched 23'!D5</f>
        <v>589443</v>
      </c>
      <c r="C1761" s="2" t="s">
        <v>573</v>
      </c>
      <c r="D1761" s="2" t="str">
        <f t="shared" si="26"/>
        <v>Error?</v>
      </c>
    </row>
    <row r="1762" spans="1:5" s="8" customFormat="1">
      <c r="A1762" s="5">
        <v>1701</v>
      </c>
      <c r="B1762" s="138">
        <f>'Tax Sched 23'!D6</f>
        <v>1636771</v>
      </c>
      <c r="C1762" s="2" t="s">
        <v>573</v>
      </c>
      <c r="D1762" s="2" t="str">
        <f t="shared" si="26"/>
        <v>Error?</v>
      </c>
      <c r="E1762" s="9"/>
    </row>
    <row r="1763" spans="1:5">
      <c r="A1763" s="5">
        <v>1702</v>
      </c>
      <c r="B1763" s="138">
        <f>'Tax Sched 23'!D7</f>
        <v>282933</v>
      </c>
      <c r="C1763" s="2" t="s">
        <v>573</v>
      </c>
      <c r="D1763" s="2" t="str">
        <f t="shared" si="26"/>
        <v>Error?</v>
      </c>
    </row>
    <row r="1764" spans="1:5">
      <c r="A1764" s="5">
        <v>1703</v>
      </c>
      <c r="B1764" s="138">
        <f>'Tax Sched 23'!D8</f>
        <v>474852</v>
      </c>
      <c r="C1764" s="2" t="s">
        <v>573</v>
      </c>
      <c r="D1764" s="2" t="str">
        <f t="shared" si="26"/>
        <v>Error?</v>
      </c>
    </row>
    <row r="1765" spans="1:5">
      <c r="A1765" s="5">
        <v>1704</v>
      </c>
      <c r="B1765" s="138">
        <f>'Tax Sched 23'!D10</f>
        <v>117889</v>
      </c>
      <c r="C1765" s="2" t="s">
        <v>573</v>
      </c>
      <c r="D1765" s="2" t="str">
        <f t="shared" si="26"/>
        <v>Error?</v>
      </c>
    </row>
    <row r="1766" spans="1:5">
      <c r="A1766" s="10">
        <v>1705</v>
      </c>
      <c r="C1766" s="2" t="s">
        <v>573</v>
      </c>
      <c r="D1766" s="2" t="str">
        <f t="shared" si="26"/>
        <v>OK</v>
      </c>
    </row>
    <row r="1767" spans="1:5">
      <c r="A1767" s="5">
        <v>1706</v>
      </c>
      <c r="B1767" s="138">
        <f>'Tax Sched 23'!D9</f>
        <v>0</v>
      </c>
      <c r="C1767" s="2" t="s">
        <v>573</v>
      </c>
      <c r="D1767" s="2" t="str">
        <f t="shared" si="26"/>
        <v>Error?</v>
      </c>
    </row>
    <row r="1768" spans="1:5">
      <c r="A1768" s="5">
        <v>1707</v>
      </c>
      <c r="B1768" s="138">
        <f>'Tax Sched 23'!D11</f>
        <v>610669</v>
      </c>
      <c r="C1768" s="2" t="s">
        <v>573</v>
      </c>
      <c r="D1768" s="2" t="str">
        <f t="shared" si="26"/>
        <v>Error?</v>
      </c>
    </row>
    <row r="1769" spans="1:5">
      <c r="A1769" s="5">
        <v>1708</v>
      </c>
      <c r="B1769" s="138">
        <f>'Tax Sched 23'!D12</f>
        <v>0</v>
      </c>
      <c r="C1769" s="2" t="s">
        <v>573</v>
      </c>
      <c r="D1769" s="2" t="str">
        <f t="shared" si="26"/>
        <v>Error?</v>
      </c>
    </row>
    <row r="1770" spans="1:5">
      <c r="A1770" s="5">
        <v>1709</v>
      </c>
      <c r="B1770" s="138">
        <f>'Tax Sched 23'!D14</f>
        <v>47155</v>
      </c>
      <c r="C1770" s="2" t="s">
        <v>573</v>
      </c>
      <c r="D1770" s="2" t="str">
        <f t="shared" si="26"/>
        <v>Error?</v>
      </c>
    </row>
    <row r="1771" spans="1:5">
      <c r="A1771" s="10">
        <v>1710</v>
      </c>
      <c r="D1771" s="2" t="str">
        <f t="shared" si="26"/>
        <v>OK</v>
      </c>
    </row>
    <row r="1772" spans="1:5">
      <c r="A1772" s="5">
        <v>1711</v>
      </c>
      <c r="B1772" s="138">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8">
        <f>'Tax Sched 23'!D19</f>
        <v>10024319</v>
      </c>
      <c r="C1775" s="2" t="s">
        <v>573</v>
      </c>
      <c r="D1775" s="2" t="str">
        <f t="shared" si="26"/>
        <v>Error?</v>
      </c>
    </row>
    <row r="1776" spans="1:5">
      <c r="A1776" s="5">
        <v>1715</v>
      </c>
      <c r="B1776" s="138">
        <f>'Tax Sched 23'!C4</f>
        <v>2703717</v>
      </c>
      <c r="D1776" s="2" t="str">
        <f t="shared" si="26"/>
        <v>Error?</v>
      </c>
    </row>
    <row r="1777" spans="1:4">
      <c r="A1777" s="5">
        <v>1716</v>
      </c>
      <c r="B1777" s="138">
        <f>'Tax Sched 23'!C5</f>
        <v>279310</v>
      </c>
      <c r="D1777" s="2" t="str">
        <f t="shared" si="26"/>
        <v>Error?</v>
      </c>
    </row>
    <row r="1778" spans="1:4">
      <c r="A1778" s="5">
        <v>1717</v>
      </c>
      <c r="B1778" s="138">
        <f>'Tax Sched 23'!C6</f>
        <v>765308</v>
      </c>
      <c r="D1778" s="2" t="str">
        <f t="shared" si="26"/>
        <v>Error?</v>
      </c>
    </row>
    <row r="1779" spans="1:4">
      <c r="A1779" s="5">
        <v>1718</v>
      </c>
      <c r="B1779" s="138">
        <f>'Tax Sched 23'!C7</f>
        <v>134069</v>
      </c>
      <c r="D1779" s="2" t="str">
        <f t="shared" si="26"/>
        <v>Error?</v>
      </c>
    </row>
    <row r="1780" spans="1:4">
      <c r="A1780" s="5">
        <v>1719</v>
      </c>
      <c r="B1780" s="138">
        <f>'Tax Sched 23'!C8</f>
        <v>235961</v>
      </c>
      <c r="D1780" s="2" t="str">
        <f t="shared" si="26"/>
        <v>Error?</v>
      </c>
    </row>
    <row r="1781" spans="1:4">
      <c r="A1781" s="5">
        <v>1720</v>
      </c>
      <c r="B1781" s="138">
        <f>'Tax Sched 23'!C10</f>
        <v>55862</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273947</v>
      </c>
      <c r="D1784" s="2" t="str">
        <f t="shared" si="26"/>
        <v>Error?</v>
      </c>
    </row>
    <row r="1785" spans="1:4">
      <c r="A1785" s="5">
        <v>1724</v>
      </c>
      <c r="B1785" s="138">
        <f>'Tax Sched 23'!C12</f>
        <v>0</v>
      </c>
      <c r="D1785" s="2" t="str">
        <f t="shared" si="26"/>
        <v>Error?</v>
      </c>
    </row>
    <row r="1786" spans="1:4">
      <c r="A1786" s="5">
        <v>1725</v>
      </c>
      <c r="B1786" s="138">
        <f>'Tax Sched 23'!C14</f>
        <v>22345</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4742678</v>
      </c>
      <c r="C1791" s="2" t="s">
        <v>573</v>
      </c>
      <c r="D1791" s="2" t="str">
        <f t="shared" ref="D1791:D1854" si="27">IF(ISBLANK(B1791),"OK",IF(A1791-B1791=0,"OK","Error?"))</f>
        <v>Error?</v>
      </c>
    </row>
    <row r="1792" spans="1:4">
      <c r="A1792" s="5">
        <v>1731</v>
      </c>
      <c r="B1792" s="138">
        <f>'Tax Sched 23'!F4</f>
        <v>5849790</v>
      </c>
      <c r="C1792" s="2" t="s">
        <v>573</v>
      </c>
      <c r="D1792" s="2" t="str">
        <f t="shared" si="27"/>
        <v>Error?</v>
      </c>
    </row>
    <row r="1793" spans="1:4">
      <c r="A1793" s="5">
        <v>1732</v>
      </c>
      <c r="B1793" s="138">
        <f>'Tax Sched 23'!F5</f>
        <v>604317</v>
      </c>
      <c r="C1793" s="2" t="s">
        <v>573</v>
      </c>
      <c r="D1793" s="2" t="str">
        <f t="shared" si="27"/>
        <v>Error?</v>
      </c>
    </row>
    <row r="1794" spans="1:4">
      <c r="A1794" s="5">
        <v>1733</v>
      </c>
      <c r="B1794" s="138">
        <f>'Tax Sched 23'!F6</f>
        <v>1655829</v>
      </c>
      <c r="C1794" s="2" t="s">
        <v>573</v>
      </c>
      <c r="D1794" s="2" t="str">
        <f t="shared" si="27"/>
        <v>Error?</v>
      </c>
    </row>
    <row r="1795" spans="1:4">
      <c r="A1795" s="5">
        <v>1734</v>
      </c>
      <c r="B1795" s="138">
        <f>'Tax Sched 23'!F7</f>
        <v>290072</v>
      </c>
      <c r="C1795" s="2" t="s">
        <v>573</v>
      </c>
      <c r="D1795" s="2" t="str">
        <f t="shared" si="27"/>
        <v>Error?</v>
      </c>
    </row>
    <row r="1796" spans="1:4">
      <c r="A1796" s="5">
        <v>1735</v>
      </c>
      <c r="B1796" s="138">
        <f>'Tax Sched 23'!F8</f>
        <v>510527</v>
      </c>
      <c r="C1796" s="2" t="s">
        <v>573</v>
      </c>
      <c r="D1796" s="2" t="str">
        <f t="shared" si="27"/>
        <v>Error?</v>
      </c>
    </row>
    <row r="1797" spans="1:4">
      <c r="A1797" s="5">
        <v>1736</v>
      </c>
      <c r="B1797" s="138">
        <f>'Tax Sched 23'!F10</f>
        <v>120863</v>
      </c>
      <c r="C1797" s="2" t="s">
        <v>573</v>
      </c>
      <c r="D1797" s="2" t="str">
        <f t="shared" si="27"/>
        <v>Error?</v>
      </c>
    </row>
    <row r="1798" spans="1:4">
      <c r="A1798" s="10">
        <v>1737</v>
      </c>
      <c r="C1798" s="2" t="s">
        <v>573</v>
      </c>
      <c r="D1798" s="2" t="str">
        <f t="shared" si="27"/>
        <v>OK</v>
      </c>
    </row>
    <row r="1799" spans="1:4">
      <c r="A1799" s="5">
        <v>1738</v>
      </c>
      <c r="B1799" s="138">
        <f>'Tax Sched 23'!F9</f>
        <v>0</v>
      </c>
      <c r="C1799" s="2" t="s">
        <v>573</v>
      </c>
      <c r="D1799" s="2" t="str">
        <f t="shared" si="27"/>
        <v>Error?</v>
      </c>
    </row>
    <row r="1800" spans="1:4">
      <c r="A1800" s="5">
        <v>1739</v>
      </c>
      <c r="B1800" s="138">
        <f>'Tax Sched 23'!F11</f>
        <v>592714</v>
      </c>
      <c r="C1800" s="2" t="s">
        <v>573</v>
      </c>
      <c r="D1800" s="2" t="str">
        <f t="shared" si="27"/>
        <v>Error?</v>
      </c>
    </row>
    <row r="1801" spans="1:4">
      <c r="A1801" s="5">
        <v>1740</v>
      </c>
      <c r="B1801" s="138">
        <f>'Tax Sched 23'!F12</f>
        <v>0</v>
      </c>
      <c r="C1801" s="2" t="s">
        <v>573</v>
      </c>
      <c r="D1801" s="2" t="str">
        <f t="shared" si="27"/>
        <v>Error?</v>
      </c>
    </row>
    <row r="1802" spans="1:4">
      <c r="A1802" s="5">
        <v>1741</v>
      </c>
      <c r="B1802" s="138">
        <f>'Tax Sched 23'!F14</f>
        <v>48345</v>
      </c>
      <c r="C1802" s="2" t="s">
        <v>573</v>
      </c>
      <c r="D1802" s="2" t="str">
        <f t="shared" si="27"/>
        <v>Error?</v>
      </c>
    </row>
    <row r="1803" spans="1:4">
      <c r="A1803" s="10">
        <v>1742</v>
      </c>
      <c r="D1803" s="2" t="str">
        <f t="shared" si="27"/>
        <v>OK</v>
      </c>
    </row>
    <row r="1804" spans="1:4">
      <c r="A1804" s="5">
        <v>1743</v>
      </c>
      <c r="B1804" s="138">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8">
        <f>'Tax Sched 23'!F19</f>
        <v>10261304</v>
      </c>
      <c r="C1807" s="2" t="s">
        <v>573</v>
      </c>
      <c r="D1807" s="2" t="str">
        <f t="shared" si="27"/>
        <v>Error?</v>
      </c>
    </row>
    <row r="1808" spans="1:4">
      <c r="A1808" s="5">
        <v>1747</v>
      </c>
      <c r="B1808" s="138">
        <f>'Tax Sched 23'!E4</f>
        <v>8553507</v>
      </c>
      <c r="D1808" s="2" t="str">
        <f t="shared" si="27"/>
        <v>Error?</v>
      </c>
    </row>
    <row r="1809" spans="1:4">
      <c r="A1809" s="5">
        <v>1748</v>
      </c>
      <c r="B1809" s="138">
        <f>'Tax Sched 23'!E5</f>
        <v>883627</v>
      </c>
      <c r="D1809" s="2" t="str">
        <f t="shared" si="27"/>
        <v>Error?</v>
      </c>
    </row>
    <row r="1810" spans="1:4">
      <c r="A1810" s="5">
        <v>1749</v>
      </c>
      <c r="B1810" s="138">
        <f>'Tax Sched 23'!E6</f>
        <v>2421137</v>
      </c>
      <c r="D1810" s="2" t="str">
        <f t="shared" si="27"/>
        <v>Error?</v>
      </c>
    </row>
    <row r="1811" spans="1:4">
      <c r="A1811" s="5">
        <v>1750</v>
      </c>
      <c r="B1811" s="138">
        <f>'Tax Sched 23'!E7</f>
        <v>424141</v>
      </c>
      <c r="D1811" s="2" t="str">
        <f t="shared" si="27"/>
        <v>Error?</v>
      </c>
    </row>
    <row r="1812" spans="1:4">
      <c r="A1812" s="5">
        <v>1751</v>
      </c>
      <c r="B1812" s="138">
        <f>'Tax Sched 23'!E8</f>
        <v>746488</v>
      </c>
      <c r="D1812" s="2" t="str">
        <f t="shared" si="27"/>
        <v>Error?</v>
      </c>
    </row>
    <row r="1813" spans="1:4">
      <c r="A1813" s="5">
        <v>1752</v>
      </c>
      <c r="B1813" s="138">
        <f>'Tax Sched 23'!E10</f>
        <v>176725</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866661</v>
      </c>
      <c r="D1816" s="2" t="str">
        <f t="shared" si="27"/>
        <v>Error?</v>
      </c>
    </row>
    <row r="1817" spans="1:4">
      <c r="A1817" s="5">
        <v>1756</v>
      </c>
      <c r="B1817" s="138">
        <f>'Tax Sched 23'!E12</f>
        <v>0</v>
      </c>
      <c r="D1817" s="2" t="str">
        <f t="shared" si="27"/>
        <v>Error?</v>
      </c>
    </row>
    <row r="1818" spans="1:4">
      <c r="A1818" s="5">
        <v>1757</v>
      </c>
      <c r="B1818" s="138">
        <f>'Tax Sched 23'!E14</f>
        <v>70690</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15003982</v>
      </c>
      <c r="C1823" s="2" t="s">
        <v>573</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573</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573</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573</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573</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573</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573</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573</v>
      </c>
      <c r="D1867" s="2" t="str">
        <f t="shared" si="28"/>
        <v>Error?</v>
      </c>
    </row>
    <row r="1868" spans="1:4">
      <c r="A1868" s="5">
        <v>1807</v>
      </c>
      <c r="B1868" s="138">
        <f>'Short-Term Long-Term Debt 24'!F7</f>
        <v>0</v>
      </c>
      <c r="C1868" s="2" t="s">
        <v>573</v>
      </c>
      <c r="D1868" s="2" t="str">
        <f t="shared" si="28"/>
        <v>Error?</v>
      </c>
    </row>
    <row r="1869" spans="1:4">
      <c r="A1869" s="5">
        <v>1808</v>
      </c>
      <c r="B1869" s="138">
        <f>'Short-Term Long-Term Debt 24'!F12</f>
        <v>0</v>
      </c>
      <c r="C1869" s="2" t="s">
        <v>573</v>
      </c>
      <c r="D1869" s="2" t="str">
        <f t="shared" si="28"/>
        <v>Error?</v>
      </c>
    </row>
    <row r="1870" spans="1:4">
      <c r="A1870" s="5">
        <v>1809</v>
      </c>
      <c r="B1870" s="138">
        <f>'Short-Term Long-Term Debt 24'!F11</f>
        <v>0</v>
      </c>
      <c r="C1870" s="2" t="s">
        <v>573</v>
      </c>
      <c r="D1870" s="2" t="str">
        <f t="shared" si="28"/>
        <v>Error?</v>
      </c>
    </row>
    <row r="1871" spans="1:4">
      <c r="A1871" s="5">
        <v>1810</v>
      </c>
      <c r="B1871" s="138">
        <f>'Short-Term Long-Term Debt 24'!F8</f>
        <v>0</v>
      </c>
      <c r="C1871" s="2" t="s">
        <v>573</v>
      </c>
      <c r="D1871" s="2" t="str">
        <f t="shared" si="28"/>
        <v>Error?</v>
      </c>
    </row>
    <row r="1872" spans="1:4">
      <c r="A1872" s="5">
        <v>1811</v>
      </c>
      <c r="B1872" s="138">
        <f>'Short-Term Long-Term Debt 24'!F9</f>
        <v>0</v>
      </c>
      <c r="C1872" s="2" t="s">
        <v>573</v>
      </c>
      <c r="D1872" s="2" t="str">
        <f t="shared" si="28"/>
        <v>Error?</v>
      </c>
    </row>
    <row r="1873" spans="1:4">
      <c r="A1873" s="5">
        <v>1812</v>
      </c>
      <c r="B1873" s="138">
        <f>'Short-Term Long-Term Debt 24'!F10</f>
        <v>0</v>
      </c>
      <c r="C1873" s="2" t="s">
        <v>573</v>
      </c>
      <c r="D1873" s="2" t="str">
        <f t="shared" si="28"/>
        <v>Error?</v>
      </c>
    </row>
    <row r="1874" spans="1:4">
      <c r="A1874" s="5">
        <v>1813</v>
      </c>
      <c r="B1874" s="138">
        <f>'Short-Term Long-Term Debt 24'!F14</f>
        <v>0</v>
      </c>
      <c r="C1874" s="2" t="s">
        <v>573</v>
      </c>
      <c r="D1874" s="2" t="str">
        <f t="shared" si="28"/>
        <v>Error?</v>
      </c>
    </row>
    <row r="1875" spans="1:4">
      <c r="A1875" s="5">
        <v>1814</v>
      </c>
      <c r="B1875" s="138">
        <f>'Short-Term Long-Term Debt 24'!F15</f>
        <v>0</v>
      </c>
      <c r="C1875" s="2" t="s">
        <v>573</v>
      </c>
      <c r="D1875" s="2" t="str">
        <f t="shared" si="28"/>
        <v>Error?</v>
      </c>
    </row>
    <row r="1876" spans="1:4">
      <c r="A1876" s="5">
        <v>1815</v>
      </c>
      <c r="B1876" s="138">
        <f>'Short-Term Long-Term Debt 24'!F17</f>
        <v>0</v>
      </c>
      <c r="C1876" s="2" t="s">
        <v>573</v>
      </c>
      <c r="D1876" s="2" t="str">
        <f t="shared" si="28"/>
        <v>Error?</v>
      </c>
    </row>
    <row r="1877" spans="1:4">
      <c r="A1877" s="5">
        <v>1816</v>
      </c>
      <c r="B1877" s="138">
        <f>'Short-Term Long-Term Debt 24'!F18</f>
        <v>0</v>
      </c>
      <c r="C1877" s="2" t="s">
        <v>573</v>
      </c>
      <c r="D1877" s="2" t="str">
        <f t="shared" si="28"/>
        <v>Error?</v>
      </c>
    </row>
    <row r="1878" spans="1:4">
      <c r="A1878" s="5">
        <v>1817</v>
      </c>
      <c r="B1878" s="138">
        <f>'Short-Term Long-Term Debt 24'!F20</f>
        <v>0</v>
      </c>
      <c r="C1878" s="2" t="s">
        <v>573</v>
      </c>
      <c r="D1878" s="2" t="str">
        <f t="shared" si="28"/>
        <v>Error?</v>
      </c>
    </row>
    <row r="1879" spans="1:4">
      <c r="A1879" s="5">
        <v>1818</v>
      </c>
      <c r="B1879" s="138">
        <f>'Short-Term Long-Term Debt 24'!F21</f>
        <v>0</v>
      </c>
      <c r="C1879" s="2" t="s">
        <v>573</v>
      </c>
      <c r="D1879" s="2" t="str">
        <f t="shared" si="28"/>
        <v>Error?</v>
      </c>
    </row>
    <row r="1880" spans="1:4">
      <c r="A1880" s="5">
        <v>1819</v>
      </c>
      <c r="B1880" s="138">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25455000</v>
      </c>
      <c r="C1939" s="2" t="s">
        <v>573</v>
      </c>
      <c r="D1939" s="2" t="str">
        <f t="shared" si="29"/>
        <v>Error?</v>
      </c>
    </row>
    <row r="1940" spans="1:5">
      <c r="A1940" s="5">
        <v>1879</v>
      </c>
      <c r="B1940" s="138">
        <f>'Short-Term Long-Term Debt 24'!F49</f>
        <v>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135</v>
      </c>
    </row>
    <row r="1953" spans="1:5">
      <c r="A1953" s="5">
        <v>1892</v>
      </c>
      <c r="B1953" s="138">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573</v>
      </c>
      <c r="D1957" s="2" t="str">
        <f t="shared" si="29"/>
        <v>Error?</v>
      </c>
    </row>
    <row r="1958" spans="1:5">
      <c r="A1958" s="5">
        <v>1897</v>
      </c>
      <c r="B1958" s="138">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0</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8">
        <f>'Rest Tax Levies-Tort Im 25'!H12</f>
        <v>0</v>
      </c>
      <c r="C1977" s="2" t="s">
        <v>573</v>
      </c>
      <c r="D1977" s="2" t="str">
        <f t="shared" si="29"/>
        <v>Error?</v>
      </c>
    </row>
    <row r="1978" spans="1:5">
      <c r="A1978" s="10">
        <v>1917</v>
      </c>
      <c r="C1978" s="2" t="s">
        <v>573</v>
      </c>
      <c r="D1978" s="2" t="str">
        <f t="shared" si="29"/>
        <v>OK</v>
      </c>
      <c r="E1978" s="2" t="s">
        <v>135</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135</v>
      </c>
    </row>
    <row r="1982" spans="1:5">
      <c r="A1982" s="5">
        <v>1921</v>
      </c>
      <c r="B1982" s="138">
        <f>'Rest Tax Levies-Tort Im 25'!H23</f>
        <v>0</v>
      </c>
      <c r="C1982" s="2" t="s">
        <v>573</v>
      </c>
      <c r="D1982" s="2" t="str">
        <f t="shared" si="29"/>
        <v>Error?</v>
      </c>
    </row>
    <row r="1983" spans="1:5">
      <c r="A1983" s="5">
        <v>1922</v>
      </c>
      <c r="B1983" s="138">
        <f>'Rest Tax Levies-Tort Im 25'!H24</f>
        <v>0</v>
      </c>
      <c r="C1983" s="2" t="s">
        <v>573</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135</v>
      </c>
    </row>
    <row r="1990" spans="1:5">
      <c r="A1990" s="5">
        <v>1929</v>
      </c>
      <c r="B1990" s="138">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135</v>
      </c>
    </row>
    <row r="1995" spans="1:5">
      <c r="A1995" s="5">
        <v>1934</v>
      </c>
      <c r="B1995" s="138">
        <f>'Rest Tax Levies-Tort Im 25'!I23</f>
        <v>0</v>
      </c>
      <c r="C1995" s="2" t="s">
        <v>573</v>
      </c>
      <c r="D1995" s="2" t="str">
        <f t="shared" si="30"/>
        <v>Error?</v>
      </c>
    </row>
    <row r="1996" spans="1:5">
      <c r="A1996" s="5">
        <v>1935</v>
      </c>
      <c r="B1996" s="138">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85616</v>
      </c>
      <c r="D2008" s="2" t="str">
        <f t="shared" si="30"/>
        <v>Error?</v>
      </c>
    </row>
    <row r="2009" spans="1:4">
      <c r="A2009" s="5">
        <v>1948</v>
      </c>
      <c r="B2009" s="138">
        <f>'Cap Outlay Deprec 26'!C8</f>
        <v>53001992</v>
      </c>
      <c r="D2009" s="2" t="str">
        <f t="shared" si="30"/>
        <v>Error?</v>
      </c>
    </row>
    <row r="2010" spans="1:4">
      <c r="A2010" s="5">
        <v>1949</v>
      </c>
      <c r="B2010" s="138">
        <f>'Cap Outlay Deprec 26'!C10</f>
        <v>1507638</v>
      </c>
      <c r="D2010" s="2" t="str">
        <f t="shared" si="30"/>
        <v>Error?</v>
      </c>
    </row>
    <row r="2011" spans="1:4">
      <c r="A2011" s="5">
        <v>1950</v>
      </c>
      <c r="B2011" s="138">
        <f>'Cap Outlay Deprec 26'!C12</f>
        <v>3611786</v>
      </c>
      <c r="D2011" s="2" t="str">
        <f t="shared" si="30"/>
        <v>Error?</v>
      </c>
    </row>
    <row r="2012" spans="1:4">
      <c r="A2012" s="5">
        <v>1951</v>
      </c>
      <c r="B2012" s="138">
        <f>'Cap Outlay Deprec 26'!C13</f>
        <v>2297091</v>
      </c>
      <c r="D2012" s="2" t="str">
        <f t="shared" si="30"/>
        <v>Error?</v>
      </c>
    </row>
    <row r="2013" spans="1:4">
      <c r="A2013" s="5">
        <v>1952</v>
      </c>
      <c r="B2013" s="138">
        <f>'Cap Outlay Deprec 26'!C16</f>
        <v>63315016</v>
      </c>
      <c r="C2013" s="2" t="s">
        <v>573</v>
      </c>
      <c r="D2013" s="2" t="str">
        <f t="shared" si="30"/>
        <v>Error?</v>
      </c>
    </row>
    <row r="2014" spans="1:4">
      <c r="A2014" s="5">
        <v>1953</v>
      </c>
      <c r="B2014" s="138">
        <f>'Cap Outlay Deprec 26'!D5</f>
        <v>0</v>
      </c>
      <c r="D2014" s="2" t="str">
        <f t="shared" si="30"/>
        <v>Error?</v>
      </c>
    </row>
    <row r="2015" spans="1:4">
      <c r="A2015" s="5">
        <v>1954</v>
      </c>
      <c r="B2015" s="138">
        <f>'Cap Outlay Deprec 26'!D8</f>
        <v>6033</v>
      </c>
      <c r="D2015" s="2" t="str">
        <f t="shared" si="30"/>
        <v>Error?</v>
      </c>
    </row>
    <row r="2016" spans="1:4">
      <c r="A2016" s="5">
        <v>1955</v>
      </c>
      <c r="B2016" s="138">
        <f>'Cap Outlay Deprec 26'!D10</f>
        <v>0</v>
      </c>
      <c r="D2016" s="2" t="str">
        <f t="shared" si="30"/>
        <v>Error?</v>
      </c>
    </row>
    <row r="2017" spans="1:4">
      <c r="A2017" s="5">
        <v>1956</v>
      </c>
      <c r="B2017" s="138">
        <f>'Cap Outlay Deprec 26'!D12</f>
        <v>279093</v>
      </c>
      <c r="D2017" s="2" t="str">
        <f t="shared" si="30"/>
        <v>Error?</v>
      </c>
    </row>
    <row r="2018" spans="1:4">
      <c r="A2018" s="5">
        <v>1957</v>
      </c>
      <c r="B2018" s="138">
        <f>'Cap Outlay Deprec 26'!D13</f>
        <v>0</v>
      </c>
      <c r="D2018" s="2" t="str">
        <f t="shared" si="30"/>
        <v>Error?</v>
      </c>
    </row>
    <row r="2019" spans="1:4">
      <c r="A2019" s="5">
        <v>1958</v>
      </c>
      <c r="B2019" s="138">
        <f>'Cap Outlay Deprec 26'!D16</f>
        <v>285126</v>
      </c>
      <c r="C2019" s="2" t="s">
        <v>573</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2960643</v>
      </c>
      <c r="D2023" s="2" t="str">
        <f t="shared" si="30"/>
        <v>Error?</v>
      </c>
    </row>
    <row r="2024" spans="1:4">
      <c r="A2024" s="5">
        <v>1963</v>
      </c>
      <c r="B2024" s="138">
        <f>'Cap Outlay Deprec 26'!E13</f>
        <v>1674870</v>
      </c>
      <c r="D2024" s="2" t="str">
        <f t="shared" si="30"/>
        <v>Error?</v>
      </c>
    </row>
    <row r="2025" spans="1:4">
      <c r="A2025" s="5">
        <v>1964</v>
      </c>
      <c r="B2025" s="138">
        <f>'Cap Outlay Deprec 26'!E16</f>
        <v>7446406</v>
      </c>
      <c r="C2025" s="2" t="s">
        <v>573</v>
      </c>
      <c r="D2025" s="2" t="str">
        <f t="shared" si="30"/>
        <v>Error?</v>
      </c>
    </row>
    <row r="2026" spans="1:4">
      <c r="A2026" s="5">
        <v>1965</v>
      </c>
      <c r="B2026" s="138">
        <f>'Cap Outlay Deprec 26'!F5</f>
        <v>85616</v>
      </c>
      <c r="C2026" s="2" t="s">
        <v>573</v>
      </c>
      <c r="D2026" s="2" t="str">
        <f t="shared" si="30"/>
        <v>Error?</v>
      </c>
    </row>
    <row r="2027" spans="1:4">
      <c r="A2027" s="5">
        <v>1966</v>
      </c>
      <c r="B2027" s="138">
        <f>'Cap Outlay Deprec 26'!F8</f>
        <v>53008025</v>
      </c>
      <c r="C2027" s="2" t="s">
        <v>573</v>
      </c>
      <c r="D2027" s="2" t="str">
        <f t="shared" si="30"/>
        <v>Error?</v>
      </c>
    </row>
    <row r="2028" spans="1:4">
      <c r="A2028" s="5">
        <v>1967</v>
      </c>
      <c r="B2028" s="138">
        <f>'Cap Outlay Deprec 26'!F10</f>
        <v>1507638</v>
      </c>
      <c r="C2028" s="2" t="s">
        <v>573</v>
      </c>
      <c r="D2028" s="2" t="str">
        <f t="shared" si="30"/>
        <v>Error?</v>
      </c>
    </row>
    <row r="2029" spans="1:4">
      <c r="A2029" s="5">
        <v>1968</v>
      </c>
      <c r="B2029" s="138">
        <f>'Cap Outlay Deprec 26'!F12</f>
        <v>930236</v>
      </c>
      <c r="C2029" s="2" t="s">
        <v>573</v>
      </c>
      <c r="D2029" s="2" t="str">
        <f t="shared" si="30"/>
        <v>Error?</v>
      </c>
    </row>
    <row r="2030" spans="1:4">
      <c r="A2030" s="5">
        <v>1969</v>
      </c>
      <c r="B2030" s="138">
        <f>'Cap Outlay Deprec 26'!F13</f>
        <v>622221</v>
      </c>
      <c r="C2030" s="2" t="s">
        <v>573</v>
      </c>
      <c r="D2030" s="2" t="str">
        <f t="shared" si="30"/>
        <v>Error?</v>
      </c>
    </row>
    <row r="2031" spans="1:4">
      <c r="A2031" s="5">
        <v>1970</v>
      </c>
      <c r="B2031" s="138">
        <f>'Cap Outlay Deprec 26'!F16</f>
        <v>56153736</v>
      </c>
      <c r="C2031" s="2" t="s">
        <v>573</v>
      </c>
      <c r="D2031" s="2" t="str">
        <f t="shared" si="30"/>
        <v>Error?</v>
      </c>
    </row>
    <row r="2032" spans="1:4">
      <c r="A2032" s="10">
        <v>1971</v>
      </c>
      <c r="D2032" s="2" t="str">
        <f t="shared" si="30"/>
        <v>OK</v>
      </c>
    </row>
    <row r="2033" spans="1:4">
      <c r="A2033" s="5">
        <v>1972</v>
      </c>
      <c r="B2033" s="138">
        <f>'Cap Outlay Deprec 26'!H8</f>
        <v>14489905</v>
      </c>
      <c r="D2033" s="2" t="str">
        <f t="shared" si="30"/>
        <v>Error?</v>
      </c>
    </row>
    <row r="2034" spans="1:4">
      <c r="A2034" s="5">
        <v>1973</v>
      </c>
      <c r="B2034" s="138">
        <f>'Cap Outlay Deprec 26'!H10</f>
        <v>1355258</v>
      </c>
      <c r="D2034" s="2" t="str">
        <f t="shared" si="30"/>
        <v>Error?</v>
      </c>
    </row>
    <row r="2035" spans="1:4">
      <c r="A2035" s="5">
        <v>1974</v>
      </c>
      <c r="B2035" s="138">
        <f>'Cap Outlay Deprec 26'!H12</f>
        <v>3460247</v>
      </c>
      <c r="D2035" s="2" t="str">
        <f t="shared" si="30"/>
        <v>Error?</v>
      </c>
    </row>
    <row r="2036" spans="1:4">
      <c r="A2036" s="5">
        <v>1975</v>
      </c>
      <c r="B2036" s="138">
        <f>'Cap Outlay Deprec 26'!H13</f>
        <v>2054933</v>
      </c>
      <c r="D2036" s="2" t="str">
        <f t="shared" si="30"/>
        <v>Error?</v>
      </c>
    </row>
    <row r="2037" spans="1:4">
      <c r="A2037" s="5">
        <v>1976</v>
      </c>
      <c r="B2037" s="138">
        <f>'Cap Outlay Deprec 26'!H16</f>
        <v>24171236</v>
      </c>
      <c r="C2037" s="2" t="s">
        <v>573</v>
      </c>
      <c r="D2037" s="2" t="str">
        <f t="shared" si="30"/>
        <v>Error?</v>
      </c>
    </row>
    <row r="2038" spans="1:4">
      <c r="A2038" s="10">
        <v>1977</v>
      </c>
      <c r="D2038" s="2" t="str">
        <f t="shared" si="30"/>
        <v>OK</v>
      </c>
    </row>
    <row r="2039" spans="1:4">
      <c r="A2039" s="5">
        <v>1978</v>
      </c>
      <c r="B2039" s="138">
        <f>'Cap Outlay Deprec 26'!I8</f>
        <v>1188651</v>
      </c>
      <c r="D2039" s="2" t="str">
        <f t="shared" si="30"/>
        <v>Error?</v>
      </c>
    </row>
    <row r="2040" spans="1:4">
      <c r="A2040" s="5">
        <v>1979</v>
      </c>
      <c r="B2040" s="138">
        <f>'Cap Outlay Deprec 26'!I10</f>
        <v>29539</v>
      </c>
      <c r="D2040" s="2" t="str">
        <f t="shared" si="30"/>
        <v>Error?</v>
      </c>
    </row>
    <row r="2041" spans="1:4">
      <c r="A2041" s="5">
        <v>1980</v>
      </c>
      <c r="B2041" s="138">
        <f>'Cap Outlay Deprec 26'!I12</f>
        <v>65443</v>
      </c>
      <c r="D2041" s="2" t="str">
        <f t="shared" si="30"/>
        <v>Error?</v>
      </c>
    </row>
    <row r="2042" spans="1:4">
      <c r="A2042" s="5">
        <v>1981</v>
      </c>
      <c r="B2042" s="138">
        <f>'Cap Outlay Deprec 26'!I13</f>
        <v>75902</v>
      </c>
      <c r="D2042" s="2" t="str">
        <f t="shared" si="30"/>
        <v>Error?</v>
      </c>
    </row>
    <row r="2043" spans="1:4">
      <c r="A2043" s="5">
        <v>1982</v>
      </c>
      <c r="B2043" s="138">
        <f>'Cap Outlay Deprec 26'!I16</f>
        <v>1359535</v>
      </c>
      <c r="C2043" s="2" t="s">
        <v>573</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3034129</v>
      </c>
      <c r="D2047" s="2" t="str">
        <f t="shared" ref="D2047:D2110" si="31">IF(ISBLANK(B2047),"OK",IF(A2047-B2047=0,"OK","Error?"))</f>
        <v>Error?</v>
      </c>
    </row>
    <row r="2048" spans="1:4">
      <c r="A2048" s="5">
        <v>1987</v>
      </c>
      <c r="B2048" s="138">
        <f>'Cap Outlay Deprec 26'!J13</f>
        <v>1601385</v>
      </c>
      <c r="D2048" s="2" t="str">
        <f t="shared" si="31"/>
        <v>Error?</v>
      </c>
    </row>
    <row r="2049" spans="1:4">
      <c r="A2049" s="5">
        <v>1988</v>
      </c>
      <c r="B2049" s="138">
        <f>'Cap Outlay Deprec 26'!J16</f>
        <v>7446407</v>
      </c>
      <c r="C2049" s="2" t="s">
        <v>573</v>
      </c>
      <c r="D2049" s="2" t="str">
        <f t="shared" si="31"/>
        <v>Error?</v>
      </c>
    </row>
    <row r="2050" spans="1:4">
      <c r="A2050" s="10">
        <v>1989</v>
      </c>
      <c r="D2050" s="2" t="str">
        <f t="shared" si="31"/>
        <v>OK</v>
      </c>
    </row>
    <row r="2051" spans="1:4">
      <c r="A2051" s="5">
        <v>1990</v>
      </c>
      <c r="B2051" s="138">
        <f>'Cap Outlay Deprec 26'!K8</f>
        <v>15678556</v>
      </c>
      <c r="C2051" s="2" t="s">
        <v>573</v>
      </c>
      <c r="D2051" s="2" t="str">
        <f t="shared" si="31"/>
        <v>Error?</v>
      </c>
    </row>
    <row r="2052" spans="1:4">
      <c r="A2052" s="5">
        <v>1991</v>
      </c>
      <c r="B2052" s="138">
        <f>'Cap Outlay Deprec 26'!K10</f>
        <v>1384797</v>
      </c>
      <c r="C2052" s="2" t="s">
        <v>573</v>
      </c>
      <c r="D2052" s="2" t="str">
        <f t="shared" si="31"/>
        <v>Error?</v>
      </c>
    </row>
    <row r="2053" spans="1:4">
      <c r="A2053" s="5">
        <v>1992</v>
      </c>
      <c r="B2053" s="138">
        <f>'Cap Outlay Deprec 26'!K12</f>
        <v>491561</v>
      </c>
      <c r="C2053" s="2" t="s">
        <v>573</v>
      </c>
      <c r="D2053" s="2" t="str">
        <f t="shared" si="31"/>
        <v>Error?</v>
      </c>
    </row>
    <row r="2054" spans="1:4">
      <c r="A2054" s="5">
        <v>1993</v>
      </c>
      <c r="B2054" s="138">
        <f>'Cap Outlay Deprec 26'!K13</f>
        <v>529450</v>
      </c>
      <c r="C2054" s="2" t="s">
        <v>573</v>
      </c>
      <c r="D2054" s="2" t="str">
        <f t="shared" si="31"/>
        <v>Error?</v>
      </c>
    </row>
    <row r="2055" spans="1:4">
      <c r="A2055" s="5">
        <v>1994</v>
      </c>
      <c r="B2055" s="138">
        <f>'Cap Outlay Deprec 26'!K16</f>
        <v>18084364</v>
      </c>
      <c r="C2055" s="2" t="s">
        <v>573</v>
      </c>
      <c r="D2055" s="2" t="str">
        <f t="shared" si="31"/>
        <v>Error?</v>
      </c>
    </row>
    <row r="2056" spans="1:4">
      <c r="A2056" s="5">
        <v>1995</v>
      </c>
      <c r="B2056" s="138">
        <f>'Cap Outlay Deprec 26'!L5</f>
        <v>85616</v>
      </c>
      <c r="C2056" s="2" t="s">
        <v>573</v>
      </c>
      <c r="D2056" s="2" t="str">
        <f t="shared" si="31"/>
        <v>Error?</v>
      </c>
    </row>
    <row r="2057" spans="1:4">
      <c r="A2057" s="5">
        <v>1996</v>
      </c>
      <c r="B2057" s="138">
        <f>'Cap Outlay Deprec 26'!L8</f>
        <v>37329469</v>
      </c>
      <c r="C2057" s="2" t="s">
        <v>573</v>
      </c>
      <c r="D2057" s="2" t="str">
        <f t="shared" si="31"/>
        <v>Error?</v>
      </c>
    </row>
    <row r="2058" spans="1:4">
      <c r="A2058" s="5">
        <v>1997</v>
      </c>
      <c r="B2058" s="138">
        <f>'Cap Outlay Deprec 26'!L10</f>
        <v>122841</v>
      </c>
      <c r="C2058" s="2" t="s">
        <v>573</v>
      </c>
      <c r="D2058" s="2" t="str">
        <f t="shared" si="31"/>
        <v>Error?</v>
      </c>
    </row>
    <row r="2059" spans="1:4">
      <c r="A2059" s="5">
        <v>1998</v>
      </c>
      <c r="B2059" s="138">
        <f>'Cap Outlay Deprec 26'!L12</f>
        <v>438675</v>
      </c>
      <c r="C2059" s="2" t="s">
        <v>573</v>
      </c>
      <c r="D2059" s="2" t="str">
        <f t="shared" si="31"/>
        <v>Error?</v>
      </c>
    </row>
    <row r="2060" spans="1:4">
      <c r="A2060" s="5">
        <v>1999</v>
      </c>
      <c r="B2060" s="138">
        <f>'Cap Outlay Deprec 26'!L13</f>
        <v>92771</v>
      </c>
      <c r="C2060" s="2" t="s">
        <v>573</v>
      </c>
      <c r="D2060" s="2" t="str">
        <f t="shared" si="31"/>
        <v>Error?</v>
      </c>
    </row>
    <row r="2061" spans="1:4">
      <c r="A2061" s="5">
        <v>2000</v>
      </c>
      <c r="B2061" s="138">
        <f>'Cap Outlay Deprec 26'!L16</f>
        <v>38069372</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426647</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426647</v>
      </c>
      <c r="C2088" s="2" t="s">
        <v>573</v>
      </c>
      <c r="D2088" s="2" t="str">
        <f t="shared" si="31"/>
        <v>Error?</v>
      </c>
    </row>
    <row r="2089" spans="1:4">
      <c r="A2089" s="5">
        <v>2028</v>
      </c>
      <c r="B2089" s="138">
        <f>'Expenditures 15-22'!K92</f>
        <v>998311</v>
      </c>
      <c r="C2089" s="2" t="s">
        <v>573</v>
      </c>
      <c r="D2089" s="2" t="str">
        <f t="shared" si="31"/>
        <v>Error?</v>
      </c>
    </row>
    <row r="2090" spans="1:4">
      <c r="A2090" s="10">
        <v>2029</v>
      </c>
      <c r="D2090" s="2" t="str">
        <f t="shared" si="31"/>
        <v>OK</v>
      </c>
    </row>
    <row r="2091" spans="1:4">
      <c r="A2091" s="5">
        <v>2030</v>
      </c>
      <c r="B2091" s="138">
        <f>'Expenditures 15-22'!H137</f>
        <v>0</v>
      </c>
      <c r="C2091" s="2" t="s">
        <v>573</v>
      </c>
      <c r="D2091" s="2" t="str">
        <f t="shared" si="31"/>
        <v>Error?</v>
      </c>
    </row>
    <row r="2092" spans="1:4">
      <c r="A2092" s="5">
        <v>2031</v>
      </c>
      <c r="B2092" s="138">
        <f>'Expenditures 15-22'!H138</f>
        <v>0</v>
      </c>
      <c r="D2092" s="2" t="str">
        <f t="shared" si="31"/>
        <v>Error?</v>
      </c>
    </row>
    <row r="2093" spans="1:4">
      <c r="A2093" s="5">
        <v>2032</v>
      </c>
      <c r="B2093" s="138">
        <f>'Expenditures 15-22'!K137</f>
        <v>0</v>
      </c>
      <c r="C2093" s="2" t="s">
        <v>573</v>
      </c>
      <c r="D2093" s="2" t="str">
        <f t="shared" si="31"/>
        <v>Error?</v>
      </c>
    </row>
    <row r="2094" spans="1:4">
      <c r="A2094" s="5">
        <v>2033</v>
      </c>
      <c r="B2094" s="138">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8">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978432</v>
      </c>
      <c r="C2105" s="2" t="s">
        <v>573</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1914851</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1466656</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463224</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10357330</v>
      </c>
      <c r="C2551" s="2" t="s">
        <v>573</v>
      </c>
      <c r="D2551" s="2" t="str">
        <f t="shared" si="38"/>
        <v>Error?</v>
      </c>
    </row>
    <row r="2552" spans="1:4">
      <c r="A2552" s="10">
        <v>2491</v>
      </c>
      <c r="D2552" s="2" t="str">
        <f t="shared" si="38"/>
        <v>OK</v>
      </c>
    </row>
    <row r="2553" spans="1:4">
      <c r="A2553" s="5">
        <v>2492</v>
      </c>
      <c r="B2553" s="138">
        <f>'Acct Summary 7-8'!C6</f>
        <v>13056870</v>
      </c>
      <c r="C2553" s="2" t="s">
        <v>573</v>
      </c>
      <c r="D2553" s="2" t="str">
        <f t="shared" si="38"/>
        <v>Error?</v>
      </c>
    </row>
    <row r="2554" spans="1:4">
      <c r="A2554" s="5">
        <v>2493</v>
      </c>
      <c r="B2554" s="138">
        <f>'Acct Summary 7-8'!C7</f>
        <v>3962109</v>
      </c>
      <c r="C2554" s="2" t="s">
        <v>573</v>
      </c>
      <c r="D2554" s="2" t="str">
        <f t="shared" si="38"/>
        <v>Error?</v>
      </c>
    </row>
    <row r="2555" spans="1:4">
      <c r="A2555" s="5">
        <v>2494</v>
      </c>
      <c r="B2555" s="138">
        <f>'Acct Summary 7-8'!C8</f>
        <v>27376309</v>
      </c>
      <c r="C2555" s="2" t="s">
        <v>573</v>
      </c>
      <c r="D2555" s="2" t="str">
        <f t="shared" si="38"/>
        <v>Error?</v>
      </c>
    </row>
    <row r="2556" spans="1:4">
      <c r="A2556" s="5">
        <v>2495</v>
      </c>
      <c r="B2556" s="138">
        <f>'Acct Summary 7-8'!C12</f>
        <v>15543925</v>
      </c>
      <c r="C2556" s="2" t="s">
        <v>573</v>
      </c>
      <c r="D2556" s="2" t="str">
        <f t="shared" si="38"/>
        <v>Error?</v>
      </c>
    </row>
    <row r="2557" spans="1:4">
      <c r="A2557" s="5">
        <v>2496</v>
      </c>
      <c r="B2557" s="138">
        <f>'Acct Summary 7-8'!C13</f>
        <v>8920806</v>
      </c>
      <c r="C2557" s="2" t="s">
        <v>573</v>
      </c>
      <c r="D2557" s="2" t="str">
        <f t="shared" si="38"/>
        <v>Error?</v>
      </c>
    </row>
    <row r="2558" spans="1:4">
      <c r="A2558" s="5">
        <v>2497</v>
      </c>
      <c r="B2558" s="138">
        <f>'Acct Summary 7-8'!C14</f>
        <v>82967</v>
      </c>
      <c r="C2558" s="2" t="s">
        <v>573</v>
      </c>
      <c r="D2558" s="2" t="str">
        <f t="shared" si="38"/>
        <v>Error?</v>
      </c>
    </row>
    <row r="2559" spans="1:4">
      <c r="A2559" s="5">
        <v>2498</v>
      </c>
      <c r="B2559" s="138">
        <f>'Acct Summary 7-8'!C15</f>
        <v>1424958</v>
      </c>
      <c r="C2559" s="2" t="s">
        <v>573</v>
      </c>
      <c r="D2559" s="2" t="str">
        <f t="shared" ref="D2559:D2622" si="39">IF(ISBLANK(B2559),"OK",IF(A2559-B2559=0,"OK","Error?"))</f>
        <v>Error?</v>
      </c>
    </row>
    <row r="2560" spans="1:4">
      <c r="A2560" s="5">
        <v>2499</v>
      </c>
      <c r="B2560" s="138">
        <f>'Acct Summary 7-8'!C16</f>
        <v>37571</v>
      </c>
      <c r="C2560" s="2" t="s">
        <v>573</v>
      </c>
      <c r="D2560" s="2" t="str">
        <f t="shared" si="39"/>
        <v>Error?</v>
      </c>
    </row>
    <row r="2561" spans="1:4">
      <c r="A2561" s="5">
        <v>2500</v>
      </c>
      <c r="B2561" s="138">
        <f>'Acct Summary 7-8'!C17</f>
        <v>26010227</v>
      </c>
      <c r="C2561" s="2" t="s">
        <v>573</v>
      </c>
      <c r="D2561" s="2" t="str">
        <f t="shared" si="39"/>
        <v>Error?</v>
      </c>
    </row>
    <row r="2562" spans="1:4">
      <c r="A2562" s="5">
        <v>2501</v>
      </c>
      <c r="B2562" s="138">
        <f>'Acct Summary 7-8'!C20</f>
        <v>1366082</v>
      </c>
      <c r="C2562" s="2" t="s">
        <v>573</v>
      </c>
      <c r="D2562" s="2" t="str">
        <f t="shared" si="39"/>
        <v>Error?</v>
      </c>
    </row>
    <row r="2563" spans="1:4">
      <c r="A2563" s="5">
        <v>2502</v>
      </c>
      <c r="B2563" s="138">
        <f>'Acct Summary 7-8'!C80</f>
        <v>1459789</v>
      </c>
      <c r="D2563" s="2" t="str">
        <f t="shared" si="39"/>
        <v>Error?</v>
      </c>
    </row>
    <row r="2564" spans="1:4">
      <c r="A2564" s="5">
        <v>2503</v>
      </c>
      <c r="B2564" s="138">
        <f>'Acct Summary 7-8'!D4</f>
        <v>1921405</v>
      </c>
      <c r="C2564" s="2" t="s">
        <v>573</v>
      </c>
      <c r="D2564" s="2" t="str">
        <f t="shared" si="39"/>
        <v>Error?</v>
      </c>
    </row>
    <row r="2565" spans="1:4">
      <c r="A2565" s="10">
        <v>2504</v>
      </c>
      <c r="D2565" s="2" t="str">
        <f t="shared" si="39"/>
        <v>OK</v>
      </c>
    </row>
    <row r="2566" spans="1:4">
      <c r="A2566" s="5">
        <v>2505</v>
      </c>
      <c r="B2566" s="138">
        <f>'Acct Summary 7-8'!D6</f>
        <v>0</v>
      </c>
      <c r="C2566" s="2" t="s">
        <v>573</v>
      </c>
      <c r="D2566" s="2" t="str">
        <f t="shared" si="39"/>
        <v>Error?</v>
      </c>
    </row>
    <row r="2567" spans="1:4">
      <c r="A2567" s="5">
        <v>2506</v>
      </c>
      <c r="B2567" s="138">
        <f>'Acct Summary 7-8'!D7</f>
        <v>0</v>
      </c>
      <c r="C2567" s="2" t="s">
        <v>573</v>
      </c>
      <c r="D2567" s="2" t="str">
        <f t="shared" si="39"/>
        <v>Error?</v>
      </c>
    </row>
    <row r="2568" spans="1:4">
      <c r="A2568" s="5">
        <v>2507</v>
      </c>
      <c r="B2568" s="138">
        <f>'Acct Summary 7-8'!D8</f>
        <v>1921405</v>
      </c>
      <c r="C2568" s="2" t="s">
        <v>573</v>
      </c>
      <c r="D2568" s="2" t="str">
        <f t="shared" si="39"/>
        <v>Error?</v>
      </c>
    </row>
    <row r="2569" spans="1:4">
      <c r="A2569" s="5">
        <v>2508</v>
      </c>
      <c r="B2569" s="138">
        <f>'Acct Summary 7-8'!D13</f>
        <v>2166327</v>
      </c>
      <c r="C2569" s="2" t="s">
        <v>573</v>
      </c>
      <c r="D2569" s="2" t="str">
        <f t="shared" si="39"/>
        <v>Error?</v>
      </c>
    </row>
    <row r="2570" spans="1:4">
      <c r="A2570" s="5">
        <v>2509</v>
      </c>
      <c r="B2570" s="138">
        <f>'Acct Summary 7-8'!D14</f>
        <v>0</v>
      </c>
      <c r="C2570" s="2" t="s">
        <v>573</v>
      </c>
      <c r="D2570" s="2" t="str">
        <f t="shared" si="39"/>
        <v>Error?</v>
      </c>
    </row>
    <row r="2571" spans="1:4">
      <c r="A2571" s="5">
        <v>2510</v>
      </c>
      <c r="B2571" s="138">
        <f>'Acct Summary 7-8'!D15</f>
        <v>0</v>
      </c>
      <c r="C2571" s="2" t="s">
        <v>573</v>
      </c>
      <c r="D2571" s="2" t="str">
        <f t="shared" si="39"/>
        <v>Error?</v>
      </c>
    </row>
    <row r="2572" spans="1:4">
      <c r="A2572" s="5">
        <v>2511</v>
      </c>
      <c r="B2572" s="138">
        <f>'Acct Summary 7-8'!D16</f>
        <v>0</v>
      </c>
      <c r="C2572" s="2" t="s">
        <v>573</v>
      </c>
      <c r="D2572" s="2" t="str">
        <f t="shared" si="39"/>
        <v>Error?</v>
      </c>
    </row>
    <row r="2573" spans="1:4">
      <c r="A2573" s="5">
        <v>2512</v>
      </c>
      <c r="B2573" s="138">
        <f>'Acct Summary 7-8'!D17</f>
        <v>2166327</v>
      </c>
      <c r="C2573" s="2" t="s">
        <v>573</v>
      </c>
      <c r="D2573" s="2" t="str">
        <f t="shared" si="39"/>
        <v>Error?</v>
      </c>
    </row>
    <row r="2574" spans="1:4">
      <c r="A2574" s="5">
        <v>2513</v>
      </c>
      <c r="B2574" s="138">
        <f>'Acct Summary 7-8'!D20</f>
        <v>-244922</v>
      </c>
      <c r="C2574" s="2" t="s">
        <v>573</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679360</v>
      </c>
      <c r="C2591" s="2" t="s">
        <v>573</v>
      </c>
      <c r="D2591" s="2" t="str">
        <f t="shared" si="39"/>
        <v>Error?</v>
      </c>
    </row>
    <row r="2592" spans="1:4">
      <c r="A2592" s="10">
        <v>2531</v>
      </c>
      <c r="D2592" s="2" t="str">
        <f t="shared" si="39"/>
        <v>OK</v>
      </c>
    </row>
    <row r="2593" spans="1:4">
      <c r="A2593" s="5">
        <v>2532</v>
      </c>
      <c r="B2593" s="138">
        <f>'Acct Summary 7-8'!F6</f>
        <v>751439</v>
      </c>
      <c r="C2593" s="2" t="s">
        <v>573</v>
      </c>
      <c r="D2593" s="2" t="str">
        <f t="shared" si="39"/>
        <v>Error?</v>
      </c>
    </row>
    <row r="2594" spans="1:4">
      <c r="A2594" s="5">
        <v>2533</v>
      </c>
      <c r="B2594" s="138">
        <f>'Acct Summary 7-8'!F7</f>
        <v>0</v>
      </c>
      <c r="C2594" s="2" t="s">
        <v>573</v>
      </c>
      <c r="D2594" s="2" t="str">
        <f t="shared" si="39"/>
        <v>Error?</v>
      </c>
    </row>
    <row r="2595" spans="1:4">
      <c r="A2595" s="5">
        <v>2534</v>
      </c>
      <c r="B2595" s="138">
        <f>'Acct Summary 7-8'!F8</f>
        <v>1430799</v>
      </c>
      <c r="C2595" s="2" t="s">
        <v>573</v>
      </c>
      <c r="D2595" s="2" t="str">
        <f t="shared" si="39"/>
        <v>Error?</v>
      </c>
    </row>
    <row r="2596" spans="1:4">
      <c r="A2596" s="5">
        <v>2535</v>
      </c>
      <c r="B2596" s="138">
        <f>'Acct Summary 7-8'!F13</f>
        <v>1618254</v>
      </c>
      <c r="C2596" s="2" t="s">
        <v>573</v>
      </c>
      <c r="D2596" s="2" t="str">
        <f t="shared" si="39"/>
        <v>Error?</v>
      </c>
    </row>
    <row r="2597" spans="1:4">
      <c r="A2597" s="5">
        <v>2536</v>
      </c>
      <c r="B2597" s="138">
        <f>'Acct Summary 7-8'!F14</f>
        <v>0</v>
      </c>
      <c r="C2597" s="2" t="s">
        <v>573</v>
      </c>
      <c r="D2597" s="2" t="str">
        <f t="shared" si="39"/>
        <v>Error?</v>
      </c>
    </row>
    <row r="2598" spans="1:4">
      <c r="A2598" s="5">
        <v>2537</v>
      </c>
      <c r="B2598" s="138">
        <f>'Acct Summary 7-8'!F15</f>
        <v>0</v>
      </c>
      <c r="C2598" s="2" t="s">
        <v>573</v>
      </c>
      <c r="D2598" s="2" t="str">
        <f t="shared" si="39"/>
        <v>Error?</v>
      </c>
    </row>
    <row r="2599" spans="1:4">
      <c r="A2599" s="5">
        <v>2538</v>
      </c>
      <c r="B2599" s="138">
        <f>'Acct Summary 7-8'!F16</f>
        <v>0</v>
      </c>
      <c r="C2599" s="2" t="s">
        <v>573</v>
      </c>
      <c r="D2599" s="2" t="str">
        <f t="shared" si="39"/>
        <v>Error?</v>
      </c>
    </row>
    <row r="2600" spans="1:4">
      <c r="A2600" s="5">
        <v>2539</v>
      </c>
      <c r="B2600" s="138">
        <f>'Acct Summary 7-8'!F17</f>
        <v>1618254</v>
      </c>
      <c r="C2600" s="2" t="s">
        <v>573</v>
      </c>
      <c r="D2600" s="2" t="str">
        <f t="shared" si="39"/>
        <v>Error?</v>
      </c>
    </row>
    <row r="2601" spans="1:4">
      <c r="A2601" s="5">
        <v>2540</v>
      </c>
      <c r="B2601" s="138">
        <f>'Acct Summary 7-8'!F20</f>
        <v>-187455</v>
      </c>
      <c r="C2601" s="2" t="s">
        <v>573</v>
      </c>
      <c r="D2601" s="2" t="str">
        <f t="shared" si="39"/>
        <v>Error?</v>
      </c>
    </row>
    <row r="2602" spans="1:4">
      <c r="A2602" s="5">
        <v>2541</v>
      </c>
      <c r="B2602" s="138">
        <f>'Acct Summary 7-8'!F80</f>
        <v>0</v>
      </c>
      <c r="D2602" s="2" t="str">
        <f t="shared" si="39"/>
        <v>Error?</v>
      </c>
    </row>
    <row r="2603" spans="1:4">
      <c r="A2603" s="5">
        <v>2542</v>
      </c>
      <c r="B2603" s="138">
        <f>'Acct Summary 7-8'!G4</f>
        <v>1486023</v>
      </c>
      <c r="C2603" s="2" t="s">
        <v>573</v>
      </c>
      <c r="D2603" s="2" t="str">
        <f t="shared" si="39"/>
        <v>Error?</v>
      </c>
    </row>
    <row r="2604" spans="1:4">
      <c r="A2604" s="5">
        <v>2543</v>
      </c>
      <c r="B2604" s="138">
        <f>'Acct Summary 7-8'!G6</f>
        <v>0</v>
      </c>
      <c r="C2604" s="2" t="s">
        <v>573</v>
      </c>
      <c r="D2604" s="2" t="str">
        <f t="shared" si="39"/>
        <v>Error?</v>
      </c>
    </row>
    <row r="2605" spans="1:4">
      <c r="A2605" s="5">
        <v>2544</v>
      </c>
      <c r="B2605" s="138">
        <f>'Acct Summary 7-8'!G7</f>
        <v>0</v>
      </c>
      <c r="C2605" s="2" t="s">
        <v>573</v>
      </c>
      <c r="D2605" s="2" t="str">
        <f t="shared" si="39"/>
        <v>Error?</v>
      </c>
    </row>
    <row r="2606" spans="1:4">
      <c r="A2606" s="5">
        <v>2545</v>
      </c>
      <c r="B2606" s="138">
        <f>'Acct Summary 7-8'!G8</f>
        <v>1486023</v>
      </c>
      <c r="C2606" s="2" t="s">
        <v>573</v>
      </c>
      <c r="D2606" s="2" t="str">
        <f t="shared" si="39"/>
        <v>Error?</v>
      </c>
    </row>
    <row r="2607" spans="1:4">
      <c r="A2607" s="5">
        <v>2546</v>
      </c>
      <c r="B2607" s="138">
        <f>'Acct Summary 7-8'!G12</f>
        <v>387237</v>
      </c>
      <c r="C2607" s="2" t="s">
        <v>573</v>
      </c>
      <c r="D2607" s="2" t="str">
        <f t="shared" si="39"/>
        <v>Error?</v>
      </c>
    </row>
    <row r="2608" spans="1:4">
      <c r="A2608" s="5">
        <v>2547</v>
      </c>
      <c r="B2608" s="138">
        <f>'Acct Summary 7-8'!G13</f>
        <v>869164</v>
      </c>
      <c r="C2608" s="2" t="s">
        <v>573</v>
      </c>
      <c r="D2608" s="2" t="str">
        <f t="shared" si="39"/>
        <v>Error?</v>
      </c>
    </row>
    <row r="2609" spans="1:4">
      <c r="A2609" s="5">
        <v>2548</v>
      </c>
      <c r="B2609" s="138">
        <f>'Acct Summary 7-8'!G14</f>
        <v>6446</v>
      </c>
      <c r="C2609" s="2" t="s">
        <v>573</v>
      </c>
      <c r="D2609" s="2" t="str">
        <f t="shared" si="39"/>
        <v>Error?</v>
      </c>
    </row>
    <row r="2610" spans="1:4">
      <c r="A2610" s="10">
        <v>2549</v>
      </c>
      <c r="D2610" s="2" t="str">
        <f t="shared" si="39"/>
        <v>OK</v>
      </c>
    </row>
    <row r="2611" spans="1:4">
      <c r="A2611" s="5">
        <v>2550</v>
      </c>
      <c r="B2611" s="138">
        <f>'Acct Summary 7-8'!G16</f>
        <v>0</v>
      </c>
      <c r="C2611" s="2" t="s">
        <v>573</v>
      </c>
      <c r="D2611" s="2" t="str">
        <f t="shared" si="39"/>
        <v>Error?</v>
      </c>
    </row>
    <row r="2612" spans="1:4">
      <c r="A2612" s="5">
        <v>2551</v>
      </c>
      <c r="B2612" s="138">
        <f>'Acct Summary 7-8'!G17</f>
        <v>1262847</v>
      </c>
      <c r="C2612" s="2" t="s">
        <v>573</v>
      </c>
      <c r="D2612" s="2" t="str">
        <f t="shared" si="39"/>
        <v>Error?</v>
      </c>
    </row>
    <row r="2613" spans="1:4">
      <c r="A2613" s="5">
        <v>2552</v>
      </c>
      <c r="B2613" s="138">
        <f>'Acct Summary 7-8'!G20</f>
        <v>223176</v>
      </c>
      <c r="C2613" s="2" t="s">
        <v>573</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3415367</v>
      </c>
      <c r="C2630" s="2" t="s">
        <v>573</v>
      </c>
      <c r="D2630" s="2" t="str">
        <f t="shared" si="40"/>
        <v>Error?</v>
      </c>
    </row>
    <row r="2631" spans="1:4">
      <c r="A2631" s="5">
        <v>2570</v>
      </c>
      <c r="B2631" s="138">
        <f>'Acct Summary 7-8'!E6</f>
        <v>0</v>
      </c>
      <c r="C2631" s="2" t="s">
        <v>573</v>
      </c>
      <c r="D2631" s="2" t="str">
        <f t="shared" si="40"/>
        <v>Error?</v>
      </c>
    </row>
    <row r="2632" spans="1:4">
      <c r="A2632" s="5">
        <v>2571</v>
      </c>
      <c r="B2632" s="138">
        <f>'Acct Summary 7-8'!E8</f>
        <v>3415367</v>
      </c>
      <c r="C2632" s="2" t="s">
        <v>573</v>
      </c>
      <c r="D2632" s="2" t="str">
        <f t="shared" si="40"/>
        <v>Error?</v>
      </c>
    </row>
    <row r="2633" spans="1:4">
      <c r="A2633" s="5">
        <v>2572</v>
      </c>
      <c r="B2633" s="138">
        <f>'Acct Summary 7-8'!E15</f>
        <v>0</v>
      </c>
      <c r="C2633" s="2" t="s">
        <v>573</v>
      </c>
      <c r="D2633" s="2" t="str">
        <f t="shared" si="40"/>
        <v>Error?</v>
      </c>
    </row>
    <row r="2634" spans="1:4">
      <c r="A2634" s="5">
        <v>2573</v>
      </c>
      <c r="B2634" s="138">
        <f>'Acct Summary 7-8'!E16</f>
        <v>3289962</v>
      </c>
      <c r="C2634" s="2" t="s">
        <v>573</v>
      </c>
      <c r="D2634" s="2" t="str">
        <f t="shared" si="40"/>
        <v>Error?</v>
      </c>
    </row>
    <row r="2635" spans="1:4">
      <c r="A2635" s="5">
        <v>2574</v>
      </c>
      <c r="B2635" s="138">
        <f>'Acct Summary 7-8'!E17</f>
        <v>3289962</v>
      </c>
      <c r="C2635" s="2" t="s">
        <v>573</v>
      </c>
      <c r="D2635" s="2" t="str">
        <f t="shared" si="40"/>
        <v>Error?</v>
      </c>
    </row>
    <row r="2636" spans="1:4">
      <c r="A2636" s="5">
        <v>2575</v>
      </c>
      <c r="B2636" s="138">
        <f>'Acct Summary 7-8'!E20</f>
        <v>125405</v>
      </c>
      <c r="C2636" s="2" t="s">
        <v>573</v>
      </c>
      <c r="D2636" s="2" t="str">
        <f t="shared" si="40"/>
        <v>Error?</v>
      </c>
    </row>
    <row r="2637" spans="1:4">
      <c r="A2637" s="5">
        <v>2576</v>
      </c>
      <c r="B2637" s="138">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589604</v>
      </c>
      <c r="C2655" s="2" t="s">
        <v>573</v>
      </c>
      <c r="D2655" s="2" t="str">
        <f t="shared" si="40"/>
        <v>Error?</v>
      </c>
    </row>
    <row r="2656" spans="1:4">
      <c r="A2656" s="5">
        <v>2595</v>
      </c>
      <c r="B2656" s="138">
        <f>'Acct Summary 7-8'!H6</f>
        <v>0</v>
      </c>
      <c r="C2656" s="2" t="s">
        <v>573</v>
      </c>
      <c r="D2656" s="2" t="str">
        <f t="shared" si="40"/>
        <v>Error?</v>
      </c>
    </row>
    <row r="2657" spans="1:4">
      <c r="A2657" s="5">
        <v>2596</v>
      </c>
      <c r="B2657" s="138">
        <f>'Acct Summary 7-8'!H7</f>
        <v>0</v>
      </c>
      <c r="C2657" s="2" t="s">
        <v>573</v>
      </c>
      <c r="D2657" s="2" t="str">
        <f t="shared" si="40"/>
        <v>Error?</v>
      </c>
    </row>
    <row r="2658" spans="1:4">
      <c r="A2658" s="5">
        <v>2597</v>
      </c>
      <c r="B2658" s="138">
        <f>'Acct Summary 7-8'!H8</f>
        <v>589604</v>
      </c>
      <c r="C2658" s="2" t="s">
        <v>573</v>
      </c>
      <c r="D2658" s="2" t="str">
        <f t="shared" si="40"/>
        <v>Error?</v>
      </c>
    </row>
    <row r="2659" spans="1:4">
      <c r="A2659" s="5">
        <v>2598</v>
      </c>
      <c r="B2659" s="138">
        <f>'Acct Summary 7-8'!H13</f>
        <v>24563</v>
      </c>
      <c r="C2659" s="2" t="s">
        <v>573</v>
      </c>
      <c r="D2659" s="2" t="str">
        <f t="shared" si="40"/>
        <v>Error?</v>
      </c>
    </row>
    <row r="2660" spans="1:4">
      <c r="A2660" s="5">
        <v>2599</v>
      </c>
      <c r="B2660" s="138">
        <f>'Acct Summary 7-8'!H15</f>
        <v>0</v>
      </c>
      <c r="C2660" s="2" t="s">
        <v>573</v>
      </c>
      <c r="D2660" s="2" t="str">
        <f t="shared" si="40"/>
        <v>Error?</v>
      </c>
    </row>
    <row r="2661" spans="1:4">
      <c r="A2661" s="5">
        <v>2600</v>
      </c>
      <c r="B2661" s="138">
        <f>'Acct Summary 7-8'!H17</f>
        <v>24563</v>
      </c>
      <c r="C2661" s="2" t="s">
        <v>573</v>
      </c>
      <c r="D2661" s="2" t="str">
        <f t="shared" si="40"/>
        <v>Error?</v>
      </c>
    </row>
    <row r="2662" spans="1:4">
      <c r="A2662" s="5">
        <v>2601</v>
      </c>
      <c r="B2662" s="138">
        <f>'Acct Summary 7-8'!H20</f>
        <v>565041</v>
      </c>
      <c r="C2662" s="2" t="s">
        <v>573</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196830</v>
      </c>
      <c r="D2718" s="2" t="str">
        <f t="shared" si="41"/>
        <v>Error?</v>
      </c>
    </row>
    <row r="2719" spans="1:4">
      <c r="A2719" s="5">
        <v>2658</v>
      </c>
      <c r="B2719" s="138">
        <f>'Expenditures 15-22'!D51</f>
        <v>30941</v>
      </c>
      <c r="D2719" s="2" t="str">
        <f t="shared" si="41"/>
        <v>Error?</v>
      </c>
    </row>
    <row r="2720" spans="1:4">
      <c r="A2720" s="5">
        <v>2659</v>
      </c>
      <c r="B2720" s="138">
        <f>'Expenditures 15-22'!E51</f>
        <v>0</v>
      </c>
      <c r="D2720" s="2" t="str">
        <f t="shared" si="41"/>
        <v>Error?</v>
      </c>
    </row>
    <row r="2721" spans="1:4">
      <c r="A2721" s="5">
        <v>2660</v>
      </c>
      <c r="B2721" s="138">
        <f>'Expenditures 15-22'!F51</f>
        <v>704</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228475</v>
      </c>
      <c r="C2724" s="2" t="s">
        <v>573</v>
      </c>
      <c r="D2724" s="2" t="str">
        <f t="shared" si="41"/>
        <v>Error?</v>
      </c>
    </row>
    <row r="2725" spans="1:4">
      <c r="A2725" s="5">
        <v>2664</v>
      </c>
      <c r="B2725" s="138">
        <f>'Expenditures 15-22'!D247</f>
        <v>16356</v>
      </c>
      <c r="D2725" s="2" t="str">
        <f t="shared" si="41"/>
        <v>Error?</v>
      </c>
    </row>
    <row r="2726" spans="1:4">
      <c r="A2726" s="5">
        <v>2665</v>
      </c>
      <c r="B2726" s="138">
        <f>'Expenditures 15-22'!K247</f>
        <v>16356</v>
      </c>
      <c r="C2726" s="2" t="s">
        <v>573</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573</v>
      </c>
      <c r="D2733" s="2" t="str">
        <f t="shared" si="41"/>
        <v>Error?</v>
      </c>
    </row>
    <row r="2734" spans="1:4">
      <c r="A2734" s="5">
        <v>2673</v>
      </c>
      <c r="B2734" s="138">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573</v>
      </c>
      <c r="D2789" s="2" t="str">
        <f t="shared" si="42"/>
        <v>Error?</v>
      </c>
    </row>
    <row r="2790" spans="1:4">
      <c r="A2790" s="5">
        <v>2729</v>
      </c>
      <c r="B2790" s="138">
        <f>'Expenditures 15-22'!E102</f>
        <v>0</v>
      </c>
      <c r="C2790" s="2" t="s">
        <v>573</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573</v>
      </c>
      <c r="D2795" s="2" t="str">
        <f t="shared" si="42"/>
        <v>Error?</v>
      </c>
    </row>
    <row r="2796" spans="1:4">
      <c r="A2796" s="5">
        <v>2735</v>
      </c>
      <c r="B2796" s="138">
        <f>'Expenditures 15-22'!K108</f>
        <v>0</v>
      </c>
      <c r="C2796" s="2" t="s">
        <v>573</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8">
        <f>'Expenditures 15-22'!K130</f>
        <v>0</v>
      </c>
      <c r="C2805" s="2" t="s">
        <v>573</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573</v>
      </c>
      <c r="D2809" s="2" t="str">
        <f t="shared" si="42"/>
        <v>OK</v>
      </c>
    </row>
    <row r="2810" spans="1:4">
      <c r="A2810" s="5">
        <v>2749</v>
      </c>
      <c r="B2810" s="138">
        <f>'Expenditures 15-22'!K144</f>
        <v>0</v>
      </c>
      <c r="C2810" s="2" t="s">
        <v>573</v>
      </c>
      <c r="D2810" s="2" t="str">
        <f t="shared" si="42"/>
        <v>Error?</v>
      </c>
    </row>
    <row r="2811" spans="1:4">
      <c r="A2811" s="5">
        <v>2750</v>
      </c>
      <c r="B2811" s="138">
        <f>'Expenditures 15-22'!K145</f>
        <v>0</v>
      </c>
      <c r="C2811" s="2" t="s">
        <v>573</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8">
        <f>'Acct Summary 7-8'!E50</f>
        <v>0</v>
      </c>
      <c r="D2817" s="2" t="str">
        <f t="shared" si="43"/>
        <v>Error?</v>
      </c>
    </row>
    <row r="2818" spans="1:4">
      <c r="A2818" s="5">
        <v>2757</v>
      </c>
      <c r="B2818" s="138">
        <f>'Expenditures 15-22'!K165</f>
        <v>0</v>
      </c>
      <c r="C2818" s="2" t="s">
        <v>573</v>
      </c>
      <c r="D2818" s="2" t="str">
        <f t="shared" si="43"/>
        <v>Error?</v>
      </c>
    </row>
    <row r="2819" spans="1:4">
      <c r="A2819" s="5">
        <v>2758</v>
      </c>
      <c r="B2819" s="138">
        <f>'Expenditures 15-22'!K166</f>
        <v>0</v>
      </c>
      <c r="C2819" s="2" t="s">
        <v>573</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573</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573</v>
      </c>
      <c r="D2828" s="2" t="str">
        <f t="shared" si="43"/>
        <v>Error?</v>
      </c>
    </row>
    <row r="2829" spans="1:4">
      <c r="A2829" s="5">
        <v>2768</v>
      </c>
      <c r="B2829" s="138">
        <f>'Expenditures 15-22'!H195</f>
        <v>0</v>
      </c>
      <c r="D2829" s="2" t="str">
        <f t="shared" si="43"/>
        <v>Error?</v>
      </c>
    </row>
    <row r="2830" spans="1:4">
      <c r="A2830" s="5">
        <v>2769</v>
      </c>
      <c r="B2830" s="138">
        <f>'Expenditures 15-22'!H196</f>
        <v>0</v>
      </c>
      <c r="C2830" s="2" t="s">
        <v>573</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8">
        <f>'Expenditures 15-22'!K185</f>
        <v>0</v>
      </c>
      <c r="C2836" s="2" t="s">
        <v>573</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573</v>
      </c>
      <c r="D2839" s="2" t="str">
        <f t="shared" si="43"/>
        <v>Error?</v>
      </c>
    </row>
    <row r="2840" spans="1:5">
      <c r="A2840" s="5">
        <v>2779</v>
      </c>
      <c r="B2840" s="138">
        <f>'Acct Summary 7-8'!F50</f>
        <v>0</v>
      </c>
      <c r="D2840" s="2" t="str">
        <f t="shared" si="43"/>
        <v>Error?</v>
      </c>
    </row>
    <row r="2841" spans="1:5">
      <c r="A2841" s="5">
        <v>2780</v>
      </c>
      <c r="B2841" s="138">
        <f>'Expenditures 15-22'!K201</f>
        <v>0</v>
      </c>
      <c r="C2841" s="2" t="s">
        <v>573</v>
      </c>
      <c r="D2841" s="2" t="str">
        <f t="shared" si="43"/>
        <v>Error?</v>
      </c>
    </row>
    <row r="2842" spans="1:5">
      <c r="A2842" s="5">
        <v>2781</v>
      </c>
      <c r="B2842" s="138">
        <f>'Expenditures 15-22'!K202</f>
        <v>0</v>
      </c>
      <c r="C2842" s="2" t="s">
        <v>573</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573</v>
      </c>
      <c r="D2845" s="2" t="str">
        <f t="shared" si="43"/>
        <v>Error?</v>
      </c>
    </row>
    <row r="2846" spans="1:5">
      <c r="A2846" s="5">
        <v>2785</v>
      </c>
      <c r="B2846" s="138">
        <f>'Expenditures 15-22'!K291</f>
        <v>0</v>
      </c>
      <c r="C2846" s="2" t="s">
        <v>573</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4224243</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4224243</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174627</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573</v>
      </c>
      <c r="D2910" s="2" t="str">
        <f t="shared" si="44"/>
        <v>Error?</v>
      </c>
    </row>
    <row r="2911" spans="1:4">
      <c r="A2911" s="5">
        <v>2850</v>
      </c>
      <c r="B2911" s="138">
        <f>'Assets-Liab 5-6'!I38</f>
        <v>0</v>
      </c>
      <c r="D2911" s="2" t="str">
        <f t="shared" si="44"/>
        <v>Error?</v>
      </c>
    </row>
    <row r="2912" spans="1:4">
      <c r="A2912" s="5">
        <v>2851</v>
      </c>
      <c r="B2912" s="138">
        <f>'Assets-Liab 5-6'!I39</f>
        <v>4224243</v>
      </c>
      <c r="D2912" s="2" t="str">
        <f t="shared" si="44"/>
        <v>Error?</v>
      </c>
    </row>
    <row r="2913" spans="1:4">
      <c r="A2913" s="5">
        <v>2852</v>
      </c>
      <c r="B2913" s="138">
        <f>'Assets-Liab 5-6'!I41</f>
        <v>4224243</v>
      </c>
      <c r="C2913" s="2" t="s">
        <v>573</v>
      </c>
      <c r="D2913" s="2" t="str">
        <f t="shared" si="44"/>
        <v>Error?</v>
      </c>
    </row>
    <row r="2914" spans="1:4">
      <c r="A2914" s="5">
        <v>2853</v>
      </c>
      <c r="B2914" s="138">
        <f>'Assets-Liab 5-6'!L33</f>
        <v>174627</v>
      </c>
      <c r="D2914" s="2" t="str">
        <f t="shared" si="44"/>
        <v>Error?</v>
      </c>
    </row>
    <row r="2915" spans="1:4">
      <c r="A2915" s="10">
        <v>2854</v>
      </c>
      <c r="D2915" s="2" t="str">
        <f t="shared" si="44"/>
        <v>OK</v>
      </c>
    </row>
    <row r="2916" spans="1:4">
      <c r="A2916" s="5">
        <v>2855</v>
      </c>
      <c r="B2916" s="138">
        <f>'Assets-Liab 5-6'!L34</f>
        <v>174627</v>
      </c>
      <c r="C2916" s="2" t="s">
        <v>573</v>
      </c>
      <c r="D2916" s="2" t="str">
        <f t="shared" si="44"/>
        <v>Error?</v>
      </c>
    </row>
    <row r="2917" spans="1:4">
      <c r="A2917" s="5">
        <v>2856</v>
      </c>
      <c r="B2917" s="138">
        <f>'Assets-Liab 5-6'!L41</f>
        <v>174627</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7790</v>
      </c>
      <c r="D2955" s="2" t="str">
        <f t="shared" si="45"/>
        <v>Error?</v>
      </c>
    </row>
    <row r="2956" spans="1:4">
      <c r="A2956" s="5">
        <v>2895</v>
      </c>
      <c r="B2956" s="138">
        <f>'Expenditures 15-22'!H79</f>
        <v>418857</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7790</v>
      </c>
      <c r="C2973" s="2" t="s">
        <v>573</v>
      </c>
      <c r="D2973" s="2" t="str">
        <f t="shared" si="45"/>
        <v>Error?</v>
      </c>
    </row>
    <row r="2974" spans="1:4">
      <c r="A2974" s="5">
        <v>2913</v>
      </c>
      <c r="B2974" s="138">
        <f>'Expenditures 15-22'!K79</f>
        <v>418857</v>
      </c>
      <c r="C2974" s="2" t="s">
        <v>573</v>
      </c>
      <c r="D2974" s="2" t="str">
        <f t="shared" si="45"/>
        <v>Error?</v>
      </c>
    </row>
    <row r="2975" spans="1:4">
      <c r="A2975" s="5">
        <v>2914</v>
      </c>
      <c r="B2975" s="138">
        <f>'Expenditures 15-22'!K80</f>
        <v>0</v>
      </c>
      <c r="C2975" s="2" t="s">
        <v>573</v>
      </c>
      <c r="D2975" s="2" t="str">
        <f t="shared" si="45"/>
        <v>Error?</v>
      </c>
    </row>
    <row r="2976" spans="1:4">
      <c r="A2976" s="5">
        <v>2915</v>
      </c>
      <c r="B2976" s="138">
        <f>'Expenditures 15-22'!K81</f>
        <v>0</v>
      </c>
      <c r="C2976" s="2" t="s">
        <v>573</v>
      </c>
      <c r="D2976" s="2" t="str">
        <f t="shared" si="45"/>
        <v>Error?</v>
      </c>
    </row>
    <row r="2977" spans="1:4">
      <c r="A2977" s="5">
        <v>2916</v>
      </c>
      <c r="B2977" s="138">
        <f>'Expenditures 15-22'!K82</f>
        <v>0</v>
      </c>
      <c r="C2977" s="2" t="s">
        <v>573</v>
      </c>
      <c r="D2977" s="2" t="str">
        <f t="shared" si="45"/>
        <v>Error?</v>
      </c>
    </row>
    <row r="2978" spans="1:4">
      <c r="A2978" s="5">
        <v>2917</v>
      </c>
      <c r="B2978" s="138">
        <f>'Expenditures 15-22'!K83</f>
        <v>0</v>
      </c>
      <c r="C2978" s="2" t="s">
        <v>573</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8">
        <f>'Expenditures 15-22'!K134</f>
        <v>0</v>
      </c>
      <c r="C2986" s="2" t="s">
        <v>573</v>
      </c>
      <c r="D2986" s="2" t="str">
        <f t="shared" si="45"/>
        <v>Error?</v>
      </c>
    </row>
    <row r="2987" spans="1:4">
      <c r="A2987" s="5">
        <v>2926</v>
      </c>
      <c r="B2987" s="138">
        <f>'Expenditures 15-22'!K135</f>
        <v>0</v>
      </c>
      <c r="C2987" s="2" t="s">
        <v>573</v>
      </c>
      <c r="D2987" s="2" t="str">
        <f t="shared" si="45"/>
        <v>Error?</v>
      </c>
    </row>
    <row r="2988" spans="1:4">
      <c r="A2988" s="5">
        <v>2927</v>
      </c>
      <c r="B2988" s="138">
        <f>'Expenditures 15-22'!K136</f>
        <v>0</v>
      </c>
      <c r="C2988" s="2" t="s">
        <v>573</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573</v>
      </c>
      <c r="D3007" s="2" t="str">
        <f t="shared" ref="D3007:D3070" si="46">IF(ISBLANK(B3007),"OK",IF(A3007-B3007=0,"OK","Error?"))</f>
        <v>Error?</v>
      </c>
    </row>
    <row r="3008" spans="1:4">
      <c r="A3008" s="5">
        <v>2947</v>
      </c>
      <c r="B3008" s="138">
        <f>'Expenditures 15-22'!K189</f>
        <v>0</v>
      </c>
      <c r="C3008" s="2" t="s">
        <v>573</v>
      </c>
      <c r="D3008" s="2" t="str">
        <f t="shared" si="46"/>
        <v>Error?</v>
      </c>
    </row>
    <row r="3009" spans="1:4">
      <c r="A3009" s="5">
        <v>2948</v>
      </c>
      <c r="B3009" s="138">
        <f>'Expenditures 15-22'!K190</f>
        <v>0</v>
      </c>
      <c r="C3009" s="2" t="s">
        <v>573</v>
      </c>
      <c r="D3009" s="2" t="str">
        <f t="shared" si="46"/>
        <v>Error?</v>
      </c>
    </row>
    <row r="3010" spans="1:4">
      <c r="A3010" s="5">
        <v>2949</v>
      </c>
      <c r="B3010" s="138">
        <f>'Expenditures 15-22'!K191</f>
        <v>0</v>
      </c>
      <c r="C3010" s="2" t="s">
        <v>573</v>
      </c>
      <c r="D3010" s="2" t="str">
        <f t="shared" si="46"/>
        <v>Error?</v>
      </c>
    </row>
    <row r="3011" spans="1:4">
      <c r="A3011" s="5">
        <v>2950</v>
      </c>
      <c r="B3011" s="138">
        <f>'Expenditures 15-22'!K192</f>
        <v>0</v>
      </c>
      <c r="C3011" s="2" t="s">
        <v>573</v>
      </c>
      <c r="D3011" s="2" t="str">
        <f t="shared" si="46"/>
        <v>Error?</v>
      </c>
    </row>
    <row r="3012" spans="1:4">
      <c r="A3012" s="5">
        <v>2951</v>
      </c>
      <c r="B3012" s="138">
        <f>'Expenditures 15-22'!K193</f>
        <v>0</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289642</v>
      </c>
      <c r="D3055" s="2" t="str">
        <f t="shared" si="46"/>
        <v>Error?</v>
      </c>
    </row>
    <row r="3056" spans="1:4">
      <c r="A3056" s="5">
        <v>2995</v>
      </c>
      <c r="B3056" s="138">
        <f>'Expenditures 15-22'!D10</f>
        <v>70840</v>
      </c>
      <c r="D3056" s="2" t="str">
        <f t="shared" si="46"/>
        <v>Error?</v>
      </c>
    </row>
    <row r="3057" spans="1:4">
      <c r="A3057" s="5">
        <v>2996</v>
      </c>
      <c r="B3057" s="138">
        <f>'Expenditures 15-22'!E10</f>
        <v>58625</v>
      </c>
      <c r="D3057" s="2" t="str">
        <f t="shared" si="46"/>
        <v>Error?</v>
      </c>
    </row>
    <row r="3058" spans="1:4">
      <c r="A3058" s="5">
        <v>2997</v>
      </c>
      <c r="B3058" s="138">
        <f>'Expenditures 15-22'!F10</f>
        <v>147411</v>
      </c>
      <c r="D3058" s="2" t="str">
        <f t="shared" si="46"/>
        <v>Error?</v>
      </c>
    </row>
    <row r="3059" spans="1:4">
      <c r="A3059" s="5">
        <v>2998</v>
      </c>
      <c r="B3059" s="138">
        <f>'Expenditures 15-22'!G10</f>
        <v>876</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567394</v>
      </c>
      <c r="C3062" s="2" t="s">
        <v>573</v>
      </c>
      <c r="D3062" s="2" t="str">
        <f t="shared" si="46"/>
        <v>Error?</v>
      </c>
    </row>
    <row r="3063" spans="1:4">
      <c r="A3063" s="10">
        <v>3002</v>
      </c>
      <c r="D3063" s="2" t="str">
        <f t="shared" si="46"/>
        <v>OK</v>
      </c>
    </row>
    <row r="3064" spans="1:4">
      <c r="A3064" s="5">
        <v>3003</v>
      </c>
      <c r="B3064" s="138">
        <f>'Expenditures 15-22'!D219</f>
        <v>47066</v>
      </c>
      <c r="D3064" s="2" t="str">
        <f t="shared" si="46"/>
        <v>Error?</v>
      </c>
    </row>
    <row r="3065" spans="1:4">
      <c r="A3065" s="5">
        <v>3004</v>
      </c>
      <c r="B3065" s="138">
        <f>'Expenditures 15-22'!K219</f>
        <v>47066</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263703</v>
      </c>
      <c r="C3225" s="2" t="s">
        <v>573</v>
      </c>
      <c r="D3225" s="2" t="str">
        <f t="shared" si="49"/>
        <v>Error?</v>
      </c>
    </row>
    <row r="3226" spans="1:4">
      <c r="A3226" s="5">
        <v>3165</v>
      </c>
      <c r="B3226" s="138">
        <f>'Acct Summary 7-8'!I8</f>
        <v>263703</v>
      </c>
      <c r="C3226" s="2" t="s">
        <v>573</v>
      </c>
      <c r="D3226" s="2" t="str">
        <f t="shared" si="49"/>
        <v>Error?</v>
      </c>
    </row>
    <row r="3227" spans="1:4">
      <c r="A3227" s="5">
        <v>3166</v>
      </c>
      <c r="B3227" s="138">
        <f>'Acct Summary 7-8'!I20</f>
        <v>263703</v>
      </c>
      <c r="C3227" s="2" t="s">
        <v>573</v>
      </c>
      <c r="D3227" s="2" t="str">
        <f t="shared" si="49"/>
        <v>Error?</v>
      </c>
    </row>
    <row r="3228" spans="1:4">
      <c r="A3228" s="5">
        <v>3167</v>
      </c>
      <c r="B3228" s="138">
        <f>'Acct Summary 7-8'!C43</f>
        <v>0</v>
      </c>
      <c r="D3228" s="2" t="str">
        <f t="shared" si="49"/>
        <v>Error?</v>
      </c>
    </row>
    <row r="3229" spans="1:4">
      <c r="A3229" s="5">
        <v>3168</v>
      </c>
      <c r="B3229" s="138">
        <f>'Acct Summary 7-8'!C44</f>
        <v>137977</v>
      </c>
      <c r="C3229" s="2" t="s">
        <v>573</v>
      </c>
      <c r="D3229" s="2" t="str">
        <f t="shared" si="49"/>
        <v>Error?</v>
      </c>
    </row>
    <row r="3230" spans="1:4">
      <c r="A3230" s="5">
        <v>3169</v>
      </c>
      <c r="B3230" s="138">
        <f>'Acct Summary 7-8'!C75</f>
        <v>0</v>
      </c>
      <c r="D3230" s="2" t="str">
        <f t="shared" si="49"/>
        <v>Error?</v>
      </c>
    </row>
    <row r="3231" spans="1:4">
      <c r="A3231" s="5">
        <v>3170</v>
      </c>
      <c r="B3231" s="138">
        <f>'Acct Summary 7-8'!C76</f>
        <v>0</v>
      </c>
      <c r="C3231" s="2" t="s">
        <v>573</v>
      </c>
      <c r="D3231" s="2" t="str">
        <f t="shared" si="49"/>
        <v>Error?</v>
      </c>
    </row>
    <row r="3232" spans="1:4">
      <c r="A3232" s="5">
        <v>3171</v>
      </c>
      <c r="B3232" s="138">
        <f>'Acct Summary 7-8'!C77</f>
        <v>137977</v>
      </c>
      <c r="C3232" s="2" t="s">
        <v>573</v>
      </c>
      <c r="D3232" s="2" t="str">
        <f t="shared" si="49"/>
        <v>Error?</v>
      </c>
    </row>
    <row r="3233" spans="1:4">
      <c r="A3233" s="5">
        <v>3172</v>
      </c>
      <c r="B3233" s="138">
        <f>'Acct Summary 7-8'!C78</f>
        <v>1504059</v>
      </c>
      <c r="C3233" s="2" t="s">
        <v>573</v>
      </c>
      <c r="D3233" s="2" t="str">
        <f t="shared" si="49"/>
        <v>Error?</v>
      </c>
    </row>
    <row r="3234" spans="1:4">
      <c r="A3234" s="5">
        <v>3173</v>
      </c>
      <c r="B3234" s="138">
        <f>'Acct Summary 7-8'!D43</f>
        <v>0</v>
      </c>
      <c r="D3234" s="2" t="str">
        <f t="shared" si="49"/>
        <v>Error?</v>
      </c>
    </row>
    <row r="3235" spans="1:4">
      <c r="A3235" s="5">
        <v>3174</v>
      </c>
      <c r="B3235" s="138">
        <f>'Acct Summary 7-8'!D44</f>
        <v>635000</v>
      </c>
      <c r="C3235" s="2" t="s">
        <v>573</v>
      </c>
      <c r="D3235" s="2" t="str">
        <f t="shared" si="49"/>
        <v>Error?</v>
      </c>
    </row>
    <row r="3236" spans="1:4">
      <c r="A3236" s="5">
        <v>3175</v>
      </c>
      <c r="B3236" s="138">
        <f>'Acct Summary 7-8'!D75</f>
        <v>0</v>
      </c>
      <c r="D3236" s="2" t="str">
        <f t="shared" si="49"/>
        <v>Error?</v>
      </c>
    </row>
    <row r="3237" spans="1:4">
      <c r="A3237" s="5">
        <v>3176</v>
      </c>
      <c r="B3237" s="138">
        <f>'Acct Summary 7-8'!D76</f>
        <v>137977</v>
      </c>
      <c r="C3237" s="2" t="s">
        <v>573</v>
      </c>
      <c r="D3237" s="2" t="str">
        <f t="shared" si="49"/>
        <v>Error?</v>
      </c>
    </row>
    <row r="3238" spans="1:4">
      <c r="A3238" s="5">
        <v>3177</v>
      </c>
      <c r="B3238" s="138">
        <f>'Acct Summary 7-8'!D77</f>
        <v>497023</v>
      </c>
      <c r="C3238" s="2" t="s">
        <v>573</v>
      </c>
      <c r="D3238" s="2" t="str">
        <f t="shared" si="49"/>
        <v>Error?</v>
      </c>
    </row>
    <row r="3239" spans="1:4">
      <c r="A3239" s="5">
        <v>3178</v>
      </c>
      <c r="B3239" s="138">
        <f>'Acct Summary 7-8'!D78</f>
        <v>252101</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343432</v>
      </c>
      <c r="C3252" s="2" t="s">
        <v>573</v>
      </c>
      <c r="D3252" s="2" t="str">
        <f t="shared" si="49"/>
        <v>Error?</v>
      </c>
    </row>
    <row r="3253" spans="1:4">
      <c r="A3253" s="5">
        <v>3192</v>
      </c>
      <c r="B3253" s="138">
        <f>'Acct Summary 7-8'!F75</f>
        <v>0</v>
      </c>
      <c r="D3253" s="2" t="str">
        <f t="shared" si="49"/>
        <v>Error?</v>
      </c>
    </row>
    <row r="3254" spans="1:4">
      <c r="A3254" s="5">
        <v>3193</v>
      </c>
      <c r="B3254" s="138">
        <f>'Acct Summary 7-8'!F76</f>
        <v>0</v>
      </c>
      <c r="C3254" s="2" t="s">
        <v>573</v>
      </c>
      <c r="D3254" s="2" t="str">
        <f t="shared" si="49"/>
        <v>Error?</v>
      </c>
    </row>
    <row r="3255" spans="1:4">
      <c r="A3255" s="5">
        <v>3194</v>
      </c>
      <c r="B3255" s="138">
        <f>'Acct Summary 7-8'!F77</f>
        <v>343432</v>
      </c>
      <c r="C3255" s="2" t="s">
        <v>573</v>
      </c>
      <c r="D3255" s="2" t="str">
        <f t="shared" si="49"/>
        <v>Error?</v>
      </c>
    </row>
    <row r="3256" spans="1:4">
      <c r="A3256" s="5">
        <v>3195</v>
      </c>
      <c r="B3256" s="138">
        <f>'Acct Summary 7-8'!F78</f>
        <v>155977</v>
      </c>
      <c r="C3256" s="2" t="s">
        <v>573</v>
      </c>
      <c r="D3256" s="2" t="str">
        <f t="shared" si="49"/>
        <v>Error?</v>
      </c>
    </row>
    <row r="3257" spans="1:4">
      <c r="A3257" s="5">
        <v>3196</v>
      </c>
      <c r="B3257" s="138">
        <f>'Acct Summary 7-8'!G43</f>
        <v>0</v>
      </c>
      <c r="D3257" s="2" t="str">
        <f t="shared" si="49"/>
        <v>Error?</v>
      </c>
    </row>
    <row r="3258" spans="1:4">
      <c r="A3258" s="5">
        <v>3197</v>
      </c>
      <c r="B3258" s="138">
        <f>'Acct Summary 7-8'!G44</f>
        <v>0</v>
      </c>
      <c r="C3258" s="2" t="s">
        <v>573</v>
      </c>
      <c r="D3258" s="2" t="str">
        <f t="shared" si="49"/>
        <v>Error?</v>
      </c>
    </row>
    <row r="3259" spans="1:4">
      <c r="A3259" s="5">
        <v>3198</v>
      </c>
      <c r="B3259" s="138">
        <f>'Acct Summary 7-8'!G50</f>
        <v>0</v>
      </c>
      <c r="D3259" s="2" t="str">
        <f t="shared" si="49"/>
        <v>Error?</v>
      </c>
    </row>
    <row r="3260" spans="1:4">
      <c r="A3260" s="5">
        <v>3199</v>
      </c>
      <c r="B3260" s="138">
        <f>'Acct Summary 7-8'!G76</f>
        <v>0</v>
      </c>
      <c r="C3260" s="2" t="s">
        <v>573</v>
      </c>
      <c r="D3260" s="2" t="str">
        <f t="shared" si="49"/>
        <v>Error?</v>
      </c>
    </row>
    <row r="3261" spans="1:4">
      <c r="A3261" s="5">
        <v>3200</v>
      </c>
      <c r="B3261" s="138">
        <f>'Acct Summary 7-8'!G77</f>
        <v>0</v>
      </c>
      <c r="C3261" s="2" t="s">
        <v>573</v>
      </c>
      <c r="D3261" s="2" t="str">
        <f t="shared" si="49"/>
        <v>Error?</v>
      </c>
    </row>
    <row r="3262" spans="1:4">
      <c r="A3262" s="5">
        <v>3201</v>
      </c>
      <c r="B3262" s="138">
        <f>'Acct Summary 7-8'!G78</f>
        <v>223176</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573</v>
      </c>
      <c r="D3274" s="2" t="str">
        <f t="shared" si="50"/>
        <v>Error?</v>
      </c>
    </row>
    <row r="3275" spans="1:4">
      <c r="A3275" s="5">
        <v>3214</v>
      </c>
      <c r="B3275" s="138">
        <f>'Acct Summary 7-8'!E75</f>
        <v>0</v>
      </c>
      <c r="D3275" s="2" t="str">
        <f t="shared" si="50"/>
        <v>Error?</v>
      </c>
    </row>
    <row r="3276" spans="1:4">
      <c r="A3276" s="5">
        <v>3215</v>
      </c>
      <c r="B3276" s="138">
        <f>'Acct Summary 7-8'!E76</f>
        <v>0</v>
      </c>
      <c r="C3276" s="2" t="s">
        <v>573</v>
      </c>
      <c r="D3276" s="2" t="str">
        <f t="shared" si="50"/>
        <v>Error?</v>
      </c>
    </row>
    <row r="3277" spans="1:4">
      <c r="A3277" s="5">
        <v>3216</v>
      </c>
      <c r="B3277" s="138">
        <f>'Acct Summary 7-8'!E77</f>
        <v>0</v>
      </c>
      <c r="C3277" s="2" t="s">
        <v>573</v>
      </c>
      <c r="D3277" s="2" t="str">
        <f t="shared" si="50"/>
        <v>Error?</v>
      </c>
    </row>
    <row r="3278" spans="1:4">
      <c r="A3278" s="5">
        <v>3217</v>
      </c>
      <c r="B3278" s="138">
        <f>'Acct Summary 7-8'!E78</f>
        <v>125405</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573</v>
      </c>
      <c r="D3296" s="2" t="str">
        <f t="shared" si="50"/>
        <v>Error?</v>
      </c>
    </row>
    <row r="3297" spans="1:4">
      <c r="A3297" s="5">
        <v>3236</v>
      </c>
      <c r="B3297" s="138">
        <f>'Acct Summary 7-8'!H75</f>
        <v>0</v>
      </c>
      <c r="D3297" s="2" t="str">
        <f t="shared" si="50"/>
        <v>Error?</v>
      </c>
    </row>
    <row r="3298" spans="1:4">
      <c r="A3298" s="5">
        <v>3237</v>
      </c>
      <c r="B3298" s="138">
        <f>'Acct Summary 7-8'!H76</f>
        <v>0</v>
      </c>
      <c r="C3298" s="2" t="s">
        <v>573</v>
      </c>
      <c r="D3298" s="2" t="str">
        <f t="shared" si="50"/>
        <v>Error?</v>
      </c>
    </row>
    <row r="3299" spans="1:4">
      <c r="A3299" s="5">
        <v>3238</v>
      </c>
      <c r="B3299" s="138">
        <f>'Acct Summary 7-8'!H77</f>
        <v>0</v>
      </c>
      <c r="C3299" s="2" t="s">
        <v>573</v>
      </c>
      <c r="D3299" s="2" t="str">
        <f t="shared" si="50"/>
        <v>Error?</v>
      </c>
    </row>
    <row r="3300" spans="1:4">
      <c r="A3300" s="5">
        <v>3239</v>
      </c>
      <c r="B3300" s="138">
        <f>'Acct Summary 7-8'!H78</f>
        <v>565041</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573</v>
      </c>
      <c r="D3317" s="2" t="str">
        <f t="shared" si="50"/>
        <v>Error?</v>
      </c>
    </row>
    <row r="3318" spans="1:4">
      <c r="A3318" s="5">
        <v>3257</v>
      </c>
      <c r="B3318" s="138">
        <f>'Acct Summary 7-8'!I76</f>
        <v>978432</v>
      </c>
      <c r="C3318" s="2" t="s">
        <v>573</v>
      </c>
      <c r="D3318" s="2" t="str">
        <f t="shared" si="50"/>
        <v>Error?</v>
      </c>
    </row>
    <row r="3319" spans="1:4">
      <c r="A3319" s="5">
        <v>3258</v>
      </c>
      <c r="B3319" s="138">
        <f>'Acct Summary 7-8'!I77</f>
        <v>-978432</v>
      </c>
      <c r="C3319" s="2" t="s">
        <v>573</v>
      </c>
      <c r="D3319" s="2" t="str">
        <f t="shared" si="50"/>
        <v>Error?</v>
      </c>
    </row>
    <row r="3320" spans="1:4">
      <c r="A3320" s="5">
        <v>3259</v>
      </c>
      <c r="B3320" s="138">
        <f>'Acct Summary 7-8'!I78</f>
        <v>-714729</v>
      </c>
      <c r="C3320" s="2" t="s">
        <v>573</v>
      </c>
      <c r="D3320" s="2" t="str">
        <f t="shared" si="50"/>
        <v>Error?</v>
      </c>
    </row>
    <row r="3321" spans="1:4">
      <c r="A3321" s="5">
        <v>3260</v>
      </c>
      <c r="B3321" s="138">
        <f>'Acct Summary 7-8'!I79</f>
        <v>4938972</v>
      </c>
      <c r="D3321" s="2" t="str">
        <f t="shared" si="50"/>
        <v>Error?</v>
      </c>
    </row>
    <row r="3322" spans="1:4">
      <c r="A3322" s="5">
        <v>3261</v>
      </c>
      <c r="B3322" s="138">
        <f>'Acct Summary 7-8'!I80</f>
        <v>0</v>
      </c>
      <c r="D3322" s="2" t="str">
        <f t="shared" si="50"/>
        <v>Error?</v>
      </c>
    </row>
    <row r="3323" spans="1:4">
      <c r="A3323" s="5">
        <v>3262</v>
      </c>
      <c r="B3323" s="138">
        <f>'Acct Summary 7-8'!I81</f>
        <v>4224243</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2473721</v>
      </c>
      <c r="D3366" s="2" t="str">
        <f t="shared" si="51"/>
        <v>Error?</v>
      </c>
    </row>
    <row r="3367" spans="1:4">
      <c r="A3367" s="5">
        <v>3306</v>
      </c>
      <c r="B3367" s="138">
        <f>'Expenditures 15-22'!C19</f>
        <v>0</v>
      </c>
      <c r="D3367" s="2" t="str">
        <f t="shared" si="51"/>
        <v>Error?</v>
      </c>
    </row>
    <row r="3368" spans="1:4">
      <c r="A3368" s="5">
        <v>3307</v>
      </c>
      <c r="B3368" s="138">
        <f>'Expenditures 15-22'!D8</f>
        <v>304623</v>
      </c>
      <c r="D3368" s="2" t="str">
        <f t="shared" si="51"/>
        <v>Error?</v>
      </c>
    </row>
    <row r="3369" spans="1:4">
      <c r="A3369" s="5">
        <v>3308</v>
      </c>
      <c r="B3369" s="138">
        <f>'Expenditures 15-22'!D19</f>
        <v>0</v>
      </c>
      <c r="D3369" s="2" t="str">
        <f t="shared" si="51"/>
        <v>Error?</v>
      </c>
    </row>
    <row r="3370" spans="1:4">
      <c r="A3370" s="5">
        <v>3309</v>
      </c>
      <c r="B3370" s="138">
        <f>'Expenditures 15-22'!E8</f>
        <v>87286</v>
      </c>
      <c r="D3370" s="2" t="str">
        <f t="shared" si="51"/>
        <v>Error?</v>
      </c>
    </row>
    <row r="3371" spans="1:4">
      <c r="A3371" s="5">
        <v>3310</v>
      </c>
      <c r="B3371" s="138">
        <f>'Expenditures 15-22'!E19</f>
        <v>0</v>
      </c>
      <c r="D3371" s="2" t="str">
        <f t="shared" si="51"/>
        <v>Error?</v>
      </c>
    </row>
    <row r="3372" spans="1:4">
      <c r="A3372" s="5">
        <v>3311</v>
      </c>
      <c r="B3372" s="138">
        <f>'Expenditures 15-22'!F8</f>
        <v>20438</v>
      </c>
      <c r="D3372" s="2" t="str">
        <f t="shared" si="51"/>
        <v>Error?</v>
      </c>
    </row>
    <row r="3373" spans="1:4">
      <c r="A3373" s="5">
        <v>3312</v>
      </c>
      <c r="B3373" s="138">
        <f>'Expenditures 15-22'!F19</f>
        <v>0</v>
      </c>
      <c r="D3373" s="2" t="str">
        <f t="shared" si="51"/>
        <v>Error?</v>
      </c>
    </row>
    <row r="3374" spans="1:4">
      <c r="A3374" s="5">
        <v>3313</v>
      </c>
      <c r="B3374" s="138">
        <f>'Expenditures 15-22'!G8</f>
        <v>724</v>
      </c>
      <c r="D3374" s="2" t="str">
        <f t="shared" si="51"/>
        <v>Error?</v>
      </c>
    </row>
    <row r="3375" spans="1:4">
      <c r="A3375" s="5">
        <v>3314</v>
      </c>
      <c r="B3375" s="138">
        <f>'Expenditures 15-22'!G19</f>
        <v>0</v>
      </c>
      <c r="D3375" s="2" t="str">
        <f t="shared" si="51"/>
        <v>Error?</v>
      </c>
    </row>
    <row r="3376" spans="1:4">
      <c r="A3376" s="5">
        <v>3315</v>
      </c>
      <c r="B3376" s="138">
        <f>'Expenditures 15-22'!H8</f>
        <v>180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2886972</v>
      </c>
      <c r="C3380" s="2" t="s">
        <v>573</v>
      </c>
      <c r="D3380" s="2" t="str">
        <f t="shared" si="51"/>
        <v>Error?</v>
      </c>
    </row>
    <row r="3381" spans="1:4">
      <c r="A3381" s="5">
        <v>3320</v>
      </c>
      <c r="B3381" s="138">
        <f>'Expenditures 15-22'!K19</f>
        <v>0</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160152</v>
      </c>
      <c r="D3387" s="2" t="str">
        <f t="shared" si="51"/>
        <v>Error?</v>
      </c>
    </row>
    <row r="3388" spans="1:4">
      <c r="A3388" s="5">
        <v>3327</v>
      </c>
      <c r="B3388" s="138">
        <f>'Expenditures 15-22'!D217</f>
        <v>126029</v>
      </c>
      <c r="D3388" s="2" t="str">
        <f t="shared" si="51"/>
        <v>Error?</v>
      </c>
    </row>
    <row r="3389" spans="1:4">
      <c r="A3389" s="5">
        <v>3328</v>
      </c>
      <c r="B3389" s="138">
        <f>'Expenditures 15-22'!D228</f>
        <v>0</v>
      </c>
      <c r="D3389" s="2" t="str">
        <f t="shared" si="51"/>
        <v>Error?</v>
      </c>
    </row>
    <row r="3390" spans="1:4">
      <c r="A3390" s="5">
        <v>3329</v>
      </c>
      <c r="B3390" s="138">
        <f>'Expenditures 15-22'!K215</f>
        <v>160152</v>
      </c>
      <c r="C3390" s="2" t="s">
        <v>573</v>
      </c>
      <c r="D3390" s="2" t="str">
        <f t="shared" si="51"/>
        <v>Error?</v>
      </c>
    </row>
    <row r="3391" spans="1:4">
      <c r="A3391" s="5">
        <v>3330</v>
      </c>
      <c r="B3391" s="138">
        <f>'Expenditures 15-22'!K217</f>
        <v>126029</v>
      </c>
      <c r="C3391" s="2" t="s">
        <v>573</v>
      </c>
      <c r="D3391" s="2" t="str">
        <f t="shared" ref="D3391:D3454" si="52">IF(ISBLANK(B3391),"OK",IF(A3391-B3391=0,"OK","Error?"))</f>
        <v>Error?</v>
      </c>
    </row>
    <row r="3392" spans="1:4">
      <c r="A3392" s="5">
        <v>3331</v>
      </c>
      <c r="B3392" s="138">
        <f>'Expenditures 15-22'!K228</f>
        <v>0</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573</v>
      </c>
      <c r="D3405" s="2" t="str">
        <f t="shared" si="52"/>
        <v>Error?</v>
      </c>
    </row>
    <row r="3406" spans="1:4">
      <c r="A3406" s="5">
        <v>3345</v>
      </c>
      <c r="B3406" s="138">
        <f>'Acct Summary 7-8'!D5</f>
        <v>0</v>
      </c>
      <c r="C3406" s="2" t="s">
        <v>573</v>
      </c>
      <c r="D3406" s="2" t="str">
        <f t="shared" si="52"/>
        <v>Error?</v>
      </c>
    </row>
    <row r="3407" spans="1:4">
      <c r="A3407" s="10">
        <v>3346</v>
      </c>
      <c r="D3407" s="2" t="str">
        <f t="shared" si="52"/>
        <v>OK</v>
      </c>
    </row>
    <row r="3408" spans="1:4">
      <c r="A3408" s="5">
        <v>3347</v>
      </c>
      <c r="B3408" s="138">
        <f>'Acct Summary 7-8'!F5</f>
        <v>0</v>
      </c>
      <c r="C3408" s="2" t="s">
        <v>573</v>
      </c>
      <c r="D3408" s="2" t="str">
        <f t="shared" si="52"/>
        <v>Error?</v>
      </c>
    </row>
    <row r="3409" spans="1:4">
      <c r="A3409" s="5">
        <v>3348</v>
      </c>
      <c r="B3409" s="138">
        <f>'Acct Summary 7-8'!G5</f>
        <v>0</v>
      </c>
      <c r="C3409" s="2" t="s">
        <v>573</v>
      </c>
      <c r="D3409" s="2" t="str">
        <f t="shared" si="52"/>
        <v>Error?</v>
      </c>
    </row>
    <row r="3410" spans="1:4">
      <c r="A3410" s="10">
        <v>3349</v>
      </c>
      <c r="D3410" s="2" t="str">
        <f t="shared" si="52"/>
        <v>OK</v>
      </c>
    </row>
    <row r="3411" spans="1:4">
      <c r="A3411" s="5">
        <v>3350</v>
      </c>
      <c r="B3411" s="138">
        <f>'Assets-Liab 5-6'!C4</f>
        <v>1536287</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6</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134185</v>
      </c>
      <c r="D3417" s="2" t="str">
        <f t="shared" si="52"/>
        <v>Error?</v>
      </c>
    </row>
    <row r="3418" spans="1:4">
      <c r="A3418" s="10">
        <v>3357</v>
      </c>
      <c r="D3418" s="2" t="str">
        <f t="shared" si="52"/>
        <v>OK</v>
      </c>
    </row>
    <row r="3419" spans="1:4">
      <c r="A3419" s="5">
        <v>3358</v>
      </c>
      <c r="B3419" s="138">
        <f>'Assets-Liab 5-6'!F4</f>
        <v>0</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1</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0</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174627</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8">
        <f>'Tax Sched 23'!B16</f>
        <v>657199</v>
      </c>
      <c r="C3446" s="2" t="s">
        <v>573</v>
      </c>
      <c r="D3446" s="2" t="str">
        <f t="shared" si="52"/>
        <v>Error?</v>
      </c>
    </row>
    <row r="3447" spans="1:4">
      <c r="A3447" s="5">
        <v>3386</v>
      </c>
      <c r="B3447" s="138">
        <f>'Tax Sched 23'!D16</f>
        <v>440902</v>
      </c>
      <c r="C3447" s="2" t="s">
        <v>573</v>
      </c>
      <c r="D3447" s="2" t="str">
        <f t="shared" si="52"/>
        <v>Error?</v>
      </c>
    </row>
    <row r="3448" spans="1:4">
      <c r="A3448" s="5">
        <v>3387</v>
      </c>
      <c r="B3448" s="138">
        <f>'Tax Sched 23'!C16</f>
        <v>216297</v>
      </c>
      <c r="D3448" s="2" t="str">
        <f t="shared" si="52"/>
        <v>Error?</v>
      </c>
    </row>
    <row r="3449" spans="1:4">
      <c r="A3449" s="5">
        <v>3388</v>
      </c>
      <c r="B3449" s="138">
        <f>'Tax Sched 23'!F16</f>
        <v>467984</v>
      </c>
      <c r="C3449" s="2" t="s">
        <v>573</v>
      </c>
      <c r="D3449" s="2" t="str">
        <f t="shared" si="52"/>
        <v>Error?</v>
      </c>
    </row>
    <row r="3450" spans="1:4">
      <c r="A3450" s="5">
        <v>3389</v>
      </c>
      <c r="B3450" s="138">
        <f>'Tax Sched 23'!E16</f>
        <v>684281</v>
      </c>
      <c r="D3450" s="2" t="str">
        <f t="shared" si="52"/>
        <v>Error?</v>
      </c>
    </row>
    <row r="3451" spans="1:4">
      <c r="A3451" s="5">
        <v>3390</v>
      </c>
      <c r="B3451" s="138">
        <f>'Cap Outlay Deprec 26'!C15</f>
        <v>0</v>
      </c>
      <c r="D3451" s="2" t="str">
        <f t="shared" si="52"/>
        <v>Error?</v>
      </c>
    </row>
    <row r="3452" spans="1:4">
      <c r="A3452" s="5">
        <v>3391</v>
      </c>
      <c r="B3452" s="138">
        <f>'Cap Outlay Deprec 26'!D15</f>
        <v>0</v>
      </c>
      <c r="D3452" s="2" t="str">
        <f t="shared" si="52"/>
        <v>Error?</v>
      </c>
    </row>
    <row r="3453" spans="1:4">
      <c r="A3453" s="5">
        <v>3392</v>
      </c>
      <c r="B3453" s="138">
        <f>'Cap Outlay Deprec 26'!E15</f>
        <v>0</v>
      </c>
      <c r="D3453" s="2" t="str">
        <f t="shared" si="52"/>
        <v>Error?</v>
      </c>
    </row>
    <row r="3454" spans="1:4">
      <c r="A3454" s="5">
        <v>3393</v>
      </c>
      <c r="B3454" s="138">
        <f>'Cap Outlay Deprec 26'!F15</f>
        <v>0</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573</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118876</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148869</v>
      </c>
      <c r="D3550" s="2" t="str">
        <f t="shared" si="54"/>
        <v>Error?</v>
      </c>
    </row>
    <row r="3551" spans="1:4">
      <c r="A3551" s="5">
        <v>3490</v>
      </c>
      <c r="B3551" s="138">
        <f>'Assets-Liab 5-6'!K12</f>
        <v>0</v>
      </c>
      <c r="D3551" s="2" t="str">
        <f t="shared" si="54"/>
        <v>Error?</v>
      </c>
    </row>
    <row r="3552" spans="1:4">
      <c r="A3552" s="5">
        <v>3491</v>
      </c>
      <c r="B3552" s="138">
        <f>'Assets-Liab 5-6'!K13</f>
        <v>267745</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573</v>
      </c>
      <c r="D3565" s="2" t="str">
        <f t="shared" si="54"/>
        <v>Error?</v>
      </c>
    </row>
    <row r="3566" spans="1:4">
      <c r="A3566" s="5">
        <v>3505</v>
      </c>
      <c r="B3566" s="138">
        <f>'Assets-Liab 5-6'!K38</f>
        <v>0</v>
      </c>
      <c r="D3566" s="2" t="str">
        <f t="shared" si="54"/>
        <v>Error?</v>
      </c>
    </row>
    <row r="3567" spans="1:4">
      <c r="A3567" s="5">
        <v>3506</v>
      </c>
      <c r="B3567" s="138">
        <f>'Assets-Liab 5-6'!K39</f>
        <v>267745</v>
      </c>
      <c r="D3567" s="2" t="str">
        <f t="shared" si="54"/>
        <v>Error?</v>
      </c>
    </row>
    <row r="3568" spans="1:4">
      <c r="A3568" s="5">
        <v>3507</v>
      </c>
      <c r="B3568" s="138">
        <f>'Assets-Liab 5-6'!K41</f>
        <v>267745</v>
      </c>
      <c r="C3568" s="2" t="s">
        <v>573</v>
      </c>
      <c r="D3568" s="2" t="str">
        <f t="shared" si="54"/>
        <v>Error?</v>
      </c>
    </row>
    <row r="3569" spans="1:4">
      <c r="A3569" s="5">
        <v>3508</v>
      </c>
      <c r="B3569" s="138">
        <f>'Acct Summary 7-8'!K4</f>
        <v>3601</v>
      </c>
      <c r="C3569" s="2" t="s">
        <v>573</v>
      </c>
      <c r="D3569" s="2" t="str">
        <f t="shared" si="54"/>
        <v>Error?</v>
      </c>
    </row>
    <row r="3570" spans="1:4">
      <c r="A3570" s="5">
        <v>3509</v>
      </c>
      <c r="B3570" s="138">
        <f>'Acct Summary 7-8'!K6</f>
        <v>0</v>
      </c>
      <c r="C3570" s="2" t="s">
        <v>573</v>
      </c>
      <c r="D3570" s="2" t="str">
        <f t="shared" si="54"/>
        <v>Error?</v>
      </c>
    </row>
    <row r="3571" spans="1:4">
      <c r="A3571" s="5">
        <v>3510</v>
      </c>
      <c r="B3571" s="138">
        <f>'Acct Summary 7-8'!K8</f>
        <v>3601</v>
      </c>
      <c r="C3571" s="2" t="s">
        <v>573</v>
      </c>
      <c r="D3571" s="2" t="str">
        <f t="shared" si="54"/>
        <v>Error?</v>
      </c>
    </row>
    <row r="3572" spans="1:4">
      <c r="A3572" s="5">
        <v>3511</v>
      </c>
      <c r="B3572" s="138">
        <f>'Acct Summary 7-8'!K13</f>
        <v>22136</v>
      </c>
      <c r="C3572" s="2" t="s">
        <v>573</v>
      </c>
      <c r="D3572" s="2" t="str">
        <f t="shared" si="54"/>
        <v>Error?</v>
      </c>
    </row>
    <row r="3573" spans="1:4">
      <c r="A3573" s="5">
        <v>3512</v>
      </c>
      <c r="B3573" s="138">
        <f>'Acct Summary 7-8'!K15</f>
        <v>0</v>
      </c>
      <c r="C3573" s="2" t="s">
        <v>573</v>
      </c>
      <c r="D3573" s="2" t="str">
        <f t="shared" si="54"/>
        <v>Error?</v>
      </c>
    </row>
    <row r="3574" spans="1:4">
      <c r="A3574" s="5">
        <v>3513</v>
      </c>
      <c r="B3574" s="138">
        <f>'Acct Summary 7-8'!K16</f>
        <v>0</v>
      </c>
      <c r="C3574" s="2" t="s">
        <v>573</v>
      </c>
      <c r="D3574" s="2" t="str">
        <f t="shared" si="54"/>
        <v>Error?</v>
      </c>
    </row>
    <row r="3575" spans="1:4">
      <c r="A3575" s="5">
        <v>3514</v>
      </c>
      <c r="B3575" s="138">
        <f>'Acct Summary 7-8'!K17</f>
        <v>22136</v>
      </c>
      <c r="C3575" s="2" t="s">
        <v>573</v>
      </c>
      <c r="D3575" s="2" t="str">
        <f t="shared" si="54"/>
        <v>Error?</v>
      </c>
    </row>
    <row r="3576" spans="1:4">
      <c r="A3576" s="5">
        <v>3515</v>
      </c>
      <c r="B3576" s="138">
        <f>'Acct Summary 7-8'!K20</f>
        <v>-18535</v>
      </c>
      <c r="C3576" s="2" t="s">
        <v>573</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573</v>
      </c>
      <c r="D3584" s="2" t="str">
        <f t="shared" si="55"/>
        <v>Error?</v>
      </c>
    </row>
    <row r="3585" spans="1:4">
      <c r="A3585" s="12">
        <v>3524</v>
      </c>
      <c r="B3585" s="138">
        <f>'Acct Summary 7-8'!K75</f>
        <v>0</v>
      </c>
      <c r="D3585" s="2" t="str">
        <f t="shared" si="55"/>
        <v>Error?</v>
      </c>
    </row>
    <row r="3586" spans="1:4">
      <c r="A3586" s="5">
        <v>3525</v>
      </c>
      <c r="B3586" s="138">
        <f>'Acct Summary 7-8'!K76</f>
        <v>0</v>
      </c>
      <c r="C3586" s="2" t="s">
        <v>573</v>
      </c>
      <c r="D3586" s="2" t="str">
        <f t="shared" si="55"/>
        <v>Error?</v>
      </c>
    </row>
    <row r="3587" spans="1:4">
      <c r="A3587" s="5">
        <v>3526</v>
      </c>
      <c r="B3587" s="138">
        <f>'Acct Summary 7-8'!K77</f>
        <v>0</v>
      </c>
      <c r="C3587" s="2" t="s">
        <v>573</v>
      </c>
      <c r="D3587" s="2" t="str">
        <f t="shared" si="55"/>
        <v>Error?</v>
      </c>
    </row>
    <row r="3588" spans="1:4">
      <c r="A3588" s="5">
        <v>3527</v>
      </c>
      <c r="B3588" s="138">
        <f>'Acct Summary 7-8'!K78</f>
        <v>-18535</v>
      </c>
      <c r="C3588" s="2" t="s">
        <v>573</v>
      </c>
      <c r="D3588" s="2" t="str">
        <f t="shared" si="55"/>
        <v>Error?</v>
      </c>
    </row>
    <row r="3589" spans="1:4">
      <c r="A3589" s="5">
        <v>3528</v>
      </c>
      <c r="B3589" s="138">
        <f>'Acct Summary 7-8'!K79</f>
        <v>286280</v>
      </c>
      <c r="D3589" s="2" t="str">
        <f t="shared" si="55"/>
        <v>Error?</v>
      </c>
    </row>
    <row r="3590" spans="1:4">
      <c r="A3590" s="5">
        <v>3529</v>
      </c>
      <c r="B3590" s="138">
        <f>'Acct Summary 7-8'!K80</f>
        <v>0</v>
      </c>
      <c r="D3590" s="2" t="str">
        <f t="shared" si="55"/>
        <v>Error?</v>
      </c>
    </row>
    <row r="3591" spans="1:4">
      <c r="A3591" s="5">
        <v>3530</v>
      </c>
      <c r="B3591" s="138">
        <f>'Acct Summary 7-8'!K81</f>
        <v>267745</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573</v>
      </c>
      <c r="D3619" s="2" t="str">
        <f t="shared" si="55"/>
        <v>Error?</v>
      </c>
    </row>
    <row r="3620" spans="1:4">
      <c r="A3620" s="5">
        <v>3559</v>
      </c>
      <c r="B3620" s="138">
        <f>'Expenditures 15-22'!C351</f>
        <v>0</v>
      </c>
      <c r="D3620" s="2" t="str">
        <f t="shared" si="55"/>
        <v>Error?</v>
      </c>
    </row>
    <row r="3621" spans="1:4">
      <c r="A3621" s="5">
        <v>3560</v>
      </c>
      <c r="B3621" s="138">
        <f>'Expenditures 15-22'!C352</f>
        <v>0</v>
      </c>
      <c r="C3621" s="2" t="s">
        <v>573</v>
      </c>
      <c r="D3621" s="2" t="str">
        <f t="shared" si="55"/>
        <v>Error?</v>
      </c>
    </row>
    <row r="3622" spans="1:4">
      <c r="A3622" s="5">
        <v>3561</v>
      </c>
      <c r="B3622" s="138">
        <f>'Expenditures 15-22'!C367</f>
        <v>0</v>
      </c>
      <c r="C3622" s="2" t="s">
        <v>573</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573</v>
      </c>
      <c r="D3626" s="2" t="str">
        <f t="shared" si="55"/>
        <v>Error?</v>
      </c>
    </row>
    <row r="3627" spans="1:4">
      <c r="A3627" s="5">
        <v>3566</v>
      </c>
      <c r="B3627" s="138">
        <f>'Expenditures 15-22'!D351</f>
        <v>0</v>
      </c>
      <c r="D3627" s="2" t="str">
        <f t="shared" si="55"/>
        <v>Error?</v>
      </c>
    </row>
    <row r="3628" spans="1:4">
      <c r="A3628" s="5">
        <v>3567</v>
      </c>
      <c r="B3628" s="138">
        <f>'Expenditures 15-22'!D352</f>
        <v>0</v>
      </c>
      <c r="C3628" s="2" t="s">
        <v>573</v>
      </c>
      <c r="D3628" s="2" t="str">
        <f t="shared" si="55"/>
        <v>Error?</v>
      </c>
    </row>
    <row r="3629" spans="1:4">
      <c r="A3629" s="5">
        <v>3568</v>
      </c>
      <c r="B3629" s="138">
        <f>'Expenditures 15-22'!D367</f>
        <v>0</v>
      </c>
      <c r="C3629" s="2" t="s">
        <v>573</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18354</v>
      </c>
      <c r="D3632" s="2" t="str">
        <f t="shared" si="55"/>
        <v>Error?</v>
      </c>
    </row>
    <row r="3633" spans="1:4">
      <c r="A3633" s="5">
        <v>3572</v>
      </c>
      <c r="B3633" s="138">
        <f>'Expenditures 15-22'!E350</f>
        <v>18354</v>
      </c>
      <c r="C3633" s="2" t="s">
        <v>573</v>
      </c>
      <c r="D3633" s="2" t="str">
        <f t="shared" si="55"/>
        <v>Error?</v>
      </c>
    </row>
    <row r="3634" spans="1:4">
      <c r="A3634" s="5">
        <v>3573</v>
      </c>
      <c r="B3634" s="138">
        <f>'Expenditures 15-22'!E351</f>
        <v>326</v>
      </c>
      <c r="D3634" s="2" t="str">
        <f t="shared" si="55"/>
        <v>Error?</v>
      </c>
    </row>
    <row r="3635" spans="1:4">
      <c r="A3635" s="5">
        <v>3574</v>
      </c>
      <c r="B3635" s="138">
        <f>B3583</f>
        <v>0</v>
      </c>
      <c r="C3635" s="2" t="s">
        <v>573</v>
      </c>
      <c r="D3635" s="2" t="str">
        <f t="shared" si="55"/>
        <v>Error?</v>
      </c>
    </row>
    <row r="3636" spans="1:4">
      <c r="A3636" s="5">
        <v>3575</v>
      </c>
      <c r="B3636" s="138">
        <f>'Expenditures 15-22'!E367</f>
        <v>18680</v>
      </c>
      <c r="C3636" s="2" t="s">
        <v>573</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3456</v>
      </c>
      <c r="D3639" s="2" t="str">
        <f t="shared" si="55"/>
        <v>Error?</v>
      </c>
    </row>
    <row r="3640" spans="1:4">
      <c r="A3640" s="5">
        <v>3579</v>
      </c>
      <c r="B3640" s="138">
        <f>'Expenditures 15-22'!F350</f>
        <v>3456</v>
      </c>
      <c r="C3640" s="2" t="s">
        <v>573</v>
      </c>
      <c r="D3640" s="2" t="str">
        <f t="shared" si="55"/>
        <v>Error?</v>
      </c>
    </row>
    <row r="3641" spans="1:4">
      <c r="A3641" s="5">
        <v>3580</v>
      </c>
      <c r="B3641" s="138">
        <f>'Expenditures 15-22'!F351</f>
        <v>0</v>
      </c>
      <c r="D3641" s="2" t="str">
        <f t="shared" si="55"/>
        <v>Error?</v>
      </c>
    </row>
    <row r="3642" spans="1:4">
      <c r="A3642" s="5">
        <v>3581</v>
      </c>
      <c r="B3642" s="138">
        <f>'Expenditures 15-22'!F352</f>
        <v>3456</v>
      </c>
      <c r="C3642" s="2" t="s">
        <v>573</v>
      </c>
      <c r="D3642" s="2" t="str">
        <f t="shared" si="55"/>
        <v>Error?</v>
      </c>
    </row>
    <row r="3643" spans="1:4">
      <c r="A3643" s="5">
        <v>3582</v>
      </c>
      <c r="B3643" s="138">
        <f>'Expenditures 15-22'!F367</f>
        <v>3456</v>
      </c>
      <c r="C3643" s="2" t="s">
        <v>573</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573</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573</v>
      </c>
      <c r="D3649" s="2" t="str">
        <f t="shared" si="56"/>
        <v>Error?</v>
      </c>
    </row>
    <row r="3650" spans="1:4">
      <c r="A3650" s="5">
        <v>3589</v>
      </c>
      <c r="B3650" s="138">
        <f>'Expenditures 15-22'!G367</f>
        <v>0</v>
      </c>
      <c r="C3650" s="2" t="s">
        <v>573</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573</v>
      </c>
      <c r="D3654" s="2" t="str">
        <f t="shared" si="56"/>
        <v>Error?</v>
      </c>
    </row>
    <row r="3655" spans="1:4">
      <c r="A3655" s="5">
        <v>3594</v>
      </c>
      <c r="B3655" s="138">
        <f>'Expenditures 15-22'!H351</f>
        <v>0</v>
      </c>
      <c r="D3655" s="2" t="str">
        <f t="shared" si="56"/>
        <v>Error?</v>
      </c>
    </row>
    <row r="3656" spans="1:4">
      <c r="A3656" s="5">
        <v>3595</v>
      </c>
      <c r="B3656" s="138">
        <f>'Expenditures 15-22'!H352</f>
        <v>0</v>
      </c>
      <c r="C3656" s="2" t="s">
        <v>573</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573</v>
      </c>
      <c r="D3668" s="2" t="str">
        <f t="shared" si="56"/>
        <v>Error?</v>
      </c>
    </row>
    <row r="3669" spans="1:4">
      <c r="A3669" s="5">
        <v>3608</v>
      </c>
      <c r="B3669" s="138">
        <f>'Expenditures 15-22'!K349</f>
        <v>21810</v>
      </c>
      <c r="C3669" s="2" t="s">
        <v>573</v>
      </c>
      <c r="D3669" s="2" t="str">
        <f t="shared" si="56"/>
        <v>Error?</v>
      </c>
    </row>
    <row r="3670" spans="1:4">
      <c r="A3670" s="5">
        <v>3609</v>
      </c>
      <c r="B3670" s="138">
        <f>'Expenditures 15-22'!K350</f>
        <v>21810</v>
      </c>
      <c r="C3670" s="2" t="s">
        <v>573</v>
      </c>
      <c r="D3670" s="2" t="str">
        <f t="shared" si="56"/>
        <v>Error?</v>
      </c>
    </row>
    <row r="3671" spans="1:4">
      <c r="A3671" s="5">
        <v>3610</v>
      </c>
      <c r="B3671" s="138">
        <f>'Expenditures 15-22'!K351</f>
        <v>326</v>
      </c>
      <c r="C3671" s="2" t="s">
        <v>573</v>
      </c>
      <c r="D3671" s="2" t="str">
        <f t="shared" si="56"/>
        <v>Error?</v>
      </c>
    </row>
    <row r="3672" spans="1:4">
      <c r="A3672" s="5">
        <v>3611</v>
      </c>
      <c r="B3672" s="138">
        <f>'Expenditures 15-22'!K352</f>
        <v>22136</v>
      </c>
      <c r="C3672" s="2" t="s">
        <v>573</v>
      </c>
      <c r="D3672" s="2" t="str">
        <f t="shared" si="56"/>
        <v>Error?</v>
      </c>
    </row>
    <row r="3673" spans="1:4">
      <c r="A3673" s="5">
        <v>3612</v>
      </c>
      <c r="B3673" s="138">
        <f>'Expenditures 15-22'!K354</f>
        <v>0</v>
      </c>
      <c r="C3673" s="2" t="s">
        <v>573</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573</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22136</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-18535</v>
      </c>
      <c r="C3681" s="2" t="s">
        <v>573</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573</v>
      </c>
      <c r="D3688" s="2" t="str">
        <f t="shared" si="56"/>
        <v>Error?</v>
      </c>
    </row>
    <row r="3689" spans="1:4">
      <c r="A3689" s="5">
        <v>3628</v>
      </c>
      <c r="B3689" s="138">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573</v>
      </c>
      <c r="D3702" s="2" t="str">
        <f t="shared" si="56"/>
        <v>Error?</v>
      </c>
    </row>
    <row r="3703" spans="1:4">
      <c r="A3703" s="5">
        <v>3642</v>
      </c>
      <c r="B3703" s="138">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573</v>
      </c>
      <c r="D3717" s="2" t="str">
        <f t="shared" si="57"/>
        <v>Error?</v>
      </c>
    </row>
    <row r="3718" spans="1:4">
      <c r="A3718" s="5">
        <v>3657</v>
      </c>
      <c r="B3718" s="138">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573</v>
      </c>
      <c r="D3722" s="2" t="str">
        <f t="shared" si="57"/>
        <v>Error?</v>
      </c>
    </row>
    <row r="3723" spans="1:4">
      <c r="A3723" s="5">
        <v>3662</v>
      </c>
      <c r="B3723" s="138">
        <f>'Expenditures 15-22'!K283</f>
        <v>0</v>
      </c>
      <c r="C3723" s="2" t="s">
        <v>573</v>
      </c>
      <c r="D3723" s="2" t="str">
        <f t="shared" si="57"/>
        <v>Error?</v>
      </c>
    </row>
    <row r="3724" spans="1:4">
      <c r="A3724" s="5">
        <v>3663</v>
      </c>
      <c r="B3724" s="138">
        <f>'Expenditures 15-22'!K285</f>
        <v>0</v>
      </c>
      <c r="C3724" s="2" t="s">
        <v>573</v>
      </c>
      <c r="D3724" s="2" t="str">
        <f t="shared" si="57"/>
        <v>Error?</v>
      </c>
    </row>
    <row r="3725" spans="1:4">
      <c r="A3725" s="5">
        <v>3664</v>
      </c>
      <c r="B3725" s="138">
        <f>'Tax Sched 23'!B13</f>
        <v>173751</v>
      </c>
      <c r="C3725" s="2" t="s">
        <v>573</v>
      </c>
      <c r="D3725" s="2" t="str">
        <f t="shared" si="57"/>
        <v>Error?</v>
      </c>
    </row>
    <row r="3726" spans="1:4">
      <c r="A3726" s="5">
        <v>3665</v>
      </c>
      <c r="B3726" s="138">
        <f>'Tax Sched 23'!D13</f>
        <v>117889</v>
      </c>
      <c r="C3726" s="2" t="s">
        <v>573</v>
      </c>
      <c r="D3726" s="2" t="str">
        <f t="shared" si="57"/>
        <v>Error?</v>
      </c>
    </row>
    <row r="3727" spans="1:4">
      <c r="A3727" s="5">
        <v>3666</v>
      </c>
      <c r="B3727" s="138">
        <f>'Tax Sched 23'!C13</f>
        <v>55862</v>
      </c>
      <c r="D3727" s="2" t="str">
        <f t="shared" si="57"/>
        <v>Error?</v>
      </c>
    </row>
    <row r="3728" spans="1:4">
      <c r="A3728" s="5">
        <v>3667</v>
      </c>
      <c r="B3728" s="138">
        <f>'Tax Sched 23'!F13</f>
        <v>120863</v>
      </c>
      <c r="C3728" s="2" t="s">
        <v>573</v>
      </c>
      <c r="D3728" s="2" t="str">
        <f t="shared" si="57"/>
        <v>Error?</v>
      </c>
    </row>
    <row r="3729" spans="1:4">
      <c r="A3729" s="5">
        <v>3668</v>
      </c>
      <c r="B3729" s="138">
        <f>'Tax Sched 23'!E13</f>
        <v>176725</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573</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573</v>
      </c>
      <c r="D4098" s="2" t="str">
        <f t="shared" si="63"/>
        <v>OK</v>
      </c>
    </row>
    <row r="4099" spans="1:4">
      <c r="A4099" s="5">
        <v>4038</v>
      </c>
      <c r="B4099" s="138">
        <f>'Expenditures 15-22'!K307</f>
        <v>0</v>
      </c>
      <c r="C4099" s="2" t="s">
        <v>573</v>
      </c>
      <c r="D4099" s="2" t="str">
        <f t="shared" si="63"/>
        <v>Error?</v>
      </c>
    </row>
    <row r="4100" spans="1:4">
      <c r="A4100" s="5">
        <v>4039</v>
      </c>
      <c r="B4100" s="138">
        <f>'Expenditures 15-22'!K308</f>
        <v>0</v>
      </c>
      <c r="C4100" s="2" t="s">
        <v>573</v>
      </c>
      <c r="D4100" s="2" t="str">
        <f t="shared" si="63"/>
        <v>Error?</v>
      </c>
    </row>
    <row r="4101" spans="1:4">
      <c r="A4101" s="10">
        <v>4040</v>
      </c>
      <c r="C4101" s="2" t="s">
        <v>573</v>
      </c>
      <c r="D4101" s="2" t="str">
        <f t="shared" si="63"/>
        <v>OK</v>
      </c>
    </row>
    <row r="4102" spans="1:4">
      <c r="A4102" s="5">
        <v>4041</v>
      </c>
      <c r="B4102" s="138">
        <f>'Tax Sched 23'!B17</f>
        <v>0</v>
      </c>
      <c r="C4102" s="2" t="s">
        <v>573</v>
      </c>
      <c r="D4102" s="2" t="str">
        <f t="shared" si="63"/>
        <v>Error?</v>
      </c>
    </row>
    <row r="4103" spans="1:4">
      <c r="A4103" s="5">
        <v>4042</v>
      </c>
      <c r="B4103" s="138">
        <f>'Tax Sched 23'!B18</f>
        <v>0</v>
      </c>
      <c r="C4103" s="2" t="s">
        <v>573</v>
      </c>
      <c r="D4103" s="2" t="str">
        <f t="shared" si="63"/>
        <v>Error?</v>
      </c>
    </row>
    <row r="4104" spans="1:4">
      <c r="A4104" s="5">
        <v>4043</v>
      </c>
      <c r="B4104" s="138">
        <f>'Tax Sched 23'!D17</f>
        <v>0</v>
      </c>
      <c r="C4104" s="2" t="s">
        <v>573</v>
      </c>
      <c r="D4104" s="2" t="str">
        <f t="shared" si="63"/>
        <v>Error?</v>
      </c>
    </row>
    <row r="4105" spans="1:4">
      <c r="A4105" s="5">
        <v>4044</v>
      </c>
      <c r="B4105" s="138">
        <f>'Tax Sched 23'!D18</f>
        <v>0</v>
      </c>
      <c r="C4105" s="2" t="s">
        <v>573</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573</v>
      </c>
      <c r="D4108" s="2" t="str">
        <f t="shared" si="63"/>
        <v>Error?</v>
      </c>
    </row>
    <row r="4109" spans="1:4">
      <c r="A4109" s="5">
        <v>4048</v>
      </c>
      <c r="B4109" s="138">
        <f>'Tax Sched 23'!F18</f>
        <v>0</v>
      </c>
      <c r="C4109" s="2" t="s">
        <v>573</v>
      </c>
      <c r="D4109" s="2" t="str">
        <f t="shared" si="63"/>
        <v>Error?</v>
      </c>
    </row>
    <row r="4110" spans="1:4">
      <c r="A4110" s="5">
        <v>4049</v>
      </c>
      <c r="B4110" s="138">
        <f>'Tax Sched 23'!E17</f>
        <v>0</v>
      </c>
      <c r="C4110" s="2" t="s">
        <v>573</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10813524</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38189833</v>
      </c>
      <c r="C4122" s="2" t="s">
        <v>573</v>
      </c>
      <c r="D4122" s="2" t="str">
        <f t="shared" si="63"/>
        <v>Error?</v>
      </c>
    </row>
    <row r="4123" spans="1:4">
      <c r="A4123" s="5">
        <v>4062</v>
      </c>
      <c r="B4123" s="138">
        <f>'Acct Summary 7-8'!D10</f>
        <v>1921405</v>
      </c>
      <c r="C4123" s="2" t="s">
        <v>573</v>
      </c>
      <c r="D4123" s="2" t="str">
        <f t="shared" si="63"/>
        <v>Error?</v>
      </c>
    </row>
    <row r="4124" spans="1:4">
      <c r="A4124" s="5">
        <v>4063</v>
      </c>
      <c r="B4124" s="138">
        <f>'Acct Summary 7-8'!E10</f>
        <v>3415367</v>
      </c>
      <c r="C4124" s="2" t="s">
        <v>573</v>
      </c>
      <c r="D4124" s="2" t="str">
        <f t="shared" si="63"/>
        <v>Error?</v>
      </c>
    </row>
    <row r="4125" spans="1:4">
      <c r="A4125" s="5">
        <v>4064</v>
      </c>
      <c r="B4125" s="138">
        <f>'Acct Summary 7-8'!F10</f>
        <v>1430799</v>
      </c>
      <c r="C4125" s="2" t="s">
        <v>573</v>
      </c>
      <c r="D4125" s="2" t="str">
        <f t="shared" si="63"/>
        <v>Error?</v>
      </c>
    </row>
    <row r="4126" spans="1:4">
      <c r="A4126" s="5">
        <v>4065</v>
      </c>
      <c r="B4126" s="138">
        <f>'Acct Summary 7-8'!G10</f>
        <v>1486023</v>
      </c>
      <c r="C4126" s="2" t="s">
        <v>573</v>
      </c>
      <c r="D4126" s="2" t="str">
        <f t="shared" si="63"/>
        <v>Error?</v>
      </c>
    </row>
    <row r="4127" spans="1:4">
      <c r="A4127" s="5">
        <v>4066</v>
      </c>
      <c r="B4127" s="138">
        <f>'Acct Summary 7-8'!H10</f>
        <v>589604</v>
      </c>
      <c r="C4127" s="2" t="s">
        <v>573</v>
      </c>
      <c r="D4127" s="2" t="str">
        <f t="shared" si="63"/>
        <v>Error?</v>
      </c>
    </row>
    <row r="4128" spans="1:4">
      <c r="A4128" s="5">
        <v>4067</v>
      </c>
      <c r="B4128" s="138">
        <f>'Acct Summary 7-8'!I10</f>
        <v>263703</v>
      </c>
      <c r="C4128" s="2" t="s">
        <v>573</v>
      </c>
      <c r="D4128" s="2" t="str">
        <f t="shared" si="63"/>
        <v>Error?</v>
      </c>
    </row>
    <row r="4129" spans="1:4">
      <c r="A4129" s="10">
        <v>4068</v>
      </c>
      <c r="C4129" s="2" t="s">
        <v>573</v>
      </c>
      <c r="D4129" s="2" t="str">
        <f t="shared" si="63"/>
        <v>OK</v>
      </c>
    </row>
    <row r="4130" spans="1:4">
      <c r="A4130" s="5">
        <v>4069</v>
      </c>
      <c r="B4130" s="138">
        <f>'Acct Summary 7-8'!K10</f>
        <v>3601</v>
      </c>
      <c r="C4130" s="2" t="s">
        <v>573</v>
      </c>
      <c r="D4130" s="2" t="str">
        <f t="shared" si="63"/>
        <v>Error?</v>
      </c>
    </row>
    <row r="4131" spans="1:4">
      <c r="A4131" s="5">
        <v>4070</v>
      </c>
      <c r="B4131" s="138">
        <f>'Acct Summary 7-8'!C18</f>
        <v>10813524</v>
      </c>
      <c r="C4131" s="2" t="s">
        <v>573</v>
      </c>
      <c r="D4131" s="2" t="str">
        <f t="shared" si="63"/>
        <v>Error?</v>
      </c>
    </row>
    <row r="4132" spans="1:4">
      <c r="A4132" s="5">
        <v>4071</v>
      </c>
      <c r="B4132" s="138">
        <f>'Acct Summary 7-8'!D18</f>
        <v>0</v>
      </c>
      <c r="C4132" s="2" t="s">
        <v>573</v>
      </c>
      <c r="D4132" s="2" t="str">
        <f t="shared" si="63"/>
        <v>Error?</v>
      </c>
    </row>
    <row r="4133" spans="1:4">
      <c r="A4133" s="5">
        <v>4072</v>
      </c>
      <c r="B4133" s="138">
        <f>'Acct Summary 7-8'!F18</f>
        <v>0</v>
      </c>
      <c r="C4133" s="2" t="s">
        <v>573</v>
      </c>
      <c r="D4133" s="2" t="str">
        <f t="shared" si="63"/>
        <v>Error?</v>
      </c>
    </row>
    <row r="4134" spans="1:4">
      <c r="A4134" s="5">
        <v>4073</v>
      </c>
      <c r="B4134" s="138">
        <f>'Acct Summary 7-8'!H18</f>
        <v>0</v>
      </c>
      <c r="C4134" s="2" t="s">
        <v>573</v>
      </c>
      <c r="D4134" s="2" t="str">
        <f t="shared" si="63"/>
        <v>Error?</v>
      </c>
    </row>
    <row r="4135" spans="1:4">
      <c r="A4135" s="5">
        <v>4074</v>
      </c>
      <c r="B4135" s="138">
        <f>'Acct Summary 7-8'!K18</f>
        <v>0</v>
      </c>
      <c r="C4135" s="2" t="s">
        <v>573</v>
      </c>
      <c r="D4135" s="2" t="str">
        <f t="shared" si="63"/>
        <v>Error?</v>
      </c>
    </row>
    <row r="4136" spans="1:4">
      <c r="A4136" s="5">
        <v>4075</v>
      </c>
      <c r="B4136" s="138">
        <f>'Acct Summary 7-8'!C19</f>
        <v>36823751</v>
      </c>
      <c r="C4136" s="2" t="s">
        <v>573</v>
      </c>
      <c r="D4136" s="2" t="str">
        <f t="shared" si="63"/>
        <v>Error?</v>
      </c>
    </row>
    <row r="4137" spans="1:4">
      <c r="A4137" s="5">
        <v>4076</v>
      </c>
      <c r="B4137" s="138">
        <f>'Acct Summary 7-8'!D19</f>
        <v>2166327</v>
      </c>
      <c r="C4137" s="2" t="s">
        <v>573</v>
      </c>
      <c r="D4137" s="2" t="str">
        <f t="shared" si="63"/>
        <v>Error?</v>
      </c>
    </row>
    <row r="4138" spans="1:4">
      <c r="A4138" s="5">
        <v>4077</v>
      </c>
      <c r="B4138" s="138">
        <f>'Acct Summary 7-8'!E19</f>
        <v>3289962</v>
      </c>
      <c r="C4138" s="2" t="s">
        <v>573</v>
      </c>
      <c r="D4138" s="2" t="str">
        <f t="shared" si="63"/>
        <v>Error?</v>
      </c>
    </row>
    <row r="4139" spans="1:4">
      <c r="A4139" s="5">
        <v>4078</v>
      </c>
      <c r="B4139" s="138">
        <f>'Acct Summary 7-8'!F19</f>
        <v>1618254</v>
      </c>
      <c r="C4139" s="2" t="s">
        <v>573</v>
      </c>
      <c r="D4139" s="2" t="str">
        <f t="shared" si="63"/>
        <v>Error?</v>
      </c>
    </row>
    <row r="4140" spans="1:4">
      <c r="A4140" s="5">
        <v>4079</v>
      </c>
      <c r="B4140" s="138">
        <f>'Acct Summary 7-8'!G19</f>
        <v>1262847</v>
      </c>
      <c r="C4140" s="2" t="s">
        <v>573</v>
      </c>
      <c r="D4140" s="2" t="str">
        <f t="shared" si="63"/>
        <v>Error?</v>
      </c>
    </row>
    <row r="4141" spans="1:4">
      <c r="A4141" s="5">
        <v>4080</v>
      </c>
      <c r="B4141" s="138">
        <f>'Acct Summary 7-8'!H19</f>
        <v>24563</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8">
        <f>'Acct Summary 7-8'!K19</f>
        <v>22136</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573</v>
      </c>
      <c r="D4156" s="2" t="str">
        <f t="shared" si="63"/>
        <v>Error?</v>
      </c>
    </row>
    <row r="4157" spans="1:4">
      <c r="A4157" s="5">
        <v>4096</v>
      </c>
      <c r="B4157" s="138">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8">
        <f>'Short-Term Long-Term Debt 24'!I49</f>
        <v>23200000</v>
      </c>
      <c r="C4171" s="2" t="s">
        <v>573</v>
      </c>
      <c r="D4171" s="2" t="str">
        <f t="shared" si="64"/>
        <v>Error?</v>
      </c>
    </row>
    <row r="4172" spans="1:4">
      <c r="A4172" s="5">
        <v>4111</v>
      </c>
      <c r="B4172" s="138">
        <f>'Short-Term Long-Term Debt 24'!J49</f>
        <v>20288304</v>
      </c>
      <c r="C4172" s="2" t="s">
        <v>573</v>
      </c>
      <c r="D4172" s="2" t="str">
        <f t="shared" si="64"/>
        <v>Error?</v>
      </c>
    </row>
    <row r="4173" spans="1:4">
      <c r="A4173" s="5">
        <v>4112</v>
      </c>
      <c r="B4173" s="138">
        <f>'Short-Term Long-Term Debt 24'!H49</f>
        <v>2255000</v>
      </c>
      <c r="C4173" s="2" t="s">
        <v>573</v>
      </c>
      <c r="D4173" s="2" t="str">
        <f t="shared" si="64"/>
        <v>Error?</v>
      </c>
    </row>
    <row r="4174" spans="1:4">
      <c r="A4174" s="10">
        <v>4113</v>
      </c>
      <c r="C4174" s="2" t="s">
        <v>573</v>
      </c>
      <c r="D4174" s="2" t="str">
        <f t="shared" si="64"/>
        <v>OK</v>
      </c>
    </row>
    <row r="4175" spans="1:4">
      <c r="A4175" s="5">
        <v>4114</v>
      </c>
      <c r="B4175" s="138">
        <f>'Acct Summary 7-8'!E18</f>
        <v>0</v>
      </c>
      <c r="C4175" s="2" t="s">
        <v>573</v>
      </c>
      <c r="D4175" s="2" t="str">
        <f t="shared" si="64"/>
        <v>Error?</v>
      </c>
    </row>
    <row r="4176" spans="1:4">
      <c r="A4176" s="5">
        <v>4115</v>
      </c>
      <c r="B4176" s="138">
        <f>'Acct Summary 7-8'!G18</f>
        <v>0</v>
      </c>
      <c r="C4176" s="2" t="s">
        <v>573</v>
      </c>
      <c r="D4176" s="2" t="str">
        <f t="shared" si="64"/>
        <v>Error?</v>
      </c>
    </row>
    <row r="4177" spans="1:4">
      <c r="A4177" s="5">
        <v>4116</v>
      </c>
      <c r="B4177" s="138">
        <f>'Short-Term Long-Term Debt 24'!G49</f>
        <v>0</v>
      </c>
      <c r="D4177" s="2" t="str">
        <f t="shared" si="64"/>
        <v>Error?</v>
      </c>
    </row>
    <row r="4178" spans="1:4">
      <c r="A4178" s="10">
        <v>4117</v>
      </c>
      <c r="C4178" s="2" t="s">
        <v>573</v>
      </c>
      <c r="D4178" s="2" t="str">
        <f t="shared" si="64"/>
        <v>OK</v>
      </c>
    </row>
    <row r="4179" spans="1:4">
      <c r="A4179" s="5">
        <v>4118</v>
      </c>
      <c r="B4179" s="138">
        <f>'Revenues 9-14'!D161</f>
        <v>0</v>
      </c>
      <c r="D4179" s="2" t="str">
        <f t="shared" si="64"/>
        <v>Error?</v>
      </c>
    </row>
    <row r="4180" spans="1:4">
      <c r="A4180" s="5">
        <v>4119</v>
      </c>
      <c r="B4180" s="138">
        <f>'Revenues 9-14'!F161</f>
        <v>0</v>
      </c>
      <c r="D4180" s="2" t="str">
        <f t="shared" si="64"/>
        <v>Error?</v>
      </c>
    </row>
    <row r="4181" spans="1:4">
      <c r="A4181" s="5">
        <v>4120</v>
      </c>
      <c r="B4181" s="138">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9-14'!C260</f>
        <v>0</v>
      </c>
      <c r="D4189" s="2" t="str">
        <f t="shared" si="64"/>
        <v>Error?</v>
      </c>
    </row>
    <row r="4190" spans="1:4">
      <c r="A4190" s="5">
        <v>4129</v>
      </c>
      <c r="B4190" s="138">
        <f>'Revenues 9-14'!D260</f>
        <v>0</v>
      </c>
      <c r="D4190" s="2" t="str">
        <f t="shared" si="64"/>
        <v>Error?</v>
      </c>
    </row>
    <row r="4191" spans="1:4">
      <c r="A4191" s="5">
        <v>4130</v>
      </c>
      <c r="B4191" s="138">
        <f>'Revenues 9-14'!F260</f>
        <v>0</v>
      </c>
      <c r="D4191" s="2" t="str">
        <f t="shared" si="64"/>
        <v>Error?</v>
      </c>
    </row>
    <row r="4192" spans="1:4">
      <c r="A4192" s="5">
        <v>4131</v>
      </c>
      <c r="B4192" s="138">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573</v>
      </c>
      <c r="D4202" s="2" t="str">
        <f t="shared" si="64"/>
        <v>Error?</v>
      </c>
    </row>
    <row r="4203" spans="1:4">
      <c r="A4203" s="5">
        <v>4142</v>
      </c>
      <c r="B4203" s="138">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8">
        <f>'Revenues 9-14'!I168</f>
        <v>0</v>
      </c>
      <c r="D4215" s="2" t="str">
        <f t="shared" si="64"/>
        <v>Error?</v>
      </c>
    </row>
    <row r="4216" spans="1:4">
      <c r="A4216" s="5">
        <v>4155</v>
      </c>
      <c r="B4216" s="138">
        <f>'Revenues 9-14'!I170</f>
        <v>0</v>
      </c>
      <c r="C4216" s="2" t="s">
        <v>573</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8">
        <f>'Revenues 9-14'!C140</f>
        <v>0</v>
      </c>
      <c r="D4227" s="2" t="str">
        <f t="shared" si="65"/>
        <v>Error?</v>
      </c>
    </row>
    <row r="4228" spans="1:5">
      <c r="A4228" s="5">
        <v>4167</v>
      </c>
      <c r="B4228" s="138">
        <f>'Revenues 9-14'!D140</f>
        <v>0</v>
      </c>
      <c r="D4228" s="2" t="str">
        <f t="shared" si="65"/>
        <v>Error?</v>
      </c>
    </row>
    <row r="4229" spans="1:5">
      <c r="A4229" s="10">
        <v>4168</v>
      </c>
      <c r="D4229" s="2" t="str">
        <f t="shared" si="65"/>
        <v>OK</v>
      </c>
    </row>
    <row r="4230" spans="1:5">
      <c r="A4230" s="5">
        <v>4169</v>
      </c>
      <c r="B4230" s="138">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1937</v>
      </c>
    </row>
    <row r="4236" spans="1:5">
      <c r="A4236" s="10">
        <v>4175</v>
      </c>
      <c r="D4236" s="2" t="str">
        <f t="shared" si="65"/>
        <v>OK</v>
      </c>
      <c r="E4236" s="4" t="s">
        <v>1937</v>
      </c>
    </row>
    <row r="4237" spans="1:5">
      <c r="A4237" s="10">
        <v>4176</v>
      </c>
      <c r="D4237" s="2" t="str">
        <f t="shared" si="65"/>
        <v>OK</v>
      </c>
      <c r="E4237" s="4" t="s">
        <v>1937</v>
      </c>
    </row>
    <row r="4238" spans="1:5">
      <c r="A4238" s="10">
        <v>4177</v>
      </c>
      <c r="D4238" s="2" t="str">
        <f t="shared" si="65"/>
        <v>OK</v>
      </c>
      <c r="E4238" s="4" t="s">
        <v>1937</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2420</v>
      </c>
      <c r="C4265" s="2" t="s">
        <v>573</v>
      </c>
      <c r="D4265" s="2" t="str">
        <f t="shared" si="65"/>
        <v>Error?</v>
      </c>
      <c r="E4265" s="128"/>
    </row>
    <row r="4266" spans="1:5">
      <c r="A4266" s="12">
        <v>4205</v>
      </c>
      <c r="B4266" s="138">
        <f>('FP Info 3'!F10)*100000</f>
        <v>250</v>
      </c>
      <c r="C4266" s="2" t="s">
        <v>573</v>
      </c>
      <c r="D4266" s="2" t="str">
        <f t="shared" si="65"/>
        <v>Error?</v>
      </c>
      <c r="E4266" s="128"/>
    </row>
    <row r="4267" spans="1:5">
      <c r="A4267" s="12">
        <v>4206</v>
      </c>
      <c r="B4267" s="138">
        <f>('FP Info 3'!H10)*100000</f>
        <v>119.99999999999999</v>
      </c>
      <c r="C4267" s="2" t="s">
        <v>573</v>
      </c>
      <c r="D4267" s="2" t="str">
        <f t="shared" si="65"/>
        <v>Error?</v>
      </c>
      <c r="E4267" s="128"/>
    </row>
    <row r="4268" spans="1:5">
      <c r="A4268" s="12">
        <v>4207</v>
      </c>
      <c r="B4268" s="138">
        <f>('FP Info 3'!J10)*100000</f>
        <v>2790</v>
      </c>
      <c r="C4268" s="2" t="s">
        <v>573</v>
      </c>
      <c r="D4268" s="2" t="str">
        <f t="shared" si="65"/>
        <v>Error?</v>
      </c>
    </row>
    <row r="4269" spans="1:5">
      <c r="A4269" s="12">
        <v>4208</v>
      </c>
      <c r="B4269" s="138">
        <f>'FP Info 3'!J16</f>
        <v>11107119</v>
      </c>
      <c r="C4269" s="2" t="s">
        <v>573</v>
      </c>
      <c r="D4269" s="2" t="str">
        <f t="shared" si="65"/>
        <v>Error?</v>
      </c>
    </row>
    <row r="4270" spans="1:5">
      <c r="A4270" s="12">
        <v>4209</v>
      </c>
      <c r="B4270" s="138">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9-14'!C131</f>
        <v>0</v>
      </c>
      <c r="D4309" s="2" t="str">
        <f t="shared" si="66"/>
        <v>Error?</v>
      </c>
    </row>
    <row r="4310" spans="1:4">
      <c r="A4310" s="5">
        <v>4249</v>
      </c>
      <c r="B4310" s="138">
        <f>'Revenues 9-14'!D131</f>
        <v>0</v>
      </c>
      <c r="D4310" s="2" t="str">
        <f t="shared" si="66"/>
        <v>Error?</v>
      </c>
    </row>
    <row r="4311" spans="1:4">
      <c r="A4311" s="5">
        <v>4250</v>
      </c>
      <c r="B4311" s="138">
        <f>'Revenues 9-14'!F131</f>
        <v>0</v>
      </c>
      <c r="D4311" s="2" t="str">
        <f t="shared" si="66"/>
        <v>Error?</v>
      </c>
    </row>
    <row r="4312" spans="1:4">
      <c r="A4312" s="5">
        <v>4251</v>
      </c>
      <c r="B4312" s="138">
        <f>'Revenues 9-14'!C150</f>
        <v>0</v>
      </c>
      <c r="D4312" s="2" t="str">
        <f t="shared" si="66"/>
        <v>Error?</v>
      </c>
    </row>
    <row r="4313" spans="1:4">
      <c r="A4313" s="5">
        <v>4252</v>
      </c>
      <c r="B4313" s="138">
        <f>'Revenues 9-14'!D150</f>
        <v>0</v>
      </c>
      <c r="D4313" s="2" t="str">
        <f t="shared" si="66"/>
        <v>Error?</v>
      </c>
    </row>
    <row r="4314" spans="1:4">
      <c r="A4314" s="5">
        <v>4253</v>
      </c>
      <c r="B4314" s="138">
        <f>'Revenues 9-14'!C154</f>
        <v>0</v>
      </c>
      <c r="D4314" s="2" t="str">
        <f t="shared" si="66"/>
        <v>Error?</v>
      </c>
    </row>
    <row r="4315" spans="1:4">
      <c r="A4315" s="5">
        <v>4254</v>
      </c>
      <c r="B4315" s="138">
        <f>'Revenues 9-14'!D154</f>
        <v>0</v>
      </c>
      <c r="D4315" s="2" t="str">
        <f t="shared" si="66"/>
        <v>Error?</v>
      </c>
    </row>
    <row r="4316" spans="1:4">
      <c r="A4316" s="5">
        <v>4255</v>
      </c>
      <c r="B4316" s="138">
        <f>'Revenues 9-14'!F154</f>
        <v>0</v>
      </c>
      <c r="D4316" s="2" t="str">
        <f t="shared" si="66"/>
        <v>Error?</v>
      </c>
    </row>
    <row r="4317" spans="1:4">
      <c r="A4317" s="5">
        <v>4256</v>
      </c>
      <c r="B4317" s="138">
        <f>'Revenues 9-14'!C164</f>
        <v>0</v>
      </c>
      <c r="D4317" s="2" t="str">
        <f t="shared" si="66"/>
        <v>Error?</v>
      </c>
    </row>
    <row r="4318" spans="1:4">
      <c r="A4318" s="5">
        <v>4257</v>
      </c>
      <c r="B4318" s="138">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9-14'!C165</f>
        <v>0</v>
      </c>
      <c r="D4321" s="2" t="str">
        <f t="shared" si="66"/>
        <v>Error?</v>
      </c>
    </row>
    <row r="4322" spans="1:4">
      <c r="A4322" s="5">
        <v>4261</v>
      </c>
      <c r="B4322" s="138">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9-14'!D166</f>
        <v>0</v>
      </c>
      <c r="D4327" s="2" t="str">
        <f t="shared" si="66"/>
        <v>Error?</v>
      </c>
    </row>
    <row r="4328" spans="1:4">
      <c r="A4328" s="5">
        <v>4267</v>
      </c>
      <c r="B4328" s="138">
        <f>'Revenues 9-14'!H166</f>
        <v>0</v>
      </c>
      <c r="D4328" s="2" t="str">
        <f t="shared" si="66"/>
        <v>Error?</v>
      </c>
    </row>
    <row r="4329" spans="1:4">
      <c r="A4329" s="5">
        <v>4268</v>
      </c>
      <c r="B4329" s="138">
        <f>'Revenues 9-14'!D167</f>
        <v>0</v>
      </c>
      <c r="D4329" s="2" t="str">
        <f t="shared" si="66"/>
        <v>Error?</v>
      </c>
    </row>
    <row r="4330" spans="1:4">
      <c r="A4330" s="5">
        <v>4269</v>
      </c>
      <c r="B4330" s="138">
        <f>'Revenues 9-14'!K167</f>
        <v>0</v>
      </c>
      <c r="D4330" s="2" t="str">
        <f t="shared" si="66"/>
        <v>Error?</v>
      </c>
    </row>
    <row r="4331" spans="1:4">
      <c r="A4331" s="5">
        <v>4270</v>
      </c>
      <c r="B4331" s="138">
        <f>'Revenues 9-14'!C197</f>
        <v>0</v>
      </c>
      <c r="D4331" s="2" t="str">
        <f t="shared" si="66"/>
        <v>Error?</v>
      </c>
    </row>
    <row r="4332" spans="1:4">
      <c r="A4332" s="5">
        <v>4271</v>
      </c>
      <c r="B4332" s="138">
        <f>'Revenues 9-14'!C203</f>
        <v>0</v>
      </c>
      <c r="D4332" s="2" t="str">
        <f t="shared" si="66"/>
        <v>Error?</v>
      </c>
    </row>
    <row r="4333" spans="1:4">
      <c r="A4333" s="5">
        <v>4272</v>
      </c>
      <c r="B4333" s="138">
        <f>'Revenues 9-14'!D203</f>
        <v>0</v>
      </c>
      <c r="D4333" s="2" t="str">
        <f t="shared" si="66"/>
        <v>Error?</v>
      </c>
    </row>
    <row r="4334" spans="1:4">
      <c r="A4334" s="5">
        <v>4273</v>
      </c>
      <c r="B4334" s="138">
        <f>'Revenues 9-14'!F203</f>
        <v>0</v>
      </c>
      <c r="D4334" s="2" t="str">
        <f t="shared" si="66"/>
        <v>Error?</v>
      </c>
    </row>
    <row r="4335" spans="1:4">
      <c r="A4335" s="5">
        <v>4274</v>
      </c>
      <c r="B4335" s="138">
        <f>'Revenues 9-14'!G203</f>
        <v>0</v>
      </c>
      <c r="D4335" s="2" t="str">
        <f t="shared" si="66"/>
        <v>Error?</v>
      </c>
    </row>
    <row r="4336" spans="1:4">
      <c r="A4336" s="5">
        <v>4275</v>
      </c>
      <c r="B4336" s="138">
        <f>'Revenues 9-14'!C208</f>
        <v>0</v>
      </c>
      <c r="D4336" s="2" t="str">
        <f t="shared" si="66"/>
        <v>Error?</v>
      </c>
    </row>
    <row r="4337" spans="1:4">
      <c r="A4337" s="5">
        <v>4276</v>
      </c>
      <c r="B4337" s="138">
        <f>'Revenues 9-14'!D208</f>
        <v>0</v>
      </c>
      <c r="D4337" s="2" t="str">
        <f t="shared" si="66"/>
        <v>Error?</v>
      </c>
    </row>
    <row r="4338" spans="1:4">
      <c r="A4338" s="5">
        <v>4277</v>
      </c>
      <c r="B4338" s="138">
        <f>'Revenues 9-14'!F208</f>
        <v>0</v>
      </c>
      <c r="D4338" s="2" t="str">
        <f t="shared" si="66"/>
        <v>Error?</v>
      </c>
    </row>
    <row r="4339" spans="1:4">
      <c r="A4339" s="5">
        <v>4278</v>
      </c>
      <c r="B4339" s="138">
        <f>'Revenues 9-14'!G208</f>
        <v>0</v>
      </c>
      <c r="D4339" s="2" t="str">
        <f t="shared" si="66"/>
        <v>Error?</v>
      </c>
    </row>
    <row r="4340" spans="1:4">
      <c r="A4340" s="5">
        <v>4279</v>
      </c>
      <c r="B4340" s="138">
        <f>'Revenues 9-14'!C216</f>
        <v>0</v>
      </c>
      <c r="D4340" s="2" t="str">
        <f t="shared" si="66"/>
        <v>Error?</v>
      </c>
    </row>
    <row r="4341" spans="1:4">
      <c r="A4341" s="5">
        <v>4280</v>
      </c>
      <c r="B4341" s="138">
        <f>'Revenues 9-14'!D216</f>
        <v>0</v>
      </c>
      <c r="D4341" s="2" t="str">
        <f t="shared" si="66"/>
        <v>Error?</v>
      </c>
    </row>
    <row r="4342" spans="1:4">
      <c r="A4342" s="5">
        <v>4281</v>
      </c>
      <c r="B4342" s="138">
        <f>'Revenues 9-14'!F216</f>
        <v>0</v>
      </c>
      <c r="D4342" s="2" t="str">
        <f t="shared" si="66"/>
        <v>Error?</v>
      </c>
    </row>
    <row r="4343" spans="1:4">
      <c r="A4343" s="5">
        <v>4282</v>
      </c>
      <c r="B4343" s="138">
        <f>'Revenues 9-14'!G216</f>
        <v>0</v>
      </c>
      <c r="D4343" s="2" t="str">
        <f t="shared" si="66"/>
        <v>Error?</v>
      </c>
    </row>
    <row r="4344" spans="1:4">
      <c r="A4344" s="5">
        <v>4283</v>
      </c>
      <c r="B4344" s="138">
        <f>'Revenues 9-14'!C220</f>
        <v>0</v>
      </c>
      <c r="D4344" s="2" t="str">
        <f t="shared" si="66"/>
        <v>Error?</v>
      </c>
    </row>
    <row r="4345" spans="1:4">
      <c r="A4345" s="5">
        <v>4284</v>
      </c>
      <c r="B4345" s="138">
        <f>'Revenues 9-14'!D220</f>
        <v>0</v>
      </c>
      <c r="D4345" s="2" t="str">
        <f t="shared" si="66"/>
        <v>Error?</v>
      </c>
    </row>
    <row r="4346" spans="1:4">
      <c r="A4346" s="5">
        <v>4285</v>
      </c>
      <c r="B4346" s="138">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9-14'!C147</f>
        <v>0</v>
      </c>
      <c r="D4351" s="2" t="str">
        <f t="shared" ref="D4351:D4414" si="67">IF(ISBLANK(B4351),"OK",IF(A4351-B4351=0,"OK","Error?"))</f>
        <v>Error?</v>
      </c>
    </row>
    <row r="4352" spans="1:4">
      <c r="A4352" s="5">
        <v>4291</v>
      </c>
      <c r="B4352" s="138">
        <f>'Revenues 9-14'!D147</f>
        <v>0</v>
      </c>
      <c r="D4352" s="2" t="str">
        <f t="shared" si="67"/>
        <v>Error?</v>
      </c>
    </row>
    <row r="4353" spans="1:4">
      <c r="A4353" s="5">
        <v>4292</v>
      </c>
      <c r="B4353" s="138">
        <f>'Revenues 9-14'!G147</f>
        <v>0</v>
      </c>
      <c r="D4353" s="2" t="str">
        <f t="shared" si="67"/>
        <v>Error?</v>
      </c>
    </row>
    <row r="4354" spans="1:4">
      <c r="A4354" s="5">
        <v>4293</v>
      </c>
      <c r="B4354" s="138">
        <f>'Revenues 9-14'!F150</f>
        <v>0</v>
      </c>
      <c r="D4354" s="2" t="str">
        <f t="shared" si="67"/>
        <v>Error?</v>
      </c>
    </row>
    <row r="4355" spans="1:4">
      <c r="A4355" s="5">
        <v>4294</v>
      </c>
      <c r="B4355" s="138">
        <f>'Revenues 9-14'!G150</f>
        <v>0</v>
      </c>
      <c r="D4355" s="2" t="str">
        <f t="shared" si="67"/>
        <v>Error?</v>
      </c>
    </row>
    <row r="4356" spans="1:4">
      <c r="A4356" s="5">
        <v>4295</v>
      </c>
      <c r="B4356" s="138">
        <f>'Revenues 9-14'!G154</f>
        <v>0</v>
      </c>
      <c r="D4356" s="2" t="str">
        <f t="shared" si="67"/>
        <v>Error?</v>
      </c>
    </row>
    <row r="4357" spans="1:4">
      <c r="A4357" s="5">
        <v>4296</v>
      </c>
      <c r="B4357" s="138">
        <f>'Revenues 9-14'!G155</f>
        <v>0</v>
      </c>
      <c r="C4357" s="2" t="s">
        <v>573</v>
      </c>
      <c r="D4357" s="2" t="str">
        <f t="shared" si="67"/>
        <v>Error?</v>
      </c>
    </row>
    <row r="4358" spans="1:4">
      <c r="A4358" s="5">
        <v>4297</v>
      </c>
      <c r="B4358" s="138">
        <f>'Revenues 9-14'!C263</f>
        <v>87698</v>
      </c>
      <c r="D4358" s="2" t="str">
        <f t="shared" si="67"/>
        <v>Error?</v>
      </c>
    </row>
    <row r="4359" spans="1:4">
      <c r="A4359" s="5">
        <v>4298</v>
      </c>
      <c r="B4359" s="138">
        <f>'Revenues 9-14'!D263</f>
        <v>0</v>
      </c>
      <c r="D4359" s="2" t="str">
        <f t="shared" si="67"/>
        <v>Error?</v>
      </c>
    </row>
    <row r="4360" spans="1:4">
      <c r="A4360" s="5">
        <v>4299</v>
      </c>
      <c r="B4360" s="138">
        <f>'Revenues 9-14'!F263</f>
        <v>0</v>
      </c>
      <c r="D4360" s="2" t="str">
        <f t="shared" si="67"/>
        <v>Error?</v>
      </c>
    </row>
    <row r="4361" spans="1:4">
      <c r="A4361" s="5">
        <v>4300</v>
      </c>
      <c r="B4361" s="138">
        <f>'Revenues 9-14'!G263</f>
        <v>0</v>
      </c>
      <c r="D4361" s="2" t="str">
        <f t="shared" si="67"/>
        <v>Error?</v>
      </c>
    </row>
    <row r="4362" spans="1:4">
      <c r="A4362" s="5">
        <v>4301</v>
      </c>
      <c r="B4362" s="138">
        <f>'Revenues 9-14'!C264</f>
        <v>165855</v>
      </c>
      <c r="D4362" s="2" t="str">
        <f t="shared" si="67"/>
        <v>Error?</v>
      </c>
    </row>
    <row r="4363" spans="1:4">
      <c r="A4363" s="5">
        <v>4302</v>
      </c>
      <c r="B4363" s="138">
        <f>'Revenues 9-14'!I169</f>
        <v>0</v>
      </c>
      <c r="C4363" s="2" t="s">
        <v>573</v>
      </c>
      <c r="D4363" s="2" t="str">
        <f t="shared" si="67"/>
        <v>Error?</v>
      </c>
    </row>
    <row r="4364" spans="1:4">
      <c r="A4364" s="5">
        <v>4303</v>
      </c>
      <c r="B4364" s="138">
        <f>'Revenues 9-14'!E173</f>
        <v>0</v>
      </c>
      <c r="D4364" s="2" t="str">
        <f t="shared" si="67"/>
        <v>Error?</v>
      </c>
    </row>
    <row r="4365" spans="1:4">
      <c r="A4365" s="5">
        <v>4304</v>
      </c>
      <c r="B4365" s="138">
        <f>'Revenues 9-14'!H173</f>
        <v>0</v>
      </c>
      <c r="D4365" s="2" t="str">
        <f t="shared" si="67"/>
        <v>Error?</v>
      </c>
    </row>
    <row r="4366" spans="1:4">
      <c r="A4366" s="5">
        <v>4305</v>
      </c>
      <c r="B4366" s="138">
        <f>'Revenues 9-14'!I173</f>
        <v>0</v>
      </c>
      <c r="D4366" s="2" t="str">
        <f t="shared" si="67"/>
        <v>Error?</v>
      </c>
    </row>
    <row r="4367" spans="1:4">
      <c r="A4367" s="10">
        <v>4306</v>
      </c>
      <c r="D4367" s="2" t="str">
        <f t="shared" si="67"/>
        <v>OK</v>
      </c>
    </row>
    <row r="4368" spans="1:4">
      <c r="A4368" s="5">
        <v>4307</v>
      </c>
      <c r="B4368" s="138">
        <f>'Revenues 9-14'!K173</f>
        <v>0</v>
      </c>
      <c r="D4368" s="2" t="str">
        <f t="shared" si="67"/>
        <v>Error?</v>
      </c>
    </row>
    <row r="4369" spans="1:4">
      <c r="A4369" s="5">
        <v>4308</v>
      </c>
      <c r="B4369" s="138">
        <f>'Revenues 9-14'!E174</f>
        <v>0</v>
      </c>
      <c r="D4369" s="2" t="str">
        <f t="shared" si="67"/>
        <v>Error?</v>
      </c>
    </row>
    <row r="4370" spans="1:4">
      <c r="A4370" s="5">
        <v>4309</v>
      </c>
      <c r="B4370" s="138">
        <f>'Revenues 9-14'!I174</f>
        <v>0</v>
      </c>
      <c r="D4370" s="2" t="str">
        <f t="shared" si="67"/>
        <v>Error?</v>
      </c>
    </row>
    <row r="4371" spans="1:4">
      <c r="A4371" s="10">
        <v>4310</v>
      </c>
      <c r="D4371" s="2" t="str">
        <f t="shared" si="67"/>
        <v>OK</v>
      </c>
    </row>
    <row r="4372" spans="1:4">
      <c r="A4372" s="5">
        <v>4311</v>
      </c>
      <c r="B4372" s="138">
        <f>'Revenues 9-14'!E175</f>
        <v>0</v>
      </c>
      <c r="C4372" s="2" t="s">
        <v>573</v>
      </c>
      <c r="D4372" s="2" t="str">
        <f t="shared" si="67"/>
        <v>Error?</v>
      </c>
    </row>
    <row r="4373" spans="1:4">
      <c r="A4373" s="5">
        <v>4312</v>
      </c>
      <c r="B4373" s="138">
        <f>'Revenues 9-14'!I175</f>
        <v>0</v>
      </c>
      <c r="C4373" s="2" t="s">
        <v>573</v>
      </c>
      <c r="D4373" s="2" t="str">
        <f t="shared" si="67"/>
        <v>Error?</v>
      </c>
    </row>
    <row r="4374" spans="1:4">
      <c r="A4374" s="10">
        <v>4313</v>
      </c>
      <c r="C4374" s="2" t="s">
        <v>573</v>
      </c>
      <c r="D4374" s="2" t="str">
        <f t="shared" si="67"/>
        <v>OK</v>
      </c>
    </row>
    <row r="4375" spans="1:4">
      <c r="A4375" s="5">
        <v>4314</v>
      </c>
      <c r="B4375" s="138">
        <f>'Revenues 9-14'!C185</f>
        <v>0</v>
      </c>
      <c r="D4375" s="2" t="str">
        <f t="shared" si="67"/>
        <v>Error?</v>
      </c>
    </row>
    <row r="4376" spans="1:4">
      <c r="A4376" s="5">
        <v>4315</v>
      </c>
      <c r="B4376" s="138">
        <f>'Revenues 9-14'!D185</f>
        <v>0</v>
      </c>
      <c r="D4376" s="2" t="str">
        <f t="shared" si="67"/>
        <v>Error?</v>
      </c>
    </row>
    <row r="4377" spans="1:4">
      <c r="A4377" s="5">
        <v>4316</v>
      </c>
      <c r="B4377" s="138">
        <f>'Revenues 9-14'!F185</f>
        <v>0</v>
      </c>
      <c r="D4377" s="2" t="str">
        <f t="shared" si="67"/>
        <v>Error?</v>
      </c>
    </row>
    <row r="4378" spans="1:4">
      <c r="A4378" s="5">
        <v>4317</v>
      </c>
      <c r="B4378" s="138">
        <f>'Revenues 9-14'!G185</f>
        <v>0</v>
      </c>
      <c r="D4378" s="2" t="str">
        <f t="shared" si="67"/>
        <v>Error?</v>
      </c>
    </row>
    <row r="4379" spans="1:4">
      <c r="A4379" s="5">
        <v>4318</v>
      </c>
      <c r="B4379" s="138">
        <f>'Revenues 9-14'!C186</f>
        <v>0</v>
      </c>
      <c r="D4379" s="2" t="str">
        <f t="shared" si="67"/>
        <v>Error?</v>
      </c>
    </row>
    <row r="4380" spans="1:4">
      <c r="A4380" s="5">
        <v>4319</v>
      </c>
      <c r="B4380" s="138">
        <f>'Revenues 9-14'!D186</f>
        <v>0</v>
      </c>
      <c r="D4380" s="2" t="str">
        <f t="shared" si="67"/>
        <v>Error?</v>
      </c>
    </row>
    <row r="4381" spans="1:4">
      <c r="A4381" s="5">
        <v>4320</v>
      </c>
      <c r="B4381" s="138">
        <f>'Revenues 9-14'!F186</f>
        <v>0</v>
      </c>
      <c r="D4381" s="2" t="str">
        <f t="shared" si="67"/>
        <v>Error?</v>
      </c>
    </row>
    <row r="4382" spans="1:4">
      <c r="A4382" s="5">
        <v>4321</v>
      </c>
      <c r="B4382" s="138">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8">
        <f>'Revenues 9-14'!C187</f>
        <v>0</v>
      </c>
      <c r="D4391" s="2" t="str">
        <f t="shared" si="67"/>
        <v>Error?</v>
      </c>
    </row>
    <row r="4392" spans="1:5">
      <c r="A4392" s="5">
        <v>4331</v>
      </c>
      <c r="B4392" s="138">
        <f>'Revenues 9-14'!D187</f>
        <v>0</v>
      </c>
      <c r="D4392" s="2" t="str">
        <f t="shared" si="67"/>
        <v>Error?</v>
      </c>
    </row>
    <row r="4393" spans="1:5">
      <c r="A4393" s="5">
        <v>4332</v>
      </c>
      <c r="B4393" s="138">
        <f>'Revenues 9-14'!F187</f>
        <v>0</v>
      </c>
      <c r="D4393" s="2" t="str">
        <f t="shared" si="67"/>
        <v>Error?</v>
      </c>
    </row>
    <row r="4394" spans="1:5">
      <c r="A4394" s="5">
        <v>4333</v>
      </c>
      <c r="B4394" s="138">
        <f>'Revenues 9-14'!G187</f>
        <v>0</v>
      </c>
      <c r="D4394" s="2" t="str">
        <f t="shared" si="67"/>
        <v>Error?</v>
      </c>
    </row>
    <row r="4395" spans="1:5">
      <c r="A4395" s="5">
        <v>4334</v>
      </c>
      <c r="B4395" s="138">
        <f>'Revenues 9-14'!C188</f>
        <v>0</v>
      </c>
      <c r="C4395" s="2" t="s">
        <v>573</v>
      </c>
      <c r="D4395" s="2" t="str">
        <f t="shared" si="67"/>
        <v>Error?</v>
      </c>
    </row>
    <row r="4396" spans="1:5">
      <c r="A4396" s="5">
        <v>4335</v>
      </c>
      <c r="B4396" s="138">
        <f>'Revenues 9-14'!D188</f>
        <v>0</v>
      </c>
      <c r="C4396" s="2" t="s">
        <v>573</v>
      </c>
      <c r="D4396" s="2" t="str">
        <f t="shared" si="67"/>
        <v>Error?</v>
      </c>
    </row>
    <row r="4397" spans="1:5">
      <c r="A4397" s="5">
        <v>4336</v>
      </c>
      <c r="B4397" s="138">
        <f>'Revenues 9-14'!F188</f>
        <v>0</v>
      </c>
      <c r="C4397" s="2" t="s">
        <v>573</v>
      </c>
      <c r="D4397" s="2" t="str">
        <f t="shared" si="67"/>
        <v>Error?</v>
      </c>
    </row>
    <row r="4398" spans="1:5">
      <c r="A4398" s="5">
        <v>4337</v>
      </c>
      <c r="B4398" s="138">
        <f>'Revenues 9-14'!G188</f>
        <v>0</v>
      </c>
      <c r="C4398" s="2" t="s">
        <v>573</v>
      </c>
      <c r="D4398" s="2" t="str">
        <f t="shared" si="67"/>
        <v>Error?</v>
      </c>
    </row>
    <row r="4399" spans="1:5">
      <c r="A4399" s="10">
        <v>4338</v>
      </c>
      <c r="D4399" s="2" t="str">
        <f t="shared" si="67"/>
        <v>OK</v>
      </c>
      <c r="E4399" s="4" t="s">
        <v>1937</v>
      </c>
    </row>
    <row r="4400" spans="1:5">
      <c r="A4400" s="10">
        <v>4339</v>
      </c>
      <c r="D4400" s="2" t="str">
        <f t="shared" si="67"/>
        <v>OK</v>
      </c>
      <c r="E4400" s="4" t="s">
        <v>1937</v>
      </c>
    </row>
    <row r="4401" spans="1:5">
      <c r="A4401" s="10">
        <v>4340</v>
      </c>
      <c r="D4401" s="2" t="str">
        <f t="shared" si="67"/>
        <v>OK</v>
      </c>
      <c r="E4401" s="4" t="s">
        <v>1937</v>
      </c>
    </row>
    <row r="4402" spans="1:5">
      <c r="A4402" s="10">
        <v>4341</v>
      </c>
      <c r="D4402" s="2" t="str">
        <f t="shared" si="67"/>
        <v>OK</v>
      </c>
      <c r="E4402" s="4" t="s">
        <v>1937</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8">
        <f>'Revenues 9-14'!C207</f>
        <v>89922</v>
      </c>
      <c r="D4407" s="2" t="str">
        <f t="shared" si="67"/>
        <v>Error?</v>
      </c>
    </row>
    <row r="4408" spans="1:5">
      <c r="A4408" s="5">
        <v>4347</v>
      </c>
      <c r="B4408" s="138">
        <f>'Revenues 9-14'!D207</f>
        <v>0</v>
      </c>
      <c r="D4408" s="2" t="str">
        <f t="shared" si="67"/>
        <v>Error?</v>
      </c>
    </row>
    <row r="4409" spans="1:5">
      <c r="A4409" s="5">
        <v>4348</v>
      </c>
      <c r="B4409" s="138">
        <f>'Revenues 9-14'!F207</f>
        <v>0</v>
      </c>
      <c r="D4409" s="2" t="str">
        <f t="shared" si="67"/>
        <v>Error?</v>
      </c>
    </row>
    <row r="4410" spans="1:5">
      <c r="A4410" s="5">
        <v>4349</v>
      </c>
      <c r="B4410" s="138">
        <f>'Revenues 9-14'!G207</f>
        <v>0</v>
      </c>
      <c r="D4410" s="2" t="str">
        <f t="shared" si="67"/>
        <v>Error?</v>
      </c>
    </row>
    <row r="4411" spans="1:5">
      <c r="A4411" s="5">
        <v>4350</v>
      </c>
      <c r="B4411" s="138">
        <f>'Revenues 9-14'!C209</f>
        <v>89922</v>
      </c>
      <c r="C4411" s="2" t="s">
        <v>573</v>
      </c>
      <c r="D4411" s="2" t="str">
        <f t="shared" si="67"/>
        <v>Error?</v>
      </c>
    </row>
    <row r="4412" spans="1:5">
      <c r="A4412" s="5">
        <v>4351</v>
      </c>
      <c r="B4412" s="138">
        <f>'Revenues 9-14'!D209</f>
        <v>0</v>
      </c>
      <c r="C4412" s="2" t="s">
        <v>573</v>
      </c>
      <c r="D4412" s="2" t="str">
        <f t="shared" si="67"/>
        <v>Error?</v>
      </c>
    </row>
    <row r="4413" spans="1:5">
      <c r="A4413" s="5">
        <v>4352</v>
      </c>
      <c r="B4413" s="138">
        <f>'Revenues 9-14'!F209</f>
        <v>0</v>
      </c>
      <c r="C4413" s="2" t="s">
        <v>573</v>
      </c>
      <c r="D4413" s="2" t="str">
        <f t="shared" si="67"/>
        <v>Error?</v>
      </c>
    </row>
    <row r="4414" spans="1:5">
      <c r="A4414" s="5">
        <v>4353</v>
      </c>
      <c r="B4414" s="138">
        <f>'Revenues 9-14'!G209</f>
        <v>0</v>
      </c>
      <c r="C4414" s="2" t="s">
        <v>573</v>
      </c>
      <c r="D4414" s="2" t="str">
        <f t="shared" si="67"/>
        <v>Error?</v>
      </c>
    </row>
    <row r="4415" spans="1:5">
      <c r="A4415" s="5">
        <v>4354</v>
      </c>
      <c r="B4415" s="138">
        <f>'Revenues 9-14'!C256</f>
        <v>86399</v>
      </c>
      <c r="D4415" s="2" t="str">
        <f t="shared" ref="D4415:D4478" si="68">IF(ISBLANK(B4415),"OK",IF(A4415-B4415=0,"OK","Error?"))</f>
        <v>Error?</v>
      </c>
    </row>
    <row r="4416" spans="1:5">
      <c r="A4416" s="5">
        <v>4355</v>
      </c>
      <c r="B4416" s="138">
        <f>'Revenues 9-14'!F256</f>
        <v>0</v>
      </c>
      <c r="D4416" s="2" t="str">
        <f t="shared" si="68"/>
        <v>Error?</v>
      </c>
    </row>
    <row r="4417" spans="1:4">
      <c r="A4417" s="5">
        <v>4356</v>
      </c>
      <c r="B4417" s="138">
        <f>'Revenues 9-14'!G256</f>
        <v>0</v>
      </c>
      <c r="D4417" s="2" t="str">
        <f t="shared" si="68"/>
        <v>Error?</v>
      </c>
    </row>
    <row r="4418" spans="1:4">
      <c r="A4418" s="5">
        <v>4357</v>
      </c>
      <c r="B4418" s="138">
        <f>'Revenues 9-14'!C259</f>
        <v>0</v>
      </c>
      <c r="D4418" s="2" t="str">
        <f t="shared" si="68"/>
        <v>Error?</v>
      </c>
    </row>
    <row r="4419" spans="1:4">
      <c r="A4419" s="5">
        <v>4358</v>
      </c>
      <c r="B4419" s="138">
        <f>'Revenues 9-14'!D259</f>
        <v>0</v>
      </c>
      <c r="D4419" s="2" t="str">
        <f t="shared" si="68"/>
        <v>Error?</v>
      </c>
    </row>
    <row r="4420" spans="1:4">
      <c r="A4420" s="5">
        <v>4359</v>
      </c>
      <c r="B4420" s="138">
        <f>'Revenues 9-14'!F259</f>
        <v>0</v>
      </c>
      <c r="D4420" s="2" t="str">
        <f t="shared" si="68"/>
        <v>Error?</v>
      </c>
    </row>
    <row r="4421" spans="1:4">
      <c r="A4421" s="5">
        <v>4360</v>
      </c>
      <c r="B4421" s="138">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9-14'!E267</f>
        <v>0</v>
      </c>
      <c r="C4434" s="2" t="s">
        <v>573</v>
      </c>
      <c r="D4434" s="2" t="str">
        <f t="shared" si="68"/>
        <v>Error?</v>
      </c>
    </row>
    <row r="4435" spans="1:5">
      <c r="A4435" s="5">
        <v>4374</v>
      </c>
      <c r="B4435" s="138">
        <f>'Revenues 9-14'!I267</f>
        <v>0</v>
      </c>
      <c r="C4435" s="2" t="s">
        <v>573</v>
      </c>
      <c r="D4435" s="2" t="str">
        <f t="shared" si="68"/>
        <v>Error?</v>
      </c>
    </row>
    <row r="4436" spans="1:5">
      <c r="A4436" s="10">
        <v>4375</v>
      </c>
      <c r="C4436" s="2" t="s">
        <v>573</v>
      </c>
      <c r="D4436" s="2" t="str">
        <f t="shared" si="68"/>
        <v>OK</v>
      </c>
      <c r="E4436" s="128"/>
    </row>
    <row r="4437" spans="1:5">
      <c r="A4437" s="12">
        <v>4376</v>
      </c>
      <c r="B4437" s="138">
        <f>('FP Info 3'!L10)*100000</f>
        <v>50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9-14'!H266</f>
        <v>0</v>
      </c>
      <c r="C4441" s="2" t="s">
        <v>573</v>
      </c>
      <c r="D4441" s="2" t="str">
        <f t="shared" si="68"/>
        <v>Error?</v>
      </c>
    </row>
    <row r="4442" spans="1:5">
      <c r="A4442" s="5">
        <v>4381</v>
      </c>
      <c r="B4442" s="138">
        <f>'Revenues 9-14'!K266</f>
        <v>0</v>
      </c>
      <c r="C4442" s="2" t="s">
        <v>573</v>
      </c>
      <c r="D4442" s="2" t="str">
        <f t="shared" si="68"/>
        <v>Error?</v>
      </c>
    </row>
    <row r="4443" spans="1:5">
      <c r="A4443" s="5">
        <v>4382</v>
      </c>
      <c r="B4443" s="138">
        <f>'Acct Summary 7-8'!E7</f>
        <v>0</v>
      </c>
      <c r="C4443" s="2" t="s">
        <v>573</v>
      </c>
      <c r="D4443" s="2" t="str">
        <f t="shared" si="68"/>
        <v>Error?</v>
      </c>
    </row>
    <row r="4444" spans="1:5">
      <c r="A4444" s="5">
        <v>4383</v>
      </c>
      <c r="B4444" s="138">
        <f>'Acct Summary 7-8'!I7</f>
        <v>0</v>
      </c>
      <c r="C4444" s="2" t="s">
        <v>573</v>
      </c>
      <c r="D4444" s="2" t="str">
        <f t="shared" si="68"/>
        <v>Error?</v>
      </c>
    </row>
    <row r="4445" spans="1:5">
      <c r="A4445" s="10">
        <v>4384</v>
      </c>
      <c r="C4445" s="2" t="s">
        <v>573</v>
      </c>
      <c r="D4445" s="2" t="str">
        <f t="shared" si="68"/>
        <v>OK</v>
      </c>
    </row>
    <row r="4446" spans="1:5">
      <c r="A4446" s="5">
        <v>4385</v>
      </c>
      <c r="B4446" s="138">
        <f>'Revenues 9-14'!D264</f>
        <v>0</v>
      </c>
      <c r="D4446" s="2" t="str">
        <f t="shared" si="68"/>
        <v>Error?</v>
      </c>
    </row>
    <row r="4447" spans="1:5">
      <c r="A4447" s="5">
        <v>4386</v>
      </c>
      <c r="B4447" s="138">
        <f>'Revenues 9-14'!F264</f>
        <v>0</v>
      </c>
      <c r="D4447" s="2" t="str">
        <f t="shared" si="68"/>
        <v>Error?</v>
      </c>
    </row>
    <row r="4448" spans="1:5">
      <c r="A4448" s="5">
        <v>4387</v>
      </c>
      <c r="B4448" s="138">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113240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8">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9-14'!C168</f>
        <v>37500</v>
      </c>
      <c r="D4792" s="2" t="str">
        <f t="shared" si="73"/>
        <v>Error?</v>
      </c>
    </row>
    <row r="4793" spans="1:4">
      <c r="A4793" s="5">
        <v>4732</v>
      </c>
      <c r="B4793" s="138">
        <f>'Revenues 9-14'!D168</f>
        <v>0</v>
      </c>
      <c r="D4793" s="2" t="str">
        <f t="shared" si="73"/>
        <v>Error?</v>
      </c>
    </row>
    <row r="4794" spans="1:4">
      <c r="A4794" s="5">
        <v>4733</v>
      </c>
      <c r="B4794" s="138">
        <f>'Revenues 9-14'!E168</f>
        <v>0</v>
      </c>
      <c r="D4794" s="2" t="str">
        <f t="shared" si="73"/>
        <v>Error?</v>
      </c>
    </row>
    <row r="4795" spans="1:4">
      <c r="A4795" s="5">
        <v>4734</v>
      </c>
      <c r="B4795" s="138">
        <f>'Revenues 9-14'!F168</f>
        <v>0</v>
      </c>
      <c r="D4795" s="2" t="str">
        <f t="shared" si="73"/>
        <v>Error?</v>
      </c>
    </row>
    <row r="4796" spans="1:4">
      <c r="A4796" s="5">
        <v>4735</v>
      </c>
      <c r="B4796" s="138">
        <f>'Revenues 9-14'!G168</f>
        <v>0</v>
      </c>
      <c r="D4796" s="2" t="str">
        <f t="shared" si="73"/>
        <v>Error?</v>
      </c>
    </row>
    <row r="4797" spans="1:4">
      <c r="A4797" s="5">
        <v>4736</v>
      </c>
      <c r="B4797" s="138">
        <f>'Revenues 9-14'!H168</f>
        <v>0</v>
      </c>
      <c r="D4797" s="2" t="str">
        <f t="shared" si="73"/>
        <v>Error?</v>
      </c>
    </row>
    <row r="4798" spans="1:4">
      <c r="A4798" s="10">
        <v>4737</v>
      </c>
      <c r="D4798" s="2" t="str">
        <f t="shared" si="73"/>
        <v>OK</v>
      </c>
    </row>
    <row r="4799" spans="1:4">
      <c r="A4799" s="5">
        <v>4738</v>
      </c>
      <c r="B4799" s="138">
        <f>'Revenues 9-14'!K168</f>
        <v>0</v>
      </c>
      <c r="D4799" s="2" t="str">
        <f t="shared" ref="D4799:D4862" si="74">IF(ISBLANK(B4799),"OK",IF(A4799-B4799=0,"OK","Error?"))</f>
        <v>Error?</v>
      </c>
    </row>
    <row r="4800" spans="1:4">
      <c r="A4800" s="10">
        <v>4739</v>
      </c>
      <c r="D4800" s="2" t="str">
        <f t="shared" si="74"/>
        <v>OK</v>
      </c>
    </row>
    <row r="4801" spans="1:4">
      <c r="A4801" s="5">
        <v>4740</v>
      </c>
      <c r="B4801" s="138">
        <f>'Revenues 9-14'!C179</f>
        <v>0</v>
      </c>
      <c r="D4801" s="2" t="str">
        <f t="shared" si="74"/>
        <v>Error?</v>
      </c>
    </row>
    <row r="4802" spans="1:4">
      <c r="A4802" s="5">
        <v>4741</v>
      </c>
      <c r="B4802" s="138">
        <f>'Revenues 9-14'!D179</f>
        <v>0</v>
      </c>
      <c r="D4802" s="2" t="str">
        <f t="shared" si="74"/>
        <v>Error?</v>
      </c>
    </row>
    <row r="4803" spans="1:4">
      <c r="A4803" s="10">
        <v>4742</v>
      </c>
      <c r="D4803" s="2" t="str">
        <f t="shared" si="74"/>
        <v>OK</v>
      </c>
    </row>
    <row r="4804" spans="1:4">
      <c r="A4804" s="5">
        <v>4743</v>
      </c>
      <c r="B4804" s="138">
        <f>'Revenues 9-14'!F179</f>
        <v>0</v>
      </c>
      <c r="D4804" s="2" t="str">
        <f t="shared" si="74"/>
        <v>Error?</v>
      </c>
    </row>
    <row r="4805" spans="1:4">
      <c r="A4805" s="5">
        <v>4744</v>
      </c>
      <c r="B4805" s="138">
        <f>'Revenues 9-14'!C180</f>
        <v>0</v>
      </c>
      <c r="D4805" s="2" t="str">
        <f t="shared" si="74"/>
        <v>Error?</v>
      </c>
    </row>
    <row r="4806" spans="1:4">
      <c r="A4806" s="5">
        <v>4745</v>
      </c>
      <c r="B4806" s="138">
        <f>'Revenues 9-14'!D180</f>
        <v>0</v>
      </c>
      <c r="D4806" s="2" t="str">
        <f t="shared" si="74"/>
        <v>Error?</v>
      </c>
    </row>
    <row r="4807" spans="1:4">
      <c r="A4807" s="10">
        <v>4746</v>
      </c>
      <c r="D4807" s="2" t="str">
        <f t="shared" si="74"/>
        <v>OK</v>
      </c>
    </row>
    <row r="4808" spans="1:4">
      <c r="A4808" s="12">
        <v>4747</v>
      </c>
      <c r="B4808" s="138">
        <f>'Revenues 9-14'!F180</f>
        <v>0</v>
      </c>
      <c r="D4808" s="2" t="str">
        <f t="shared" si="74"/>
        <v>Error?</v>
      </c>
    </row>
    <row r="4809" spans="1:4">
      <c r="A4809" s="5">
        <v>4748</v>
      </c>
      <c r="D4809" s="2" t="str">
        <f t="shared" si="74"/>
        <v>OK</v>
      </c>
    </row>
    <row r="4810" spans="1:4">
      <c r="A4810" s="5">
        <v>4749</v>
      </c>
      <c r="B4810" s="138">
        <f>'Revenues 9-14'!G179</f>
        <v>0</v>
      </c>
      <c r="D4810" s="2" t="str">
        <f t="shared" si="74"/>
        <v>Error?</v>
      </c>
    </row>
    <row r="4811" spans="1:4">
      <c r="A4811" s="5">
        <v>4750</v>
      </c>
      <c r="B4811" s="138">
        <f>'Revenues 9-14'!H179</f>
        <v>0</v>
      </c>
      <c r="D4811" s="2" t="str">
        <f t="shared" si="74"/>
        <v>Error?</v>
      </c>
    </row>
    <row r="4812" spans="1:4">
      <c r="A4812" s="10">
        <v>4751</v>
      </c>
      <c r="D4812" s="2" t="str">
        <f t="shared" si="74"/>
        <v>OK</v>
      </c>
    </row>
    <row r="4813" spans="1:4">
      <c r="A4813" s="5">
        <v>4752</v>
      </c>
      <c r="B4813" s="138">
        <f>'Revenues 9-14'!G180</f>
        <v>0</v>
      </c>
      <c r="D4813" s="2" t="str">
        <f t="shared" si="74"/>
        <v>Error?</v>
      </c>
    </row>
    <row r="4814" spans="1:4">
      <c r="A4814" s="5">
        <v>4753</v>
      </c>
      <c r="B4814" s="138">
        <f>'Revenues 9-14'!H180</f>
        <v>0</v>
      </c>
      <c r="D4814" s="2" t="str">
        <f t="shared" si="74"/>
        <v>Error?</v>
      </c>
    </row>
    <row r="4815" spans="1:4">
      <c r="A4815" s="10">
        <v>4754</v>
      </c>
      <c r="D4815" s="2" t="str">
        <f t="shared" si="74"/>
        <v>OK</v>
      </c>
    </row>
    <row r="4816" spans="1:4">
      <c r="A4816" s="5">
        <v>4755</v>
      </c>
      <c r="B4816" s="138">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9-14'!C265</f>
        <v>0</v>
      </c>
      <c r="D4852" s="2" t="str">
        <f t="shared" si="74"/>
        <v>Error?</v>
      </c>
    </row>
    <row r="4853" spans="1:4">
      <c r="A4853" s="5">
        <v>4792</v>
      </c>
      <c r="B4853" s="138">
        <f>'Revenues 9-14'!D265</f>
        <v>0</v>
      </c>
      <c r="D4853" s="2" t="str">
        <f t="shared" si="74"/>
        <v>Error?</v>
      </c>
    </row>
    <row r="4854" spans="1:4">
      <c r="A4854" s="10">
        <v>4793</v>
      </c>
      <c r="D4854" s="2" t="str">
        <f t="shared" si="74"/>
        <v>OK</v>
      </c>
    </row>
    <row r="4855" spans="1:4">
      <c r="A4855" s="5">
        <v>4794</v>
      </c>
      <c r="B4855" s="138">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9-14'!G265</f>
        <v>0</v>
      </c>
      <c r="D4864" s="2" t="str">
        <f t="shared" si="75"/>
        <v>Error?</v>
      </c>
    </row>
    <row r="4865" spans="1:4">
      <c r="A4865" s="5">
        <v>4804</v>
      </c>
      <c r="B4865" s="138">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9-14'!C121</f>
        <v>0</v>
      </c>
      <c r="D4882" s="2" t="str">
        <f t="shared" si="75"/>
        <v>Error?</v>
      </c>
    </row>
    <row r="4883" spans="1:4">
      <c r="A4883" s="5">
        <v>4822</v>
      </c>
      <c r="B4883" s="138">
        <f>'Revenues 9-14'!D121</f>
        <v>0</v>
      </c>
      <c r="D4883" s="2" t="str">
        <f t="shared" si="75"/>
        <v>Error?</v>
      </c>
    </row>
    <row r="4884" spans="1:4">
      <c r="A4884" s="5">
        <v>4823</v>
      </c>
      <c r="B4884" s="138">
        <f>'Revenues 9-14'!E121</f>
        <v>0</v>
      </c>
      <c r="D4884" s="2" t="str">
        <f t="shared" si="75"/>
        <v>Error?</v>
      </c>
    </row>
    <row r="4885" spans="1:4">
      <c r="A4885" s="5">
        <v>4824</v>
      </c>
      <c r="B4885" s="138">
        <f>'Revenues 9-14'!F121</f>
        <v>0</v>
      </c>
      <c r="D4885" s="2" t="str">
        <f t="shared" si="75"/>
        <v>Error?</v>
      </c>
    </row>
    <row r="4886" spans="1:4">
      <c r="A4886" s="5">
        <v>4825</v>
      </c>
      <c r="B4886" s="138">
        <f>'Revenues 9-14'!G121</f>
        <v>0</v>
      </c>
      <c r="D4886" s="2" t="str">
        <f t="shared" si="75"/>
        <v>Error?</v>
      </c>
    </row>
    <row r="4887" spans="1:4">
      <c r="A4887" s="5">
        <v>4826</v>
      </c>
      <c r="B4887" s="138">
        <f>'Revenues 9-14'!H121</f>
        <v>0</v>
      </c>
      <c r="D4887" s="2" t="str">
        <f t="shared" si="75"/>
        <v>Error?</v>
      </c>
    </row>
    <row r="4888" spans="1:4">
      <c r="A4888" s="10">
        <v>4827</v>
      </c>
      <c r="D4888" s="2" t="str">
        <f t="shared" si="75"/>
        <v>OK</v>
      </c>
    </row>
    <row r="4889" spans="1:4">
      <c r="A4889" s="5">
        <v>4828</v>
      </c>
      <c r="B4889" s="138">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9-14'!C162</f>
        <v>0</v>
      </c>
      <c r="D4915" s="2" t="str">
        <f t="shared" si="75"/>
        <v>Error?</v>
      </c>
    </row>
    <row r="4916" spans="1:4">
      <c r="A4916" s="5">
        <v>4855</v>
      </c>
      <c r="B4916" s="138">
        <f>'Revenues 9-14'!D162</f>
        <v>0</v>
      </c>
      <c r="D4916" s="2" t="str">
        <f t="shared" si="75"/>
        <v>Error?</v>
      </c>
    </row>
    <row r="4917" spans="1:4">
      <c r="A4917" s="5">
        <v>4856</v>
      </c>
      <c r="B4917" s="138">
        <f>'Revenues 9-14'!E162</f>
        <v>0</v>
      </c>
      <c r="D4917" s="2" t="str">
        <f t="shared" si="75"/>
        <v>Error?</v>
      </c>
    </row>
    <row r="4918" spans="1:4">
      <c r="A4918" s="5">
        <v>4857</v>
      </c>
      <c r="B4918" s="138">
        <f>'Revenues 9-14'!F162</f>
        <v>0</v>
      </c>
      <c r="D4918" s="2" t="str">
        <f t="shared" si="75"/>
        <v>Error?</v>
      </c>
    </row>
    <row r="4919" spans="1:4">
      <c r="A4919" s="5">
        <v>4858</v>
      </c>
      <c r="B4919" s="138">
        <f>'Revenues 9-14'!G162</f>
        <v>0</v>
      </c>
      <c r="D4919" s="2" t="str">
        <f t="shared" si="75"/>
        <v>Error?</v>
      </c>
    </row>
    <row r="4920" spans="1:4">
      <c r="A4920" s="5">
        <v>4859</v>
      </c>
      <c r="B4920" s="138">
        <f>'Revenues 9-14'!H162</f>
        <v>0</v>
      </c>
      <c r="D4920" s="2" t="str">
        <f t="shared" si="75"/>
        <v>Error?</v>
      </c>
    </row>
    <row r="4921" spans="1:4">
      <c r="A4921" s="10">
        <v>4860</v>
      </c>
      <c r="D4921" s="2" t="str">
        <f t="shared" si="75"/>
        <v>OK</v>
      </c>
    </row>
    <row r="4922" spans="1:4">
      <c r="A4922" s="5">
        <v>4861</v>
      </c>
      <c r="B4922" s="138">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9-14'!C174</f>
        <v>0</v>
      </c>
      <c r="D4944" s="2" t="str">
        <f t="shared" si="76"/>
        <v>Error?</v>
      </c>
    </row>
    <row r="4945" spans="1:4">
      <c r="A4945" s="5">
        <v>4884</v>
      </c>
      <c r="B4945" s="138">
        <f>'Revenues 9-14'!D174</f>
        <v>0</v>
      </c>
      <c r="D4945" s="2" t="str">
        <f t="shared" si="76"/>
        <v>Error?</v>
      </c>
    </row>
    <row r="4946" spans="1:4">
      <c r="A4946" s="5">
        <v>4885</v>
      </c>
      <c r="B4946" s="138">
        <f>'Revenues 9-14'!F174</f>
        <v>0</v>
      </c>
      <c r="D4946" s="2" t="str">
        <f t="shared" si="76"/>
        <v>Error?</v>
      </c>
    </row>
    <row r="4947" spans="1:4">
      <c r="A4947" s="5">
        <v>4886</v>
      </c>
      <c r="B4947" s="138">
        <f>'Revenues 9-14'!G174</f>
        <v>0</v>
      </c>
      <c r="D4947" s="2" t="str">
        <f t="shared" si="76"/>
        <v>Error?</v>
      </c>
    </row>
    <row r="4948" spans="1:4">
      <c r="A4948" s="5">
        <v>4887</v>
      </c>
      <c r="B4948" s="138">
        <f>'Revenues 9-14'!H174</f>
        <v>0</v>
      </c>
      <c r="D4948" s="2" t="str">
        <f t="shared" si="76"/>
        <v>Error?</v>
      </c>
    </row>
    <row r="4949" spans="1:4">
      <c r="A4949" s="5">
        <v>4888</v>
      </c>
      <c r="B4949" s="138">
        <f>'Revenues 9-14'!K174</f>
        <v>0</v>
      </c>
      <c r="D4949" s="2" t="str">
        <f t="shared" si="76"/>
        <v>Error?</v>
      </c>
    </row>
    <row r="4950" spans="1:4">
      <c r="A4950" s="5">
        <v>4889</v>
      </c>
      <c r="B4950" s="138">
        <f>'Revenues 9-14'!H175</f>
        <v>0</v>
      </c>
      <c r="C4950" s="2" t="s">
        <v>573</v>
      </c>
      <c r="D4950" s="2" t="str">
        <f t="shared" si="76"/>
        <v>Error?</v>
      </c>
    </row>
    <row r="4951" spans="1:4">
      <c r="A4951" s="5">
        <v>4890</v>
      </c>
      <c r="B4951" s="138">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353450721</v>
      </c>
      <c r="D4995" s="2" t="str">
        <f t="shared" si="77"/>
        <v>Error?</v>
      </c>
    </row>
    <row r="4996" spans="1:4">
      <c r="A4996" s="12">
        <v>4935</v>
      </c>
      <c r="B4996" s="138">
        <f>'FP Info 3'!H31</f>
        <v>24388099.749000002</v>
      </c>
      <c r="D4996" s="2" t="str">
        <f t="shared" si="77"/>
        <v>Error?</v>
      </c>
    </row>
    <row r="4997" spans="1:4">
      <c r="A4997" s="12">
        <v>4936</v>
      </c>
      <c r="B4997" s="138">
        <f>'FP Info 3'!H37</f>
        <v>23200000</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8">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8">
        <f>'Acct Summary 7-8'!I6</f>
        <v>0</v>
      </c>
      <c r="C5011" s="2" t="s">
        <v>573</v>
      </c>
      <c r="D5011" s="2" t="str">
        <f t="shared" si="77"/>
        <v>Error?</v>
      </c>
    </row>
    <row r="5012" spans="1:4">
      <c r="A5012" s="5">
        <v>4951</v>
      </c>
      <c r="B5012" s="138">
        <f>'Acct Summary 7-8'!C27</f>
        <v>137977</v>
      </c>
      <c r="C5012" s="2" t="s">
        <v>573</v>
      </c>
      <c r="D5012" s="2" t="str">
        <f t="shared" si="77"/>
        <v>Error?</v>
      </c>
    </row>
    <row r="5013" spans="1:4">
      <c r="A5013" s="5">
        <v>4952</v>
      </c>
      <c r="B5013" s="138">
        <f>'Acct Summary 7-8'!D27</f>
        <v>0</v>
      </c>
      <c r="D5013" s="2" t="str">
        <f t="shared" si="77"/>
        <v>Error?</v>
      </c>
    </row>
    <row r="5014" spans="1:4">
      <c r="A5014" s="5">
        <v>4953</v>
      </c>
      <c r="B5014" s="138">
        <f>'Acct Summary 7-8'!F27</f>
        <v>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137977</v>
      </c>
      <c r="D5023" s="2" t="str">
        <f t="shared" si="77"/>
        <v>Error?</v>
      </c>
    </row>
    <row r="5024" spans="1:4">
      <c r="A5024" s="5">
        <v>4963</v>
      </c>
      <c r="B5024" s="138">
        <f>'Acct Summary 7-8'!F49</f>
        <v>0</v>
      </c>
      <c r="D5024" s="2" t="str">
        <f t="shared" si="77"/>
        <v>Error?</v>
      </c>
    </row>
    <row r="5025" spans="1:4">
      <c r="A5025" s="10">
        <v>4964</v>
      </c>
      <c r="C5025" s="2" t="s">
        <v>573</v>
      </c>
      <c r="D5025" s="2" t="str">
        <f t="shared" si="77"/>
        <v>OK</v>
      </c>
    </row>
    <row r="5026" spans="1:4">
      <c r="A5026" s="5">
        <v>4965</v>
      </c>
      <c r="B5026" s="138">
        <f>'Revenues 9-14'!C6</f>
        <v>173751</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9-14'!C160</f>
        <v>0</v>
      </c>
      <c r="D5056" s="2" t="str">
        <f t="shared" si="78"/>
        <v>Error?</v>
      </c>
    </row>
    <row r="5057" spans="1:4">
      <c r="A5057" s="5">
        <v>4996</v>
      </c>
      <c r="B5057" s="138">
        <f>'Revenues 9-14'!D160</f>
        <v>0</v>
      </c>
      <c r="D5057" s="2" t="str">
        <f t="shared" si="78"/>
        <v>Error?</v>
      </c>
    </row>
    <row r="5058" spans="1:4">
      <c r="A5058" s="5">
        <v>4997</v>
      </c>
      <c r="B5058" s="138">
        <f>'Revenues 9-14'!F160</f>
        <v>0</v>
      </c>
      <c r="D5058" s="2" t="str">
        <f t="shared" si="78"/>
        <v>Error?</v>
      </c>
    </row>
    <row r="5059" spans="1:4">
      <c r="A5059" s="5">
        <v>4998</v>
      </c>
      <c r="B5059" s="138">
        <f>'Revenues 9-14'!G160</f>
        <v>0</v>
      </c>
      <c r="D5059" s="2" t="str">
        <f t="shared" si="78"/>
        <v>Error?</v>
      </c>
    </row>
    <row r="5060" spans="1:4">
      <c r="A5060" s="5">
        <v>4999</v>
      </c>
      <c r="B5060" s="138">
        <f>'Revenues 9-14'!C161</f>
        <v>0</v>
      </c>
      <c r="D5060" s="2" t="str">
        <f t="shared" si="78"/>
        <v>Error?</v>
      </c>
    </row>
    <row r="5061" spans="1:4">
      <c r="A5061" s="5">
        <v>5000</v>
      </c>
      <c r="B5061" s="138">
        <f>'Revenues 9-14'!C5</f>
        <v>8409533</v>
      </c>
      <c r="D5061" s="2" t="str">
        <f t="shared" si="78"/>
        <v>Error?</v>
      </c>
    </row>
    <row r="5062" spans="1:4">
      <c r="A5062" s="10">
        <v>5001</v>
      </c>
      <c r="D5062" s="2" t="str">
        <f t="shared" si="78"/>
        <v>OK</v>
      </c>
    </row>
    <row r="5063" spans="1:4">
      <c r="A5063" s="5">
        <v>5002</v>
      </c>
      <c r="B5063" s="138">
        <f>'Revenues 9-14'!C7</f>
        <v>69500</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8652784</v>
      </c>
      <c r="C5066" s="2" t="s">
        <v>573</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934505</v>
      </c>
      <c r="D5069" s="2" t="str">
        <f t="shared" si="78"/>
        <v>Error?</v>
      </c>
    </row>
    <row r="5070" spans="1:4">
      <c r="A5070" s="5">
        <v>5009</v>
      </c>
      <c r="B5070" s="138">
        <f>'Revenues 9-14'!C17</f>
        <v>39413</v>
      </c>
      <c r="D5070" s="2" t="str">
        <f t="shared" si="78"/>
        <v>Error?</v>
      </c>
    </row>
    <row r="5071" spans="1:4">
      <c r="A5071" s="5">
        <v>5010</v>
      </c>
      <c r="B5071" s="138">
        <f>'Revenues 9-14'!C18</f>
        <v>973918</v>
      </c>
      <c r="C5071" s="2" t="s">
        <v>573</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0</v>
      </c>
      <c r="C5087" s="2" t="s">
        <v>573</v>
      </c>
      <c r="D5087" s="2" t="str">
        <f t="shared" si="78"/>
        <v>Error?</v>
      </c>
    </row>
    <row r="5088" spans="1:4">
      <c r="A5088" s="5">
        <v>5027</v>
      </c>
      <c r="B5088" s="138">
        <f>'Revenues 9-14'!C65</f>
        <v>56487</v>
      </c>
      <c r="D5088" s="2" t="str">
        <f t="shared" si="78"/>
        <v>Error?</v>
      </c>
    </row>
    <row r="5089" spans="1:4">
      <c r="A5089" s="5">
        <v>5028</v>
      </c>
      <c r="B5089" s="138">
        <f>'Revenues 9-14'!C66</f>
        <v>0</v>
      </c>
      <c r="D5089" s="2" t="str">
        <f t="shared" si="78"/>
        <v>Error?</v>
      </c>
    </row>
    <row r="5090" spans="1:4">
      <c r="A5090" s="5">
        <v>5029</v>
      </c>
      <c r="B5090" s="138">
        <f>'Revenues 9-14'!C67</f>
        <v>56487</v>
      </c>
      <c r="C5090" s="2" t="s">
        <v>573</v>
      </c>
      <c r="D5090" s="2" t="str">
        <f t="shared" si="78"/>
        <v>Error?</v>
      </c>
    </row>
    <row r="5091" spans="1:4">
      <c r="A5091" s="5">
        <v>5030</v>
      </c>
      <c r="B5091" s="138">
        <f>'Revenues 9-14'!C70</f>
        <v>0</v>
      </c>
      <c r="D5091" s="2" t="str">
        <f t="shared" si="78"/>
        <v>Error?</v>
      </c>
    </row>
    <row r="5092" spans="1:4">
      <c r="A5092" s="5">
        <v>5031</v>
      </c>
      <c r="B5092" s="138">
        <f>'Revenues 9-14'!C71</f>
        <v>9078</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369</v>
      </c>
      <c r="D5095" s="2" t="str">
        <f t="shared" si="78"/>
        <v>Error?</v>
      </c>
    </row>
    <row r="5096" spans="1:4">
      <c r="A5096" s="5">
        <v>5035</v>
      </c>
      <c r="B5096" s="138">
        <f>'Revenues 9-14'!C75</f>
        <v>9447</v>
      </c>
      <c r="C5096" s="2" t="s">
        <v>573</v>
      </c>
      <c r="D5096" s="2" t="str">
        <f t="shared" si="78"/>
        <v>Error?</v>
      </c>
    </row>
    <row r="5097" spans="1:4">
      <c r="A5097" s="5">
        <v>5036</v>
      </c>
      <c r="B5097" s="138">
        <f>'Revenues 9-14'!C77</f>
        <v>0</v>
      </c>
      <c r="D5097" s="2" t="str">
        <f t="shared" si="78"/>
        <v>Error?</v>
      </c>
    </row>
    <row r="5098" spans="1:4">
      <c r="A5098" s="5">
        <v>5037</v>
      </c>
      <c r="B5098" s="138">
        <f>'Revenues 9-14'!C78</f>
        <v>0</v>
      </c>
      <c r="D5098" s="2" t="str">
        <f t="shared" si="78"/>
        <v>Error?</v>
      </c>
    </row>
    <row r="5099" spans="1:4">
      <c r="A5099" s="5">
        <v>5038</v>
      </c>
      <c r="B5099" s="138">
        <f>'Revenues 9-14'!C79</f>
        <v>8710</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8710</v>
      </c>
      <c r="C5102" s="2" t="s">
        <v>573</v>
      </c>
      <c r="D5102" s="2" t="str">
        <f t="shared" si="78"/>
        <v>Error?</v>
      </c>
    </row>
    <row r="5103" spans="1:4">
      <c r="A5103" s="5">
        <v>5042</v>
      </c>
      <c r="B5103" s="138">
        <f>'Revenues 9-14'!C84</f>
        <v>0</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0</v>
      </c>
      <c r="C5112" s="2" t="s">
        <v>573</v>
      </c>
      <c r="D5112" s="2" t="str">
        <f t="shared" si="78"/>
        <v>Error?</v>
      </c>
    </row>
    <row r="5113" spans="1:4">
      <c r="A5113" s="5">
        <v>5052</v>
      </c>
      <c r="B5113" s="138">
        <f>'Revenues 9-14'!C95</f>
        <v>0</v>
      </c>
      <c r="D5113" s="2" t="str">
        <f t="shared" si="78"/>
        <v>Error?</v>
      </c>
    </row>
    <row r="5114" spans="1:4">
      <c r="A5114" s="5">
        <v>5053</v>
      </c>
      <c r="B5114" s="138">
        <f>'Revenues 9-14'!C96</f>
        <v>120922</v>
      </c>
      <c r="D5114" s="2" t="str">
        <f t="shared" si="78"/>
        <v>Error?</v>
      </c>
    </row>
    <row r="5115" spans="1:4">
      <c r="A5115" s="5">
        <v>5054</v>
      </c>
      <c r="B5115" s="138">
        <f>'Revenues 9-14'!C98</f>
        <v>43042</v>
      </c>
      <c r="D5115" s="2" t="str">
        <f t="shared" si="78"/>
        <v>Error?</v>
      </c>
    </row>
    <row r="5116" spans="1:4">
      <c r="A5116" s="5">
        <v>5055</v>
      </c>
      <c r="B5116" s="138">
        <f>'Revenues 9-14'!C99</f>
        <v>4261</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2258</v>
      </c>
      <c r="D5119" s="2" t="str">
        <f t="shared" ref="D5119:D5182" si="79">IF(ISBLANK(B5119),"OK",IF(A5119-B5119=0,"OK","Error?"))</f>
        <v>Error?</v>
      </c>
    </row>
    <row r="5120" spans="1:4">
      <c r="A5120" s="5">
        <v>5059</v>
      </c>
      <c r="B5120" s="138">
        <f>'Revenues 9-14'!C108</f>
        <v>655984</v>
      </c>
      <c r="C5120" s="2" t="s">
        <v>573</v>
      </c>
      <c r="D5120" s="2" t="str">
        <f t="shared" si="79"/>
        <v>Error?</v>
      </c>
    </row>
    <row r="5121" spans="1:4">
      <c r="A5121" s="5">
        <v>5060</v>
      </c>
      <c r="B5121" s="138">
        <f>'Revenues 9-14'!C109</f>
        <v>10357330</v>
      </c>
      <c r="C5121" s="2" t="s">
        <v>573</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573</v>
      </c>
      <c r="D5125" s="2" t="str">
        <f t="shared" si="79"/>
        <v>Error?</v>
      </c>
    </row>
    <row r="5126" spans="1:4">
      <c r="A5126" s="5">
        <v>5065</v>
      </c>
      <c r="B5126" s="138">
        <f>'Revenues 9-14'!C117</f>
        <v>12309593</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9-14'!C122</f>
        <v>12309593</v>
      </c>
      <c r="C5132" s="2" t="s">
        <v>573</v>
      </c>
      <c r="D5132" s="2" t="str">
        <f t="shared" si="79"/>
        <v>Error?</v>
      </c>
    </row>
    <row r="5133" spans="1:4">
      <c r="A5133" s="5">
        <v>5072</v>
      </c>
      <c r="B5133" s="138">
        <f>'Revenues 9-14'!C125</f>
        <v>35413</v>
      </c>
      <c r="D5133" s="2" t="str">
        <f t="shared" si="79"/>
        <v>Error?</v>
      </c>
    </row>
    <row r="5134" spans="1:4">
      <c r="A5134" s="5">
        <v>5073</v>
      </c>
      <c r="B5134" s="138">
        <f>'Revenues 9-14'!C126</f>
        <v>0</v>
      </c>
      <c r="D5134" s="2" t="str">
        <f t="shared" si="79"/>
        <v>Error?</v>
      </c>
    </row>
    <row r="5135" spans="1:4">
      <c r="A5135" s="5">
        <v>5074</v>
      </c>
      <c r="B5135" s="138">
        <f>'Revenues 9-14'!C127</f>
        <v>0</v>
      </c>
      <c r="D5135" s="2" t="str">
        <f t="shared" si="79"/>
        <v>Error?</v>
      </c>
    </row>
    <row r="5136" spans="1:4">
      <c r="A5136" s="10">
        <v>5075</v>
      </c>
      <c r="D5136" s="2" t="str">
        <f t="shared" si="79"/>
        <v>OK</v>
      </c>
    </row>
    <row r="5137" spans="1:4">
      <c r="A5137" s="5">
        <v>5076</v>
      </c>
      <c r="B5137" s="138">
        <f>'Revenues 9-14'!C128</f>
        <v>6180</v>
      </c>
      <c r="D5137" s="2" t="str">
        <f t="shared" si="79"/>
        <v>Error?</v>
      </c>
    </row>
    <row r="5138" spans="1:4">
      <c r="A5138" s="10">
        <v>5077</v>
      </c>
      <c r="D5138" s="2" t="str">
        <f t="shared" si="79"/>
        <v>OK</v>
      </c>
    </row>
    <row r="5139" spans="1:4">
      <c r="A5139" s="5">
        <v>5078</v>
      </c>
      <c r="B5139" s="138">
        <f>'Revenues 9-14'!C129</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9-14'!C132</f>
        <v>41593</v>
      </c>
      <c r="C5147" s="2" t="s">
        <v>573</v>
      </c>
      <c r="D5147" s="2" t="str">
        <f t="shared" si="79"/>
        <v>Error?</v>
      </c>
    </row>
    <row r="5148" spans="1:4">
      <c r="A5148" s="5">
        <v>5087</v>
      </c>
      <c r="B5148" s="138">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9-14'!C135</f>
        <v>0</v>
      </c>
      <c r="D5152" s="2" t="str">
        <f t="shared" si="79"/>
        <v>Error?</v>
      </c>
    </row>
    <row r="5153" spans="1:4">
      <c r="A5153" s="5">
        <v>5092</v>
      </c>
      <c r="B5153" s="138">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9-14'!C141</f>
        <v>0</v>
      </c>
      <c r="C5161" s="2" t="s">
        <v>573</v>
      </c>
      <c r="D5161" s="2" t="str">
        <f t="shared" si="79"/>
        <v>Error?</v>
      </c>
    </row>
    <row r="5162" spans="1:4">
      <c r="A5162" s="10">
        <v>5101</v>
      </c>
      <c r="D5162" s="2" t="str">
        <f t="shared" si="79"/>
        <v>OK</v>
      </c>
    </row>
    <row r="5163" spans="1:4">
      <c r="A5163" s="5">
        <v>5102</v>
      </c>
      <c r="B5163" s="138">
        <f>'Revenues 9-14'!C143</f>
        <v>0</v>
      </c>
      <c r="D5163" s="2" t="str">
        <f t="shared" si="79"/>
        <v>Error?</v>
      </c>
    </row>
    <row r="5164" spans="1:4">
      <c r="A5164" s="5">
        <v>5103</v>
      </c>
      <c r="B5164" s="138">
        <f>'Revenues 9-14'!C144</f>
        <v>0</v>
      </c>
      <c r="D5164" s="2" t="str">
        <f t="shared" si="79"/>
        <v>Error?</v>
      </c>
    </row>
    <row r="5165" spans="1:4">
      <c r="A5165" s="5">
        <v>5104</v>
      </c>
      <c r="B5165" s="138">
        <f>'Revenues 9-14'!C145</f>
        <v>0</v>
      </c>
      <c r="C5165" s="2" t="s">
        <v>573</v>
      </c>
      <c r="D5165" s="2" t="str">
        <f t="shared" si="79"/>
        <v>Error?</v>
      </c>
    </row>
    <row r="5166" spans="1:4">
      <c r="A5166" s="10">
        <v>5105</v>
      </c>
      <c r="D5166" s="2" t="str">
        <f t="shared" si="79"/>
        <v>OK</v>
      </c>
    </row>
    <row r="5167" spans="1:4">
      <c r="A5167" s="5">
        <v>5106</v>
      </c>
      <c r="B5167" s="138">
        <f>'Revenues 9-14'!C146</f>
        <v>36180</v>
      </c>
      <c r="D5167" s="2" t="str">
        <f t="shared" si="79"/>
        <v>Error?</v>
      </c>
    </row>
    <row r="5168" spans="1:4">
      <c r="A5168" s="5">
        <v>5107</v>
      </c>
      <c r="B5168" s="138">
        <f>'Revenues 9-14'!C148</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9-14'!C152</f>
        <v>0</v>
      </c>
      <c r="D5175" s="2" t="str">
        <f t="shared" si="79"/>
        <v>Error?</v>
      </c>
    </row>
    <row r="5176" spans="1:4">
      <c r="A5176" s="10">
        <v>5115</v>
      </c>
      <c r="D5176" s="2" t="str">
        <f t="shared" si="79"/>
        <v>OK</v>
      </c>
    </row>
    <row r="5177" spans="1:4">
      <c r="A5177" s="5">
        <v>5116</v>
      </c>
      <c r="B5177" s="138">
        <f>'Revenues 9-14'!C153</f>
        <v>0</v>
      </c>
      <c r="D5177" s="2" t="str">
        <f t="shared" si="79"/>
        <v>Error?</v>
      </c>
    </row>
    <row r="5178" spans="1:4">
      <c r="A5178" s="5">
        <v>5117</v>
      </c>
      <c r="B5178" s="138">
        <f>'Revenues 9-14'!C155</f>
        <v>0</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8">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8">
        <f>'Revenues 9-14'!C158</f>
        <v>0</v>
      </c>
      <c r="D5194" s="2" t="str">
        <f t="shared" si="80"/>
        <v>Error?</v>
      </c>
    </row>
    <row r="5195" spans="1:5">
      <c r="A5195" s="10">
        <v>5134</v>
      </c>
      <c r="D5195" s="2" t="str">
        <f t="shared" si="80"/>
        <v>OK</v>
      </c>
    </row>
    <row r="5196" spans="1:5">
      <c r="A5196" s="5">
        <v>5135</v>
      </c>
      <c r="B5196" s="138">
        <f>'Revenues 9-14'!C159</f>
        <v>632004</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1937</v>
      </c>
    </row>
    <row r="5200" spans="1:5">
      <c r="A5200" s="10">
        <v>5139</v>
      </c>
      <c r="D5200" s="2" t="str">
        <f t="shared" si="80"/>
        <v>OK</v>
      </c>
      <c r="E5200" s="4" t="s">
        <v>1937</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9-14'!C169</f>
        <v>747277</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9-14'!C170</f>
        <v>13056870</v>
      </c>
      <c r="C5223" s="2" t="s">
        <v>573</v>
      </c>
      <c r="D5223" s="2" t="str">
        <f t="shared" si="80"/>
        <v>Error?</v>
      </c>
    </row>
    <row r="5224" spans="1:4">
      <c r="A5224" s="5">
        <v>5163</v>
      </c>
      <c r="B5224" s="138">
        <f>'Revenues 9-14'!C173</f>
        <v>0</v>
      </c>
      <c r="D5224" s="2" t="str">
        <f t="shared" si="80"/>
        <v>Error?</v>
      </c>
    </row>
    <row r="5225" spans="1:4">
      <c r="A5225" s="5">
        <v>5164</v>
      </c>
      <c r="B5225" s="138">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9-14'!C177</f>
        <v>0</v>
      </c>
      <c r="D5230" s="2" t="str">
        <f t="shared" si="80"/>
        <v>Error?</v>
      </c>
    </row>
    <row r="5231" spans="1:4">
      <c r="A5231" s="5">
        <v>5170</v>
      </c>
      <c r="B5231" s="138">
        <f>'Revenues 9-14'!C178</f>
        <v>0</v>
      </c>
      <c r="D5231" s="2" t="str">
        <f t="shared" si="80"/>
        <v>Error?</v>
      </c>
    </row>
    <row r="5232" spans="1:4">
      <c r="A5232" s="5">
        <v>5171</v>
      </c>
      <c r="B5232" s="138">
        <f>'Revenues 9-14'!C181</f>
        <v>0</v>
      </c>
      <c r="C5232" s="2" t="s">
        <v>573</v>
      </c>
      <c r="D5232" s="2" t="str">
        <f t="shared" si="80"/>
        <v>Error?</v>
      </c>
    </row>
    <row r="5233" spans="1:4">
      <c r="A5233" s="5">
        <v>5172</v>
      </c>
      <c r="B5233" s="138">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9-14'!C191</f>
        <v>1266465</v>
      </c>
      <c r="D5239" s="2" t="str">
        <f t="shared" si="80"/>
        <v>Error?</v>
      </c>
    </row>
    <row r="5240" spans="1:4">
      <c r="A5240" s="5">
        <v>5179</v>
      </c>
      <c r="B5240" s="138">
        <f>'Revenues 9-14'!C192</f>
        <v>0</v>
      </c>
      <c r="D5240" s="2" t="str">
        <f t="shared" si="80"/>
        <v>Error?</v>
      </c>
    </row>
    <row r="5241" spans="1:4">
      <c r="A5241" s="5">
        <v>5180</v>
      </c>
      <c r="B5241" s="138">
        <f>'Revenues 9-14'!C193</f>
        <v>580998</v>
      </c>
      <c r="D5241" s="2" t="str">
        <f t="shared" si="80"/>
        <v>Error?</v>
      </c>
    </row>
    <row r="5242" spans="1:4">
      <c r="A5242" s="5">
        <v>5181</v>
      </c>
      <c r="B5242" s="138">
        <f>'Revenues 9-14'!C194</f>
        <v>0</v>
      </c>
      <c r="D5242" s="2" t="str">
        <f t="shared" si="80"/>
        <v>Error?</v>
      </c>
    </row>
    <row r="5243" spans="1:4">
      <c r="A5243" s="5">
        <v>5182</v>
      </c>
      <c r="B5243" s="138">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9-14'!C198</f>
        <v>1866378</v>
      </c>
      <c r="C5246" s="2" t="s">
        <v>573</v>
      </c>
      <c r="D5246" s="2" t="str">
        <f t="shared" si="80"/>
        <v>Error?</v>
      </c>
    </row>
    <row r="5247" spans="1:4">
      <c r="A5247" s="5">
        <v>5186</v>
      </c>
      <c r="B5247" s="138">
        <f>'Revenues 9-14'!C200</f>
        <v>1084778</v>
      </c>
      <c r="D5247" s="2" t="str">
        <f t="shared" ref="D5247:D5310" si="81">IF(ISBLANK(B5247),"OK",IF(A5247-B5247=0,"OK","Error?"))</f>
        <v>Error?</v>
      </c>
    </row>
    <row r="5248" spans="1:4">
      <c r="A5248" s="5">
        <v>5187</v>
      </c>
      <c r="B5248" s="138">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1937</v>
      </c>
    </row>
    <row r="5255" spans="1:5">
      <c r="A5255" s="5">
        <v>5194</v>
      </c>
      <c r="B5255" s="138">
        <f>'Revenues 9-14'!C202</f>
        <v>0</v>
      </c>
      <c r="D5255" s="2" t="str">
        <f t="shared" si="81"/>
        <v>Error?</v>
      </c>
    </row>
    <row r="5256" spans="1:5">
      <c r="A5256" s="5">
        <v>5195</v>
      </c>
      <c r="B5256" s="138">
        <f>'Revenues 9-14'!C206</f>
        <v>0</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8">
        <f>'Revenues 9-14'!C204</f>
        <v>1084778</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9-14'!C211</f>
        <v>0</v>
      </c>
      <c r="D5274" s="2" t="str">
        <f t="shared" si="81"/>
        <v>Error?</v>
      </c>
    </row>
    <row r="5275" spans="1:4">
      <c r="A5275" s="5">
        <v>5214</v>
      </c>
      <c r="B5275" s="138">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9-14'!C213</f>
        <v>566016</v>
      </c>
      <c r="D5278" s="2" t="str">
        <f t="shared" si="81"/>
        <v>Error?</v>
      </c>
    </row>
    <row r="5279" spans="1:4">
      <c r="A5279" s="5">
        <v>5218</v>
      </c>
      <c r="B5279" s="138">
        <f>'Revenues 9-14'!C214</f>
        <v>5672</v>
      </c>
      <c r="D5279" s="2" t="str">
        <f t="shared" si="81"/>
        <v>Error?</v>
      </c>
    </row>
    <row r="5280" spans="1:4">
      <c r="A5280" s="5">
        <v>5219</v>
      </c>
      <c r="B5280" s="138">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9-14'!C217</f>
        <v>571688</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9-14'!C221</f>
        <v>0</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9-14'!C222</f>
        <v>0</v>
      </c>
      <c r="D5310" s="2" t="str">
        <f t="shared" si="81"/>
        <v>Error?</v>
      </c>
    </row>
    <row r="5311" spans="1:4">
      <c r="A5311" s="10">
        <v>5250</v>
      </c>
      <c r="D5311" s="2" t="str">
        <f t="shared" ref="D5311:D5374" si="82">IF(ISBLANK(B5311),"OK",IF(A5311-B5311=0,"OK","Error?"))</f>
        <v>OK</v>
      </c>
    </row>
    <row r="5312" spans="1:4">
      <c r="A5312" s="5">
        <v>5251</v>
      </c>
      <c r="B5312" s="138">
        <f>'Revenues 9-14'!C255</f>
        <v>9391</v>
      </c>
      <c r="D5312" s="2" t="str">
        <f t="shared" si="82"/>
        <v>Error?</v>
      </c>
    </row>
    <row r="5313" spans="1:5">
      <c r="A5313" s="10">
        <v>5252</v>
      </c>
      <c r="D5313" s="2" t="str">
        <f t="shared" si="82"/>
        <v>OK</v>
      </c>
      <c r="E5313" s="4" t="s">
        <v>1937</v>
      </c>
    </row>
    <row r="5314" spans="1:5">
      <c r="A5314" s="10">
        <v>5253</v>
      </c>
      <c r="D5314" s="2" t="str">
        <f t="shared" si="82"/>
        <v>OK</v>
      </c>
    </row>
    <row r="5315" spans="1:5">
      <c r="A5315" s="5">
        <v>5254</v>
      </c>
      <c r="B5315" s="138">
        <f>'Revenues 9-14'!C257</f>
        <v>0</v>
      </c>
      <c r="D5315" s="2" t="str">
        <f t="shared" si="82"/>
        <v>Error?</v>
      </c>
    </row>
    <row r="5316" spans="1:5">
      <c r="A5316" s="10">
        <v>5255</v>
      </c>
      <c r="D5316" s="2" t="str">
        <f t="shared" si="82"/>
        <v>OK</v>
      </c>
    </row>
    <row r="5317" spans="1:5">
      <c r="A5317" s="5">
        <v>5256</v>
      </c>
      <c r="B5317" s="138">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8">
        <f>'Revenues 9-14'!C266</f>
        <v>3962109</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8">
        <f>'Revenues 9-14'!C267</f>
        <v>3962109</v>
      </c>
      <c r="C5326" s="2" t="s">
        <v>573</v>
      </c>
      <c r="D5326" s="2" t="str">
        <f t="shared" si="82"/>
        <v>Error?</v>
      </c>
    </row>
    <row r="5327" spans="1:5">
      <c r="A5327" s="5">
        <v>5266</v>
      </c>
      <c r="B5327" s="138">
        <f>'Revenues 9-14'!C268</f>
        <v>27376309</v>
      </c>
      <c r="C5327" s="2" t="s">
        <v>573</v>
      </c>
      <c r="D5327" s="2" t="str">
        <f t="shared" si="82"/>
        <v>Error?</v>
      </c>
    </row>
    <row r="5328" spans="1:5">
      <c r="A5328" s="5">
        <v>5267</v>
      </c>
      <c r="B5328" s="138">
        <f>'Revenues 9-14'!D5</f>
        <v>868753</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868753</v>
      </c>
      <c r="C5334" s="2" t="s">
        <v>573</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905813</v>
      </c>
      <c r="D5337" s="2" t="str">
        <f t="shared" si="82"/>
        <v>Error?</v>
      </c>
    </row>
    <row r="5338" spans="1:4">
      <c r="A5338" s="5">
        <v>5277</v>
      </c>
      <c r="B5338" s="138">
        <f>'Revenues 9-14'!D17</f>
        <v>0</v>
      </c>
      <c r="D5338" s="2" t="str">
        <f t="shared" si="82"/>
        <v>Error?</v>
      </c>
    </row>
    <row r="5339" spans="1:4">
      <c r="A5339" s="5">
        <v>5278</v>
      </c>
      <c r="B5339" s="138">
        <f>'Revenues 9-14'!D18</f>
        <v>905813</v>
      </c>
      <c r="C5339" s="2" t="s">
        <v>573</v>
      </c>
      <c r="D5339" s="2" t="str">
        <f t="shared" si="82"/>
        <v>Error?</v>
      </c>
    </row>
    <row r="5340" spans="1:4">
      <c r="A5340" s="5">
        <v>5279</v>
      </c>
      <c r="B5340" s="138">
        <f>'Revenues 9-14'!D65</f>
        <v>11423</v>
      </c>
      <c r="D5340" s="2" t="str">
        <f t="shared" si="82"/>
        <v>Error?</v>
      </c>
    </row>
    <row r="5341" spans="1:4">
      <c r="A5341" s="5">
        <v>5280</v>
      </c>
      <c r="B5341" s="138">
        <f>'Revenues 9-14'!D66</f>
        <v>0</v>
      </c>
      <c r="D5341" s="2" t="str">
        <f t="shared" si="82"/>
        <v>Error?</v>
      </c>
    </row>
    <row r="5342" spans="1:4">
      <c r="A5342" s="5">
        <v>5281</v>
      </c>
      <c r="B5342" s="138">
        <f>'Revenues 9-14'!D67</f>
        <v>11423</v>
      </c>
      <c r="C5342" s="2" t="s">
        <v>573</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573</v>
      </c>
      <c r="D5348" s="2" t="str">
        <f t="shared" si="82"/>
        <v>Error?</v>
      </c>
    </row>
    <row r="5349" spans="1:4">
      <c r="A5349" s="5">
        <v>5288</v>
      </c>
      <c r="B5349" s="138">
        <f>'Revenues 9-14'!D95</f>
        <v>33196</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102220</v>
      </c>
      <c r="D5354" s="2" t="str">
        <f t="shared" si="82"/>
        <v>Error?</v>
      </c>
    </row>
    <row r="5355" spans="1:4">
      <c r="A5355" s="5">
        <v>5294</v>
      </c>
      <c r="B5355" s="138">
        <f>'Revenues 9-14'!D108</f>
        <v>135416</v>
      </c>
      <c r="C5355" s="2" t="s">
        <v>573</v>
      </c>
      <c r="D5355" s="2" t="str">
        <f t="shared" si="82"/>
        <v>Error?</v>
      </c>
    </row>
    <row r="5356" spans="1:4">
      <c r="A5356" s="5">
        <v>5295</v>
      </c>
      <c r="B5356" s="138">
        <f>'Revenues 9-14'!D109</f>
        <v>1921405</v>
      </c>
      <c r="C5356" s="2" t="s">
        <v>573</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573</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9-14'!D122</f>
        <v>0</v>
      </c>
      <c r="C5367" s="2" t="s">
        <v>573</v>
      </c>
      <c r="D5367" s="2" t="str">
        <f t="shared" si="82"/>
        <v>Error?</v>
      </c>
    </row>
    <row r="5368" spans="1:4">
      <c r="A5368" s="5">
        <v>5307</v>
      </c>
      <c r="B5368" s="138">
        <f>'Revenues 9-14'!D127</f>
        <v>0</v>
      </c>
      <c r="D5368" s="2" t="str">
        <f t="shared" si="82"/>
        <v>Error?</v>
      </c>
    </row>
    <row r="5369" spans="1:4">
      <c r="A5369" s="5">
        <v>5308</v>
      </c>
      <c r="B5369" s="138">
        <f>'Revenues 9-14'!D132</f>
        <v>0</v>
      </c>
      <c r="C5369" s="2" t="s">
        <v>573</v>
      </c>
      <c r="D5369" s="2" t="str">
        <f t="shared" si="82"/>
        <v>Error?</v>
      </c>
    </row>
    <row r="5370" spans="1:4">
      <c r="A5370" s="5">
        <v>5309</v>
      </c>
      <c r="B5370" s="138">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9-14'!D135</f>
        <v>0</v>
      </c>
      <c r="D5374" s="2" t="str">
        <f t="shared" si="82"/>
        <v>Error?</v>
      </c>
    </row>
    <row r="5375" spans="1:4">
      <c r="A5375" s="5">
        <v>5314</v>
      </c>
      <c r="B5375" s="138">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9-14'!D141</f>
        <v>0</v>
      </c>
      <c r="C5383" s="2" t="s">
        <v>573</v>
      </c>
      <c r="D5383" s="2" t="str">
        <f t="shared" si="83"/>
        <v>Error?</v>
      </c>
    </row>
    <row r="5384" spans="1:4">
      <c r="A5384" s="5">
        <v>5323</v>
      </c>
      <c r="B5384" s="138">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9-14'!D152</f>
        <v>0</v>
      </c>
      <c r="D5391" s="2" t="str">
        <f t="shared" si="83"/>
        <v>Error?</v>
      </c>
    </row>
    <row r="5392" spans="1:4">
      <c r="A5392" s="10">
        <v>5331</v>
      </c>
      <c r="D5392" s="2" t="str">
        <f t="shared" si="83"/>
        <v>OK</v>
      </c>
    </row>
    <row r="5393" spans="1:4">
      <c r="A5393" s="5">
        <v>5332</v>
      </c>
      <c r="B5393" s="138">
        <f>'Revenues 9-14'!D153</f>
        <v>0</v>
      </c>
      <c r="D5393" s="2" t="str">
        <f t="shared" si="83"/>
        <v>Error?</v>
      </c>
    </row>
    <row r="5394" spans="1:4">
      <c r="A5394" s="5">
        <v>5333</v>
      </c>
      <c r="B5394" s="138">
        <f>'Revenues 9-14'!D155</f>
        <v>0</v>
      </c>
      <c r="C5394" s="2" t="s">
        <v>573</v>
      </c>
      <c r="D5394" s="2" t="str">
        <f t="shared" si="83"/>
        <v>Error?</v>
      </c>
    </row>
    <row r="5395" spans="1:4">
      <c r="A5395" s="5">
        <v>5334</v>
      </c>
      <c r="B5395" s="138">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9-14'!D169</f>
        <v>0</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9-14'!D170</f>
        <v>0</v>
      </c>
      <c r="C5421" s="2" t="s">
        <v>573</v>
      </c>
      <c r="D5421" s="2" t="str">
        <f t="shared" si="83"/>
        <v>Error?</v>
      </c>
    </row>
    <row r="5422" spans="1:4">
      <c r="A5422" s="5">
        <v>5361</v>
      </c>
      <c r="B5422" s="138">
        <f>'Revenues 9-14'!D173</f>
        <v>0</v>
      </c>
      <c r="D5422" s="2" t="str">
        <f t="shared" si="83"/>
        <v>Error?</v>
      </c>
    </row>
    <row r="5423" spans="1:4">
      <c r="A5423" s="5">
        <v>5362</v>
      </c>
      <c r="B5423" s="138">
        <f>'Revenues 9-14'!D175</f>
        <v>0</v>
      </c>
      <c r="C5423" s="2" t="s">
        <v>573</v>
      </c>
      <c r="D5423" s="2" t="str">
        <f t="shared" si="83"/>
        <v>Error?</v>
      </c>
    </row>
    <row r="5424" spans="1:4">
      <c r="A5424" s="5">
        <v>5363</v>
      </c>
      <c r="B5424" s="138">
        <f>'Revenues 9-14'!D178</f>
        <v>0</v>
      </c>
      <c r="D5424" s="2" t="str">
        <f t="shared" si="83"/>
        <v>Error?</v>
      </c>
    </row>
    <row r="5425" spans="1:5">
      <c r="A5425" s="5">
        <v>5364</v>
      </c>
      <c r="B5425" s="138">
        <f>'Revenues 9-14'!D181</f>
        <v>0</v>
      </c>
      <c r="C5425" s="2" t="s">
        <v>573</v>
      </c>
      <c r="D5425" s="2" t="str">
        <f t="shared" si="83"/>
        <v>Error?</v>
      </c>
    </row>
    <row r="5426" spans="1:5">
      <c r="A5426" s="5">
        <v>5365</v>
      </c>
      <c r="B5426" s="138">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8">
        <f>'Revenues 9-14'!D200</f>
        <v>0</v>
      </c>
      <c r="D5431" s="2" t="str">
        <f t="shared" si="83"/>
        <v>Error?</v>
      </c>
    </row>
    <row r="5432" spans="1:5">
      <c r="A5432" s="5">
        <v>5371</v>
      </c>
      <c r="B5432" s="138">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1937</v>
      </c>
    </row>
    <row r="5439" spans="1:5">
      <c r="A5439" s="5">
        <v>5378</v>
      </c>
      <c r="B5439" s="138">
        <f>'Revenues 9-14'!D202</f>
        <v>0</v>
      </c>
      <c r="D5439" s="2" t="str">
        <f t="shared" ref="D5439:D5502" si="84">IF(ISBLANK(B5439),"OK",IF(A5439-B5439=0,"OK","Error?"))</f>
        <v>Error?</v>
      </c>
    </row>
    <row r="5440" spans="1:5">
      <c r="A5440" s="5">
        <v>5379</v>
      </c>
      <c r="B5440" s="138">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9-14'!D211</f>
        <v>0</v>
      </c>
      <c r="D5458" s="2" t="str">
        <f t="shared" si="84"/>
        <v>Error?</v>
      </c>
    </row>
    <row r="5459" spans="1:4">
      <c r="A5459" s="5">
        <v>5398</v>
      </c>
      <c r="B5459" s="138">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9-14'!D213</f>
        <v>0</v>
      </c>
      <c r="D5462" s="2" t="str">
        <f t="shared" si="84"/>
        <v>Error?</v>
      </c>
    </row>
    <row r="5463" spans="1:4">
      <c r="A5463" s="5">
        <v>5402</v>
      </c>
      <c r="B5463" s="138">
        <f>'Revenues 9-14'!D214</f>
        <v>0</v>
      </c>
      <c r="D5463" s="2" t="str">
        <f t="shared" si="84"/>
        <v>Error?</v>
      </c>
    </row>
    <row r="5464" spans="1:4">
      <c r="A5464" s="5">
        <v>5403</v>
      </c>
      <c r="B5464" s="138">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9-14'!D222</f>
        <v>0</v>
      </c>
      <c r="D5494" s="2" t="str">
        <f t="shared" si="84"/>
        <v>Error?</v>
      </c>
    </row>
    <row r="5495" spans="1:4">
      <c r="A5495" s="10">
        <v>5434</v>
      </c>
      <c r="D5495" s="2" t="str">
        <f t="shared" si="84"/>
        <v>OK</v>
      </c>
    </row>
    <row r="5496" spans="1:4">
      <c r="A5496" s="5">
        <v>5435</v>
      </c>
      <c r="B5496" s="138">
        <f>'Revenues 9-14'!D257</f>
        <v>0</v>
      </c>
      <c r="D5496" s="2" t="str">
        <f t="shared" si="84"/>
        <v>Error?</v>
      </c>
    </row>
    <row r="5497" spans="1:4">
      <c r="A5497" s="10">
        <v>5436</v>
      </c>
      <c r="D5497" s="2" t="str">
        <f t="shared" si="84"/>
        <v>OK</v>
      </c>
    </row>
    <row r="5498" spans="1:4">
      <c r="A5498" s="5">
        <v>5437</v>
      </c>
      <c r="B5498" s="138">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9-14'!D267</f>
        <v>0</v>
      </c>
      <c r="C5507" s="2" t="s">
        <v>573</v>
      </c>
      <c r="D5507" s="2" t="str">
        <f t="shared" si="85"/>
        <v>Error?</v>
      </c>
    </row>
    <row r="5508" spans="1:4">
      <c r="A5508" s="5">
        <v>5447</v>
      </c>
      <c r="B5508" s="138">
        <f>'Revenues 9-14'!D268</f>
        <v>1921405</v>
      </c>
      <c r="C5508" s="2" t="s">
        <v>573</v>
      </c>
      <c r="D5508" s="2" t="str">
        <f t="shared" si="85"/>
        <v>Error?</v>
      </c>
    </row>
    <row r="5509" spans="1:4">
      <c r="A5509" s="5">
        <v>5448</v>
      </c>
      <c r="B5509" s="138">
        <f>'Revenues 9-14'!E5</f>
        <v>2402079</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2402079</v>
      </c>
      <c r="C5513" s="2" t="s">
        <v>573</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573</v>
      </c>
      <c r="D5518" s="2" t="str">
        <f t="shared" si="85"/>
        <v>Error?</v>
      </c>
    </row>
    <row r="5519" spans="1:4">
      <c r="A5519" s="5">
        <v>5458</v>
      </c>
      <c r="B5519" s="138">
        <f>'Revenues 9-14'!E65</f>
        <v>53939</v>
      </c>
      <c r="D5519" s="2" t="str">
        <f t="shared" si="85"/>
        <v>Error?</v>
      </c>
    </row>
    <row r="5520" spans="1:4">
      <c r="A5520" s="5">
        <v>5459</v>
      </c>
      <c r="B5520" s="138">
        <f>'Revenues 9-14'!E66</f>
        <v>0</v>
      </c>
      <c r="D5520" s="2" t="str">
        <f t="shared" si="85"/>
        <v>Error?</v>
      </c>
    </row>
    <row r="5521" spans="1:4">
      <c r="A5521" s="5">
        <v>5460</v>
      </c>
      <c r="B5521" s="138">
        <f>'Revenues 9-14'!E67</f>
        <v>53939</v>
      </c>
      <c r="C5521" s="2" t="s">
        <v>573</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959349</v>
      </c>
      <c r="C5526" s="2" t="s">
        <v>573</v>
      </c>
      <c r="D5526" s="2" t="str">
        <f t="shared" si="85"/>
        <v>Error?</v>
      </c>
    </row>
    <row r="5527" spans="1:4">
      <c r="A5527" s="5">
        <v>5466</v>
      </c>
      <c r="B5527" s="138">
        <f>'Revenues 9-14'!E109</f>
        <v>3415367</v>
      </c>
      <c r="C5527" s="2" t="s">
        <v>573</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9-14'!E268</f>
        <v>3415367</v>
      </c>
      <c r="C5552" s="2" t="s">
        <v>573</v>
      </c>
      <c r="D5552" s="2" t="str">
        <f t="shared" si="85"/>
        <v>Error?</v>
      </c>
    </row>
    <row r="5553" spans="1:4">
      <c r="A5553" s="5">
        <v>5492</v>
      </c>
      <c r="B5553" s="138">
        <f>'Revenues 9-14'!F5</f>
        <v>417002</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417002</v>
      </c>
      <c r="C5557" s="2" t="s">
        <v>573</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212949</v>
      </c>
      <c r="D5560" s="2" t="str">
        <f t="shared" si="85"/>
        <v>Error?</v>
      </c>
    </row>
    <row r="5561" spans="1:4">
      <c r="A5561" s="5">
        <v>5500</v>
      </c>
      <c r="B5561" s="138">
        <f>'Revenues 9-14'!F17</f>
        <v>0</v>
      </c>
      <c r="D5561" s="2" t="str">
        <f t="shared" si="85"/>
        <v>Error?</v>
      </c>
    </row>
    <row r="5562" spans="1:4">
      <c r="A5562" s="5">
        <v>5501</v>
      </c>
      <c r="B5562" s="138">
        <f>'Revenues 9-14'!F18</f>
        <v>212949</v>
      </c>
      <c r="C5562" s="2" t="s">
        <v>573</v>
      </c>
      <c r="D5562" s="2" t="str">
        <f t="shared" si="85"/>
        <v>Error?</v>
      </c>
    </row>
    <row r="5563" spans="1:4">
      <c r="A5563" s="5">
        <v>5502</v>
      </c>
      <c r="B5563" s="138">
        <f>'Revenues 9-14'!F42</f>
        <v>19050</v>
      </c>
      <c r="D5563" s="2" t="str">
        <f t="shared" si="85"/>
        <v>Error?</v>
      </c>
    </row>
    <row r="5564" spans="1:4">
      <c r="A5564" s="5">
        <v>5503</v>
      </c>
      <c r="B5564" s="138">
        <f>'Revenues 9-14'!F43</f>
        <v>0</v>
      </c>
      <c r="D5564" s="2" t="str">
        <f t="shared" si="85"/>
        <v>Error?</v>
      </c>
    </row>
    <row r="5565" spans="1:4">
      <c r="A5565" s="5">
        <v>5504</v>
      </c>
      <c r="B5565" s="138">
        <f>'Revenues 9-14'!F44</f>
        <v>24316</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43366</v>
      </c>
      <c r="C5579" s="2" t="s">
        <v>573</v>
      </c>
      <c r="D5579" s="2" t="str">
        <f t="shared" si="86"/>
        <v>Error?</v>
      </c>
    </row>
    <row r="5580" spans="1:4">
      <c r="A5580" s="5">
        <v>5519</v>
      </c>
      <c r="B5580" s="138">
        <f>'Revenues 9-14'!F65</f>
        <v>5974</v>
      </c>
      <c r="D5580" s="2" t="str">
        <f t="shared" si="86"/>
        <v>Error?</v>
      </c>
    </row>
    <row r="5581" spans="1:4">
      <c r="A5581" s="5">
        <v>5520</v>
      </c>
      <c r="B5581" s="138">
        <f>'Revenues 9-14'!F66</f>
        <v>0</v>
      </c>
      <c r="D5581" s="2" t="str">
        <f t="shared" si="86"/>
        <v>Error?</v>
      </c>
    </row>
    <row r="5582" spans="1:4">
      <c r="A5582" s="5">
        <v>5521</v>
      </c>
      <c r="B5582" s="138">
        <f>'Revenues 9-14'!F67</f>
        <v>5974</v>
      </c>
      <c r="C5582" s="2" t="s">
        <v>573</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69</v>
      </c>
      <c r="D5585" s="2" t="str">
        <f t="shared" si="86"/>
        <v>Error?</v>
      </c>
    </row>
    <row r="5586" spans="1:4">
      <c r="A5586" s="5">
        <v>5525</v>
      </c>
      <c r="B5586" s="138">
        <f>'Revenues 9-14'!F107</f>
        <v>0</v>
      </c>
      <c r="D5586" s="2" t="str">
        <f t="shared" si="86"/>
        <v>Error?</v>
      </c>
    </row>
    <row r="5587" spans="1:4">
      <c r="A5587" s="5">
        <v>5526</v>
      </c>
      <c r="B5587" s="138">
        <f>'Revenues 9-14'!F108</f>
        <v>69</v>
      </c>
      <c r="C5587" s="2" t="s">
        <v>573</v>
      </c>
      <c r="D5587" s="2" t="str">
        <f t="shared" si="86"/>
        <v>Error?</v>
      </c>
    </row>
    <row r="5588" spans="1:4">
      <c r="A5588" s="5">
        <v>5527</v>
      </c>
      <c r="B5588" s="138">
        <f>'Revenues 9-14'!F109</f>
        <v>679360</v>
      </c>
      <c r="C5588" s="2" t="s">
        <v>573</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573</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9-14'!F122</f>
        <v>0</v>
      </c>
      <c r="C5599" s="2" t="s">
        <v>573</v>
      </c>
      <c r="D5599" s="2" t="str">
        <f t="shared" si="86"/>
        <v>Error?</v>
      </c>
    </row>
    <row r="5600" spans="1:4">
      <c r="A5600" s="5">
        <v>5539</v>
      </c>
      <c r="B5600" s="138">
        <f>'Revenues 9-14'!F125</f>
        <v>0</v>
      </c>
      <c r="D5600" s="2" t="str">
        <f t="shared" si="86"/>
        <v>Error?</v>
      </c>
    </row>
    <row r="5601" spans="1:4">
      <c r="A5601" s="5">
        <v>5540</v>
      </c>
      <c r="B5601" s="138">
        <f>'Revenues 9-14'!F126</f>
        <v>0</v>
      </c>
      <c r="D5601" s="2" t="str">
        <f t="shared" si="86"/>
        <v>Error?</v>
      </c>
    </row>
    <row r="5602" spans="1:4">
      <c r="A5602" s="5">
        <v>5541</v>
      </c>
      <c r="B5602" s="138">
        <f>'Revenues 9-14'!F127</f>
        <v>0</v>
      </c>
      <c r="D5602" s="2" t="str">
        <f t="shared" si="86"/>
        <v>Error?</v>
      </c>
    </row>
    <row r="5603" spans="1:4">
      <c r="A5603" s="10">
        <v>5542</v>
      </c>
      <c r="D5603" s="2" t="str">
        <f t="shared" si="86"/>
        <v>OK</v>
      </c>
    </row>
    <row r="5604" spans="1:4">
      <c r="A5604" s="5">
        <v>5543</v>
      </c>
      <c r="B5604" s="138">
        <f>'Revenues 9-14'!F128</f>
        <v>0</v>
      </c>
      <c r="D5604" s="2" t="str">
        <f t="shared" si="86"/>
        <v>Error?</v>
      </c>
    </row>
    <row r="5605" spans="1:4">
      <c r="A5605" s="10">
        <v>5544</v>
      </c>
      <c r="D5605" s="2" t="str">
        <f t="shared" si="86"/>
        <v>OK</v>
      </c>
    </row>
    <row r="5606" spans="1:4">
      <c r="A5606" s="5">
        <v>5545</v>
      </c>
      <c r="B5606" s="138">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9-14'!F132</f>
        <v>0</v>
      </c>
      <c r="C5614" s="2" t="s">
        <v>573</v>
      </c>
      <c r="D5614" s="2" t="str">
        <f t="shared" si="86"/>
        <v>Error?</v>
      </c>
    </row>
    <row r="5615" spans="1:4">
      <c r="A5615" s="5">
        <v>5554</v>
      </c>
      <c r="B5615" s="138">
        <f>'Revenues 9-14'!F152</f>
        <v>386956</v>
      </c>
      <c r="D5615" s="2" t="str">
        <f t="shared" si="86"/>
        <v>Error?</v>
      </c>
    </row>
    <row r="5616" spans="1:4">
      <c r="A5616" s="10">
        <v>5555</v>
      </c>
      <c r="D5616" s="2" t="str">
        <f t="shared" si="86"/>
        <v>OK</v>
      </c>
    </row>
    <row r="5617" spans="1:5">
      <c r="A5617" s="5">
        <v>5556</v>
      </c>
      <c r="B5617" s="138">
        <f>'Revenues 9-14'!F153</f>
        <v>267579</v>
      </c>
      <c r="D5617" s="2" t="str">
        <f t="shared" si="86"/>
        <v>Error?</v>
      </c>
    </row>
    <row r="5618" spans="1:5">
      <c r="A5618" s="5">
        <v>5557</v>
      </c>
      <c r="B5618" s="138">
        <f>'Revenues 9-14'!F155</f>
        <v>654535</v>
      </c>
      <c r="C5618" s="2" t="s">
        <v>573</v>
      </c>
      <c r="D5618" s="2" t="str">
        <f t="shared" si="86"/>
        <v>Error?</v>
      </c>
    </row>
    <row r="5619" spans="1:5">
      <c r="A5619" s="5">
        <v>5558</v>
      </c>
      <c r="B5619" s="138">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8">
        <f>'Revenues 9-14'!F158</f>
        <v>0</v>
      </c>
      <c r="D5625" s="2" t="str">
        <f t="shared" si="86"/>
        <v>Error?</v>
      </c>
    </row>
    <row r="5626" spans="1:5">
      <c r="A5626" s="10">
        <v>5565</v>
      </c>
      <c r="D5626" s="2" t="str">
        <f t="shared" si="86"/>
        <v>OK</v>
      </c>
    </row>
    <row r="5627" spans="1:5">
      <c r="A5627" s="5">
        <v>5566</v>
      </c>
      <c r="B5627" s="138">
        <f>'Revenues 9-14'!F159</f>
        <v>96904</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1937</v>
      </c>
    </row>
    <row r="5631" spans="1:5">
      <c r="A5631" s="10">
        <v>5570</v>
      </c>
      <c r="D5631" s="2" t="str">
        <f t="shared" ref="D5631:D5694" si="87">IF(ISBLANK(B5631),"OK",IF(A5631-B5631=0,"OK","Error?"))</f>
        <v>OK</v>
      </c>
      <c r="E5631" s="4" t="s">
        <v>1937</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9-14'!F169</f>
        <v>751439</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9-14'!F170</f>
        <v>751439</v>
      </c>
      <c r="C5653" s="2" t="s">
        <v>573</v>
      </c>
      <c r="D5653" s="2" t="str">
        <f t="shared" si="87"/>
        <v>Error?</v>
      </c>
    </row>
    <row r="5654" spans="1:4">
      <c r="A5654" s="5">
        <v>5593</v>
      </c>
      <c r="B5654" s="138">
        <f>'Revenues 9-14'!F173</f>
        <v>0</v>
      </c>
      <c r="D5654" s="2" t="str">
        <f t="shared" si="87"/>
        <v>Error?</v>
      </c>
    </row>
    <row r="5655" spans="1:4">
      <c r="A5655" s="5">
        <v>5594</v>
      </c>
      <c r="B5655" s="138">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9-14'!F181</f>
        <v>0</v>
      </c>
      <c r="C5658" s="2" t="s">
        <v>573</v>
      </c>
      <c r="D5658" s="2" t="str">
        <f t="shared" si="87"/>
        <v>Error?</v>
      </c>
    </row>
    <row r="5659" spans="1:4">
      <c r="A5659" s="5">
        <v>5598</v>
      </c>
      <c r="B5659" s="138">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9-14'!F200</f>
        <v>0</v>
      </c>
      <c r="D5664" s="2" t="str">
        <f t="shared" si="87"/>
        <v>Error?</v>
      </c>
    </row>
    <row r="5665" spans="1:5">
      <c r="A5665" s="5">
        <v>5604</v>
      </c>
      <c r="B5665" s="138">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1937</v>
      </c>
    </row>
    <row r="5672" spans="1:5">
      <c r="A5672" s="5">
        <v>5611</v>
      </c>
      <c r="B5672" s="138">
        <f>'Revenues 9-14'!F202</f>
        <v>0</v>
      </c>
      <c r="D5672" s="2" t="str">
        <f t="shared" si="87"/>
        <v>Error?</v>
      </c>
    </row>
    <row r="5673" spans="1:5">
      <c r="A5673" s="5">
        <v>5612</v>
      </c>
      <c r="B5673" s="138">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8">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9-14'!F211</f>
        <v>0</v>
      </c>
      <c r="D5691" s="2" t="str">
        <f t="shared" si="87"/>
        <v>Error?</v>
      </c>
    </row>
    <row r="5692" spans="1:4">
      <c r="A5692" s="5">
        <v>5631</v>
      </c>
      <c r="B5692" s="138">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9-14'!F213</f>
        <v>0</v>
      </c>
      <c r="D5695" s="2" t="str">
        <f t="shared" ref="D5695:D5758" si="88">IF(ISBLANK(B5695),"OK",IF(A5695-B5695=0,"OK","Error?"))</f>
        <v>Error?</v>
      </c>
    </row>
    <row r="5696" spans="1:4">
      <c r="A5696" s="5">
        <v>5635</v>
      </c>
      <c r="B5696" s="138">
        <f>'Revenues 9-14'!F214</f>
        <v>0</v>
      </c>
      <c r="D5696" s="2" t="str">
        <f t="shared" si="88"/>
        <v>Error?</v>
      </c>
    </row>
    <row r="5697" spans="1:5">
      <c r="A5697" s="5">
        <v>5636</v>
      </c>
      <c r="B5697" s="138">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8">
        <f>'Revenues 9-14'!F217</f>
        <v>0</v>
      </c>
      <c r="C5703" s="2" t="s">
        <v>573</v>
      </c>
      <c r="D5703" s="2" t="str">
        <f t="shared" si="88"/>
        <v>Error?</v>
      </c>
    </row>
    <row r="5704" spans="1:5">
      <c r="A5704" s="10">
        <v>5643</v>
      </c>
      <c r="D5704" s="2" t="str">
        <f t="shared" si="88"/>
        <v>OK</v>
      </c>
    </row>
    <row r="5705" spans="1:5">
      <c r="A5705" s="5">
        <v>5644</v>
      </c>
      <c r="B5705" s="138">
        <f>'Revenues 9-14'!F255</f>
        <v>0</v>
      </c>
      <c r="D5705" s="2" t="str">
        <f t="shared" si="88"/>
        <v>Error?</v>
      </c>
    </row>
    <row r="5706" spans="1:5">
      <c r="A5706" s="10">
        <v>5645</v>
      </c>
      <c r="D5706" s="2" t="str">
        <f t="shared" si="88"/>
        <v>OK</v>
      </c>
      <c r="E5706" s="4" t="s">
        <v>1937</v>
      </c>
    </row>
    <row r="5707" spans="1:5">
      <c r="A5707" s="10">
        <v>5646</v>
      </c>
      <c r="D5707" s="2" t="str">
        <f t="shared" si="88"/>
        <v>OK</v>
      </c>
    </row>
    <row r="5708" spans="1:5">
      <c r="A5708" s="5">
        <v>5647</v>
      </c>
      <c r="B5708" s="138">
        <f>'Revenues 9-14'!F257</f>
        <v>0</v>
      </c>
      <c r="D5708" s="2" t="str">
        <f t="shared" si="88"/>
        <v>Error?</v>
      </c>
    </row>
    <row r="5709" spans="1:5">
      <c r="A5709" s="10">
        <v>5648</v>
      </c>
      <c r="D5709" s="2" t="str">
        <f t="shared" si="88"/>
        <v>OK</v>
      </c>
    </row>
    <row r="5710" spans="1:5">
      <c r="A5710" s="5">
        <v>5649</v>
      </c>
      <c r="B5710" s="138">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8">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9-14'!F267</f>
        <v>0</v>
      </c>
      <c r="C5719" s="2" t="s">
        <v>573</v>
      </c>
      <c r="D5719" s="2" t="str">
        <f t="shared" si="88"/>
        <v>Error?</v>
      </c>
    </row>
    <row r="5720" spans="1:4">
      <c r="A5720" s="5">
        <v>5659</v>
      </c>
      <c r="B5720" s="138">
        <f>'Revenues 9-14'!F268</f>
        <v>1430799</v>
      </c>
      <c r="C5720" s="2" t="s">
        <v>573</v>
      </c>
      <c r="D5720" s="2" t="str">
        <f t="shared" si="88"/>
        <v>Error?</v>
      </c>
    </row>
    <row r="5721" spans="1:4">
      <c r="A5721" s="5">
        <v>5660</v>
      </c>
      <c r="B5721" s="138">
        <f>'Revenues 9-14'!G5</f>
        <v>710813</v>
      </c>
      <c r="D5721" s="2" t="str">
        <f t="shared" si="88"/>
        <v>Error?</v>
      </c>
    </row>
    <row r="5722" spans="1:4">
      <c r="A5722" s="5">
        <v>5661</v>
      </c>
      <c r="B5722" s="138">
        <f>'Revenues 9-14'!G7</f>
        <v>0</v>
      </c>
      <c r="D5722" s="2" t="str">
        <f t="shared" si="88"/>
        <v>Error?</v>
      </c>
    </row>
    <row r="5723" spans="1:4">
      <c r="A5723" s="5">
        <v>5662</v>
      </c>
      <c r="B5723" s="138">
        <f>'Revenues 9-14'!G8</f>
        <v>657199</v>
      </c>
      <c r="D5723" s="2" t="str">
        <f t="shared" si="88"/>
        <v>Error?</v>
      </c>
    </row>
    <row r="5724" spans="1:4">
      <c r="A5724" s="5">
        <v>5663</v>
      </c>
      <c r="B5724" s="138">
        <f>'Revenues 9-14'!G11</f>
        <v>0</v>
      </c>
      <c r="D5724" s="2" t="str">
        <f t="shared" si="88"/>
        <v>Error?</v>
      </c>
    </row>
    <row r="5725" spans="1:4">
      <c r="A5725" s="5">
        <v>5664</v>
      </c>
      <c r="B5725" s="138">
        <f>'Revenues 9-14'!G12</f>
        <v>1368012</v>
      </c>
      <c r="C5725" s="2" t="s">
        <v>573</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111722</v>
      </c>
      <c r="D5728" s="2" t="str">
        <f t="shared" si="88"/>
        <v>Error?</v>
      </c>
    </row>
    <row r="5729" spans="1:4">
      <c r="A5729" s="5">
        <v>5668</v>
      </c>
      <c r="B5729" s="138">
        <f>'Revenues 9-14'!G17</f>
        <v>0</v>
      </c>
      <c r="D5729" s="2" t="str">
        <f t="shared" si="88"/>
        <v>Error?</v>
      </c>
    </row>
    <row r="5730" spans="1:4">
      <c r="A5730" s="5">
        <v>5669</v>
      </c>
      <c r="B5730" s="138">
        <f>'Revenues 9-14'!G18</f>
        <v>111722</v>
      </c>
      <c r="C5730" s="2" t="s">
        <v>573</v>
      </c>
      <c r="D5730" s="2" t="str">
        <f t="shared" si="88"/>
        <v>Error?</v>
      </c>
    </row>
    <row r="5731" spans="1:4">
      <c r="A5731" s="5">
        <v>5670</v>
      </c>
      <c r="B5731" s="138">
        <f>'Revenues 9-14'!G65</f>
        <v>6158</v>
      </c>
      <c r="D5731" s="2" t="str">
        <f t="shared" si="88"/>
        <v>Error?</v>
      </c>
    </row>
    <row r="5732" spans="1:4">
      <c r="A5732" s="5">
        <v>5671</v>
      </c>
      <c r="B5732" s="138">
        <f>'Revenues 9-14'!G66</f>
        <v>0</v>
      </c>
      <c r="D5732" s="2" t="str">
        <f t="shared" si="88"/>
        <v>Error?</v>
      </c>
    </row>
    <row r="5733" spans="1:4">
      <c r="A5733" s="5">
        <v>5672</v>
      </c>
      <c r="B5733" s="138">
        <f>'Revenues 9-14'!G67</f>
        <v>6158</v>
      </c>
      <c r="C5733" s="2" t="s">
        <v>573</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131</v>
      </c>
      <c r="D5736" s="2" t="str">
        <f t="shared" si="88"/>
        <v>Error?</v>
      </c>
    </row>
    <row r="5737" spans="1:4">
      <c r="A5737" s="5">
        <v>5676</v>
      </c>
      <c r="B5737" s="138">
        <f>'Revenues 9-14'!G108</f>
        <v>131</v>
      </c>
      <c r="C5737" s="2" t="s">
        <v>573</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573</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9-14'!G122</f>
        <v>0</v>
      </c>
      <c r="C5748" s="2" t="s">
        <v>573</v>
      </c>
      <c r="D5748" s="2" t="str">
        <f t="shared" si="88"/>
        <v>Error?</v>
      </c>
    </row>
    <row r="5749" spans="1:4">
      <c r="A5749" s="5">
        <v>5688</v>
      </c>
      <c r="B5749" s="138">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9-14'!G141</f>
        <v>0</v>
      </c>
      <c r="C5752" s="2" t="s">
        <v>573</v>
      </c>
      <c r="D5752" s="2" t="str">
        <f t="shared" si="88"/>
        <v>Error?</v>
      </c>
    </row>
    <row r="5753" spans="1:4">
      <c r="A5753" s="10">
        <v>5692</v>
      </c>
      <c r="D5753" s="2" t="str">
        <f t="shared" si="88"/>
        <v>OK</v>
      </c>
    </row>
    <row r="5754" spans="1:4">
      <c r="A5754" s="5">
        <v>5693</v>
      </c>
      <c r="B5754" s="138">
        <f>'Revenues 9-14'!G143</f>
        <v>0</v>
      </c>
      <c r="D5754" s="2" t="str">
        <f t="shared" si="88"/>
        <v>Error?</v>
      </c>
    </row>
    <row r="5755" spans="1:4">
      <c r="A5755" s="5">
        <v>5694</v>
      </c>
      <c r="B5755" s="138">
        <f>'Revenues 9-14'!G144</f>
        <v>0</v>
      </c>
      <c r="D5755" s="2" t="str">
        <f t="shared" si="88"/>
        <v>Error?</v>
      </c>
    </row>
    <row r="5756" spans="1:4">
      <c r="A5756" s="5">
        <v>5695</v>
      </c>
      <c r="B5756" s="138">
        <f>'Revenues 9-14'!G145</f>
        <v>0</v>
      </c>
      <c r="C5756" s="2" t="s">
        <v>573</v>
      </c>
      <c r="D5756" s="2" t="str">
        <f t="shared" si="88"/>
        <v>Error?</v>
      </c>
    </row>
    <row r="5757" spans="1:4">
      <c r="A5757" s="5">
        <v>5696</v>
      </c>
      <c r="B5757" s="138">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8">
        <f>'Revenues 9-14'!G158</f>
        <v>0</v>
      </c>
      <c r="D5763" s="2" t="str">
        <f t="shared" si="89"/>
        <v>Error?</v>
      </c>
    </row>
    <row r="5764" spans="1:5">
      <c r="A5764" s="10">
        <v>5703</v>
      </c>
      <c r="D5764" s="2" t="str">
        <f t="shared" si="89"/>
        <v>OK</v>
      </c>
    </row>
    <row r="5765" spans="1:5">
      <c r="A5765" s="5">
        <v>5704</v>
      </c>
      <c r="B5765" s="138">
        <f>'Revenues 9-14'!G159</f>
        <v>0</v>
      </c>
      <c r="D5765" s="2" t="str">
        <f t="shared" si="89"/>
        <v>Error?</v>
      </c>
    </row>
    <row r="5766" spans="1:5">
      <c r="A5766" s="10">
        <v>5705</v>
      </c>
      <c r="D5766" s="2" t="str">
        <f t="shared" si="89"/>
        <v>OK</v>
      </c>
    </row>
    <row r="5767" spans="1:5">
      <c r="A5767" s="10">
        <v>5706</v>
      </c>
      <c r="D5767" s="2" t="str">
        <f t="shared" si="89"/>
        <v>OK</v>
      </c>
      <c r="E5767" s="4" t="s">
        <v>1937</v>
      </c>
    </row>
    <row r="5768" spans="1:5">
      <c r="A5768" s="10">
        <v>5707</v>
      </c>
      <c r="D5768" s="2" t="str">
        <f t="shared" si="89"/>
        <v>OK</v>
      </c>
      <c r="E5768" s="4" t="s">
        <v>1937</v>
      </c>
    </row>
    <row r="5769" spans="1:5">
      <c r="A5769" s="10">
        <v>5708</v>
      </c>
      <c r="D5769" s="2" t="str">
        <f t="shared" si="89"/>
        <v>OK</v>
      </c>
    </row>
    <row r="5770" spans="1:5">
      <c r="A5770" s="5">
        <v>5709</v>
      </c>
      <c r="B5770" s="138">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8">
        <f>'Revenues 9-14'!G170</f>
        <v>0</v>
      </c>
      <c r="C5778" s="2" t="s">
        <v>573</v>
      </c>
      <c r="D5778" s="2" t="str">
        <f t="shared" si="89"/>
        <v>Error?</v>
      </c>
    </row>
    <row r="5779" spans="1:4">
      <c r="A5779" s="5">
        <v>5718</v>
      </c>
      <c r="B5779" s="138">
        <f>'Revenues 9-14'!G173</f>
        <v>0</v>
      </c>
      <c r="D5779" s="2" t="str">
        <f t="shared" si="89"/>
        <v>Error?</v>
      </c>
    </row>
    <row r="5780" spans="1:4">
      <c r="A5780" s="5">
        <v>5719</v>
      </c>
      <c r="B5780" s="138">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9-14'!G181</f>
        <v>0</v>
      </c>
      <c r="C5784" s="2" t="s">
        <v>573</v>
      </c>
      <c r="D5784" s="2" t="str">
        <f t="shared" si="89"/>
        <v>Error?</v>
      </c>
    </row>
    <row r="5785" spans="1:4">
      <c r="A5785" s="5">
        <v>5724</v>
      </c>
      <c r="B5785" s="138">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9-14'!G200</f>
        <v>0</v>
      </c>
      <c r="D5790" s="2" t="str">
        <f t="shared" si="89"/>
        <v>Error?</v>
      </c>
    </row>
    <row r="5791" spans="1:4">
      <c r="A5791" s="5">
        <v>5730</v>
      </c>
      <c r="B5791" s="138">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1937</v>
      </c>
    </row>
    <row r="5798" spans="1:5">
      <c r="A5798" s="5">
        <v>5737</v>
      </c>
      <c r="B5798" s="138">
        <f>'Revenues 9-14'!G202</f>
        <v>0</v>
      </c>
      <c r="D5798" s="2" t="str">
        <f t="shared" si="89"/>
        <v>Error?</v>
      </c>
    </row>
    <row r="5799" spans="1:5">
      <c r="A5799" s="5">
        <v>5738</v>
      </c>
      <c r="B5799" s="138">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8">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9-14'!G211</f>
        <v>0</v>
      </c>
      <c r="D5817" s="2" t="str">
        <f t="shared" si="89"/>
        <v>Error?</v>
      </c>
    </row>
    <row r="5818" spans="1:4">
      <c r="A5818" s="5">
        <v>5757</v>
      </c>
      <c r="B5818" s="138">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9-14'!G213</f>
        <v>0</v>
      </c>
      <c r="D5821" s="2" t="str">
        <f t="shared" si="89"/>
        <v>Error?</v>
      </c>
    </row>
    <row r="5822" spans="1:4">
      <c r="A5822" s="5">
        <v>5761</v>
      </c>
      <c r="B5822" s="138">
        <f>'Revenues 9-14'!G214</f>
        <v>0</v>
      </c>
      <c r="D5822" s="2" t="str">
        <f t="shared" si="89"/>
        <v>Error?</v>
      </c>
    </row>
    <row r="5823" spans="1:4">
      <c r="A5823" s="5">
        <v>5762</v>
      </c>
      <c r="B5823" s="138">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8">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8">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8">
        <f>'Revenues 9-14'!G222</f>
        <v>0</v>
      </c>
      <c r="D5853" s="2" t="str">
        <f t="shared" si="90"/>
        <v>Error?</v>
      </c>
    </row>
    <row r="5854" spans="1:5">
      <c r="A5854" s="10">
        <v>5793</v>
      </c>
      <c r="D5854" s="2" t="str">
        <f t="shared" si="90"/>
        <v>OK</v>
      </c>
    </row>
    <row r="5855" spans="1:5">
      <c r="A5855" s="5">
        <v>5794</v>
      </c>
      <c r="B5855" s="138">
        <f>'Revenues 9-14'!G255</f>
        <v>0</v>
      </c>
      <c r="D5855" s="2" t="str">
        <f t="shared" si="90"/>
        <v>Error?</v>
      </c>
    </row>
    <row r="5856" spans="1:5">
      <c r="A5856" s="10">
        <v>5795</v>
      </c>
      <c r="D5856" s="2" t="str">
        <f t="shared" si="90"/>
        <v>OK</v>
      </c>
      <c r="E5856" s="4" t="s">
        <v>1937</v>
      </c>
    </row>
    <row r="5857" spans="1:4">
      <c r="A5857" s="10">
        <v>5796</v>
      </c>
      <c r="D5857" s="2" t="str">
        <f t="shared" si="90"/>
        <v>OK</v>
      </c>
    </row>
    <row r="5858" spans="1:4">
      <c r="A5858" s="5">
        <v>5797</v>
      </c>
      <c r="B5858" s="138">
        <f>'Revenues 9-14'!G257</f>
        <v>0</v>
      </c>
      <c r="D5858" s="2" t="str">
        <f t="shared" si="90"/>
        <v>Error?</v>
      </c>
    </row>
    <row r="5859" spans="1:4">
      <c r="A5859" s="10">
        <v>5798</v>
      </c>
      <c r="D5859" s="2" t="str">
        <f t="shared" si="90"/>
        <v>OK</v>
      </c>
    </row>
    <row r="5860" spans="1:4">
      <c r="A5860" s="5">
        <v>5799</v>
      </c>
      <c r="B5860" s="138">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9-14'!G267</f>
        <v>0</v>
      </c>
      <c r="C5869" s="2" t="s">
        <v>573</v>
      </c>
      <c r="D5869" s="2" t="str">
        <f t="shared" si="90"/>
        <v>Error?</v>
      </c>
    </row>
    <row r="5870" spans="1:4">
      <c r="A5870" s="5">
        <v>5809</v>
      </c>
      <c r="B5870" s="138">
        <f>'Revenues 9-14'!G268</f>
        <v>1486023</v>
      </c>
      <c r="C5870" s="2" t="s">
        <v>573</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573</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573</v>
      </c>
      <c r="D5878" s="2" t="str">
        <f t="shared" si="90"/>
        <v>Error?</v>
      </c>
    </row>
    <row r="5879" spans="1:4">
      <c r="A5879" s="5">
        <v>5818</v>
      </c>
      <c r="B5879" s="138">
        <f>'Revenues 9-14'!H65</f>
        <v>10337</v>
      </c>
      <c r="D5879" s="2" t="str">
        <f t="shared" si="90"/>
        <v>Error?</v>
      </c>
    </row>
    <row r="5880" spans="1:4">
      <c r="A5880" s="5">
        <v>5819</v>
      </c>
      <c r="B5880" s="138">
        <f>'Revenues 9-14'!H66</f>
        <v>0</v>
      </c>
      <c r="D5880" s="2" t="str">
        <f t="shared" si="90"/>
        <v>Error?</v>
      </c>
    </row>
    <row r="5881" spans="1:4">
      <c r="A5881" s="5">
        <v>5820</v>
      </c>
      <c r="B5881" s="138">
        <f>'Revenues 9-14'!H67</f>
        <v>10337</v>
      </c>
      <c r="C5881" s="2" t="s">
        <v>573</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94861</v>
      </c>
      <c r="D5885" s="2" t="str">
        <f t="shared" si="90"/>
        <v>Error?</v>
      </c>
    </row>
    <row r="5886" spans="1:4">
      <c r="A5886" s="5">
        <v>5825</v>
      </c>
      <c r="B5886" s="138">
        <f>'Revenues 9-14'!H108</f>
        <v>579267</v>
      </c>
      <c r="C5886" s="2" t="s">
        <v>573</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9-14'!H170</f>
        <v>0</v>
      </c>
      <c r="C5906" s="2" t="s">
        <v>573</v>
      </c>
      <c r="D5906" s="2" t="str">
        <f t="shared" si="91"/>
        <v>Error?</v>
      </c>
    </row>
    <row r="5907" spans="1:4">
      <c r="A5907" s="5">
        <v>5846</v>
      </c>
      <c r="B5907" s="138">
        <f>'Revenues 9-14'!H178</f>
        <v>0</v>
      </c>
      <c r="D5907" s="2" t="str">
        <f t="shared" si="91"/>
        <v>Error?</v>
      </c>
    </row>
    <row r="5908" spans="1:4">
      <c r="A5908" s="5">
        <v>5847</v>
      </c>
      <c r="B5908" s="138">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9-14'!H267</f>
        <v>0</v>
      </c>
      <c r="C5914" s="2" t="s">
        <v>573</v>
      </c>
      <c r="D5914" s="2" t="str">
        <f t="shared" si="91"/>
        <v>Error?</v>
      </c>
    </row>
    <row r="5915" spans="1:4">
      <c r="A5915" s="5">
        <v>5854</v>
      </c>
      <c r="B5915" s="138">
        <f>'Revenues 9-14'!H268</f>
        <v>589604</v>
      </c>
      <c r="C5915" s="2" t="s">
        <v>573</v>
      </c>
      <c r="D5915" s="2" t="str">
        <f t="shared" si="91"/>
        <v>Error?</v>
      </c>
    </row>
    <row r="5916" spans="1:4">
      <c r="A5916" s="5">
        <v>5855</v>
      </c>
      <c r="B5916" s="138">
        <f>'Revenues 9-14'!I5</f>
        <v>173751</v>
      </c>
      <c r="D5916" s="2" t="str">
        <f t="shared" si="91"/>
        <v>Error?</v>
      </c>
    </row>
    <row r="5917" spans="1:4">
      <c r="A5917" s="5">
        <v>5856</v>
      </c>
      <c r="B5917" s="138">
        <f>'Revenues 9-14'!I11</f>
        <v>0</v>
      </c>
      <c r="D5917" s="2" t="str">
        <f t="shared" si="91"/>
        <v>Error?</v>
      </c>
    </row>
    <row r="5918" spans="1:4">
      <c r="A5918" s="5">
        <v>5857</v>
      </c>
      <c r="B5918" s="138">
        <f>'Revenues 9-14'!I12</f>
        <v>173751</v>
      </c>
      <c r="C5918" s="2" t="s">
        <v>573</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573</v>
      </c>
      <c r="D5923" s="2" t="str">
        <f t="shared" si="91"/>
        <v>Error?</v>
      </c>
    </row>
    <row r="5924" spans="1:4">
      <c r="A5924" s="5">
        <v>5863</v>
      </c>
      <c r="B5924" s="138">
        <f>'Revenues 9-14'!I65</f>
        <v>89952</v>
      </c>
      <c r="D5924" s="2" t="str">
        <f t="shared" si="91"/>
        <v>Error?</v>
      </c>
    </row>
    <row r="5925" spans="1:4">
      <c r="A5925" s="5">
        <v>5864</v>
      </c>
      <c r="B5925" s="138">
        <f>'Revenues 9-14'!I66</f>
        <v>0</v>
      </c>
      <c r="D5925" s="2" t="str">
        <f t="shared" si="91"/>
        <v>Error?</v>
      </c>
    </row>
    <row r="5926" spans="1:4">
      <c r="A5926" s="5">
        <v>5865</v>
      </c>
      <c r="B5926" s="138">
        <f>'Revenues 9-14'!I67</f>
        <v>89952</v>
      </c>
      <c r="C5926" s="2" t="s">
        <v>573</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9-14'!I268</f>
        <v>263703</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573</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573</v>
      </c>
      <c r="D5992" s="2" t="str">
        <f t="shared" si="92"/>
        <v>Error?</v>
      </c>
    </row>
    <row r="5993" spans="1:4">
      <c r="A5993" s="5">
        <v>5932</v>
      </c>
      <c r="B5993" s="138">
        <f>'Revenues 9-14'!K65</f>
        <v>3601</v>
      </c>
      <c r="D5993" s="2" t="str">
        <f t="shared" si="92"/>
        <v>Error?</v>
      </c>
    </row>
    <row r="5994" spans="1:4">
      <c r="A5994" s="5">
        <v>5933</v>
      </c>
      <c r="B5994" s="138">
        <f>'Revenues 9-14'!K66</f>
        <v>0</v>
      </c>
      <c r="D5994" s="2" t="str">
        <f t="shared" si="92"/>
        <v>Error?</v>
      </c>
    </row>
    <row r="5995" spans="1:4">
      <c r="A5995" s="5">
        <v>5934</v>
      </c>
      <c r="B5995" s="138">
        <f>'Revenues 9-14'!K67</f>
        <v>3601</v>
      </c>
      <c r="C5995" s="2" t="s">
        <v>573</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573</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8">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9-14'!K267</f>
        <v>0</v>
      </c>
      <c r="C6022" s="2" t="s">
        <v>573</v>
      </c>
      <c r="D6022" s="2" t="str">
        <f t="shared" si="93"/>
        <v>Error?</v>
      </c>
    </row>
    <row r="6023" spans="1:5">
      <c r="A6023" s="5">
        <v>5962</v>
      </c>
      <c r="B6023" s="138">
        <f>'Revenues 9-14'!K268</f>
        <v>3601</v>
      </c>
      <c r="C6023" s="2" t="s">
        <v>573</v>
      </c>
      <c r="D6023" s="2" t="str">
        <f t="shared" si="93"/>
        <v>Error?</v>
      </c>
    </row>
    <row r="6024" spans="1:5">
      <c r="A6024" s="5">
        <v>5963</v>
      </c>
      <c r="B6024" s="138">
        <f>'Revenues 9-14'!G109</f>
        <v>1486023</v>
      </c>
      <c r="C6024" s="2" t="s">
        <v>573</v>
      </c>
      <c r="D6024" s="2" t="str">
        <f t="shared" si="93"/>
        <v>Error?</v>
      </c>
    </row>
    <row r="6025" spans="1:5">
      <c r="A6025" s="5">
        <v>5964</v>
      </c>
      <c r="B6025" s="138">
        <f>'Revenues 9-14'!H109</f>
        <v>589604</v>
      </c>
      <c r="C6025" s="2" t="s">
        <v>573</v>
      </c>
      <c r="D6025" s="2" t="str">
        <f t="shared" si="93"/>
        <v>Error?</v>
      </c>
    </row>
    <row r="6026" spans="1:5">
      <c r="A6026" s="5">
        <v>5965</v>
      </c>
      <c r="B6026" s="138">
        <f>'Revenues 9-14'!I109</f>
        <v>263703</v>
      </c>
      <c r="C6026" s="2" t="s">
        <v>573</v>
      </c>
      <c r="D6026" s="2" t="str">
        <f t="shared" si="93"/>
        <v>Error?</v>
      </c>
    </row>
    <row r="6027" spans="1:5">
      <c r="A6027" s="10">
        <v>5966</v>
      </c>
      <c r="C6027" s="2" t="s">
        <v>573</v>
      </c>
      <c r="D6027" s="2" t="str">
        <f t="shared" si="93"/>
        <v>OK</v>
      </c>
    </row>
    <row r="6028" spans="1:5">
      <c r="A6028" s="5">
        <v>5967</v>
      </c>
      <c r="B6028" s="138">
        <f>'Revenues 9-14'!K109</f>
        <v>3601</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0</v>
      </c>
      <c r="D6031" s="2" t="str">
        <f t="shared" si="93"/>
        <v>Error?</v>
      </c>
    </row>
    <row r="6032" spans="1:5">
      <c r="A6032" s="5">
        <v>5971</v>
      </c>
      <c r="B6032" s="138">
        <f>'Acct Summary 7-8'!G15</f>
        <v>0</v>
      </c>
      <c r="C6032" s="2" t="s">
        <v>573</v>
      </c>
      <c r="D6032" s="2" t="str">
        <f t="shared" si="93"/>
        <v>Error?</v>
      </c>
      <c r="E6032" s="2" t="s">
        <v>102</v>
      </c>
    </row>
    <row r="6033" spans="1:5">
      <c r="A6033" s="10">
        <v>5972</v>
      </c>
      <c r="C6033" s="2" t="s">
        <v>573</v>
      </c>
      <c r="D6033" s="2" t="str">
        <f t="shared" si="93"/>
        <v>OK</v>
      </c>
      <c r="E6033" s="2" t="s">
        <v>102</v>
      </c>
    </row>
    <row r="6034" spans="1:5">
      <c r="A6034" s="35">
        <v>5973</v>
      </c>
      <c r="B6034" s="139"/>
      <c r="C6034" s="2" t="s">
        <v>573</v>
      </c>
      <c r="D6034" s="2" t="str">
        <f t="shared" si="93"/>
        <v>OK</v>
      </c>
      <c r="E6034" s="2" t="s">
        <v>753</v>
      </c>
    </row>
    <row r="6035" spans="1:5">
      <c r="A6035" s="13">
        <v>5974</v>
      </c>
      <c r="B6035" s="139">
        <f>'ICR Computation 30'!E11</f>
        <v>143088</v>
      </c>
      <c r="C6035" s="2" t="s">
        <v>573</v>
      </c>
      <c r="D6035" s="2" t="str">
        <f t="shared" si="93"/>
        <v>Error?</v>
      </c>
      <c r="E6035" s="2" t="s">
        <v>920</v>
      </c>
    </row>
    <row r="6036" spans="1:5">
      <c r="A6036" s="35">
        <v>5975</v>
      </c>
      <c r="B6036" s="139"/>
      <c r="D6036" s="2" t="str">
        <f t="shared" si="93"/>
        <v>OK</v>
      </c>
      <c r="E6036" s="2" t="s">
        <v>920</v>
      </c>
    </row>
    <row r="6037" spans="1:5">
      <c r="A6037" s="35">
        <v>5976</v>
      </c>
      <c r="B6037" s="139"/>
      <c r="D6037" s="2" t="str">
        <f t="shared" si="93"/>
        <v>OK</v>
      </c>
      <c r="E6037" s="2" t="s">
        <v>920</v>
      </c>
    </row>
    <row r="6038" spans="1:5">
      <c r="A6038" s="35">
        <v>5977</v>
      </c>
      <c r="B6038" s="139"/>
      <c r="D6038" s="2" t="str">
        <f t="shared" si="93"/>
        <v>OK</v>
      </c>
      <c r="E6038" s="2" t="s">
        <v>920</v>
      </c>
    </row>
    <row r="6039" spans="1:5">
      <c r="A6039" s="35">
        <v>5978</v>
      </c>
      <c r="B6039" s="139"/>
      <c r="D6039" s="2" t="str">
        <f t="shared" si="93"/>
        <v>OK</v>
      </c>
      <c r="E6039" s="2" t="s">
        <v>920</v>
      </c>
    </row>
    <row r="6040" spans="1:5">
      <c r="A6040" s="35">
        <v>5979</v>
      </c>
      <c r="B6040" s="139"/>
      <c r="D6040" s="2" t="str">
        <f t="shared" si="93"/>
        <v>OK</v>
      </c>
      <c r="E6040" s="2" t="s">
        <v>920</v>
      </c>
    </row>
    <row r="6041" spans="1:5">
      <c r="A6041" s="35">
        <v>5980</v>
      </c>
      <c r="B6041" s="139"/>
      <c r="D6041" s="2" t="str">
        <f t="shared" si="93"/>
        <v>OK</v>
      </c>
      <c r="E6041" s="2" t="s">
        <v>920</v>
      </c>
    </row>
    <row r="6042" spans="1:5">
      <c r="A6042" s="35">
        <v>5981</v>
      </c>
      <c r="B6042" s="139"/>
      <c r="D6042" s="2" t="str">
        <f t="shared" si="93"/>
        <v>OK</v>
      </c>
      <c r="E6042" s="2" t="s">
        <v>920</v>
      </c>
    </row>
    <row r="6043" spans="1:5">
      <c r="A6043" s="35">
        <v>5982</v>
      </c>
      <c r="B6043" s="139"/>
      <c r="D6043" s="2" t="str">
        <f t="shared" si="93"/>
        <v>OK</v>
      </c>
      <c r="E6043" s="2" t="s">
        <v>920</v>
      </c>
    </row>
    <row r="6044" spans="1:5">
      <c r="A6044" s="35">
        <v>5983</v>
      </c>
      <c r="B6044" s="139"/>
      <c r="D6044" s="2" t="str">
        <f t="shared" si="93"/>
        <v>OK</v>
      </c>
      <c r="E6044" s="2" t="s">
        <v>920</v>
      </c>
    </row>
    <row r="6045" spans="1:5">
      <c r="A6045" s="35">
        <v>5984</v>
      </c>
      <c r="B6045" s="139"/>
      <c r="D6045" s="2" t="str">
        <f t="shared" si="93"/>
        <v>OK</v>
      </c>
      <c r="E6045" s="2" t="s">
        <v>920</v>
      </c>
    </row>
    <row r="6046" spans="1:5">
      <c r="A6046" s="35">
        <v>5985</v>
      </c>
      <c r="B6046" s="139"/>
      <c r="D6046" s="2" t="str">
        <f t="shared" si="93"/>
        <v>OK</v>
      </c>
      <c r="E6046" s="2" t="s">
        <v>920</v>
      </c>
    </row>
    <row r="6047" spans="1:5">
      <c r="A6047" s="35">
        <v>5986</v>
      </c>
      <c r="B6047" s="139"/>
      <c r="D6047" s="2" t="str">
        <f t="shared" si="93"/>
        <v>OK</v>
      </c>
      <c r="E6047" s="2" t="s">
        <v>920</v>
      </c>
    </row>
    <row r="6048" spans="1:5">
      <c r="A6048" s="35">
        <v>5987</v>
      </c>
      <c r="B6048" s="139"/>
      <c r="D6048" s="2" t="str">
        <f t="shared" si="93"/>
        <v>OK</v>
      </c>
      <c r="E6048" s="2" t="s">
        <v>920</v>
      </c>
    </row>
    <row r="6049" spans="1:5">
      <c r="A6049" s="35">
        <v>5988</v>
      </c>
      <c r="B6049" s="139"/>
      <c r="D6049" s="2" t="str">
        <f t="shared" si="93"/>
        <v>OK</v>
      </c>
      <c r="E6049" s="2" t="s">
        <v>920</v>
      </c>
    </row>
    <row r="6050" spans="1:5">
      <c r="A6050" s="35">
        <v>5989</v>
      </c>
      <c r="B6050" s="139"/>
      <c r="D6050" s="2" t="str">
        <f t="shared" si="93"/>
        <v>OK</v>
      </c>
      <c r="E6050" s="2" t="s">
        <v>920</v>
      </c>
    </row>
    <row r="6051" spans="1:5">
      <c r="A6051" s="35">
        <v>5990</v>
      </c>
      <c r="B6051" s="139"/>
      <c r="D6051" s="2" t="str">
        <f t="shared" si="93"/>
        <v>OK</v>
      </c>
      <c r="E6051" s="2" t="s">
        <v>920</v>
      </c>
    </row>
    <row r="6052" spans="1:5">
      <c r="A6052" s="35">
        <v>5991</v>
      </c>
      <c r="B6052" s="139"/>
      <c r="D6052" s="2" t="str">
        <f t="shared" si="93"/>
        <v>OK</v>
      </c>
      <c r="E6052" s="2" t="s">
        <v>920</v>
      </c>
    </row>
    <row r="6053" spans="1:5">
      <c r="A6053" s="35">
        <v>5992</v>
      </c>
      <c r="B6053" s="139"/>
      <c r="D6053" s="2" t="str">
        <f t="shared" si="93"/>
        <v>OK</v>
      </c>
      <c r="E6053" s="2" t="s">
        <v>920</v>
      </c>
    </row>
    <row r="6054" spans="1:5">
      <c r="A6054" s="35">
        <v>5993</v>
      </c>
      <c r="B6054" s="139"/>
      <c r="C6054" s="2" t="s">
        <v>573</v>
      </c>
      <c r="D6054" s="2" t="str">
        <f t="shared" si="93"/>
        <v>OK</v>
      </c>
      <c r="E6054" s="2" t="s">
        <v>920</v>
      </c>
    </row>
    <row r="6055" spans="1:5">
      <c r="A6055" s="35">
        <v>5994</v>
      </c>
      <c r="B6055" s="139"/>
      <c r="D6055" s="2" t="str">
        <f t="shared" si="93"/>
        <v>OK</v>
      </c>
      <c r="E6055" s="2" t="s">
        <v>920</v>
      </c>
    </row>
    <row r="6056" spans="1:5">
      <c r="A6056" s="35">
        <v>5995</v>
      </c>
      <c r="B6056" s="139"/>
      <c r="D6056" s="2" t="str">
        <f t="shared" si="93"/>
        <v>OK</v>
      </c>
      <c r="E6056" s="2" t="s">
        <v>920</v>
      </c>
    </row>
    <row r="6057" spans="1:5">
      <c r="A6057" s="35">
        <v>5996</v>
      </c>
      <c r="B6057" s="139"/>
      <c r="D6057" s="2" t="str">
        <f t="shared" si="93"/>
        <v>OK</v>
      </c>
      <c r="E6057" s="2" t="s">
        <v>920</v>
      </c>
    </row>
    <row r="6058" spans="1:5">
      <c r="A6058" s="35">
        <v>5997</v>
      </c>
      <c r="B6058" s="139"/>
      <c r="D6058" s="2" t="str">
        <f t="shared" si="93"/>
        <v>OK</v>
      </c>
      <c r="E6058" s="2" t="s">
        <v>920</v>
      </c>
    </row>
    <row r="6059" spans="1:5">
      <c r="A6059" s="35">
        <v>5998</v>
      </c>
      <c r="B6059" s="139"/>
      <c r="D6059" s="2" t="str">
        <f t="shared" si="93"/>
        <v>OK</v>
      </c>
      <c r="E6059" s="2" t="s">
        <v>920</v>
      </c>
    </row>
    <row r="6060" spans="1:5">
      <c r="A6060" s="35">
        <v>5999</v>
      </c>
      <c r="B6060" s="139"/>
      <c r="D6060" s="2" t="str">
        <f t="shared" si="93"/>
        <v>OK</v>
      </c>
      <c r="E6060" s="2" t="s">
        <v>920</v>
      </c>
    </row>
    <row r="6061" spans="1:5">
      <c r="A6061" s="35">
        <v>6000</v>
      </c>
      <c r="B6061" s="139"/>
      <c r="D6061" s="2" t="str">
        <f t="shared" si="93"/>
        <v>OK</v>
      </c>
      <c r="E6061" s="2" t="s">
        <v>920</v>
      </c>
    </row>
    <row r="6062" spans="1:5">
      <c r="A6062" s="35">
        <v>6001</v>
      </c>
      <c r="B6062" s="139"/>
      <c r="D6062" s="2" t="str">
        <f t="shared" si="93"/>
        <v>OK</v>
      </c>
      <c r="E6062" s="2" t="s">
        <v>920</v>
      </c>
    </row>
    <row r="6063" spans="1:5">
      <c r="A6063" s="35">
        <v>6002</v>
      </c>
      <c r="B6063" s="139"/>
      <c r="D6063" s="2" t="str">
        <f t="shared" si="93"/>
        <v>OK</v>
      </c>
      <c r="E6063" s="2" t="s">
        <v>920</v>
      </c>
    </row>
    <row r="6064" spans="1:5">
      <c r="A6064" s="35">
        <v>6003</v>
      </c>
      <c r="B6064" s="139"/>
      <c r="D6064" s="2" t="str">
        <f t="shared" si="93"/>
        <v>OK</v>
      </c>
      <c r="E6064" s="2" t="s">
        <v>920</v>
      </c>
    </row>
    <row r="6065" spans="1:5">
      <c r="A6065" s="35">
        <v>6004</v>
      </c>
      <c r="B6065" s="139"/>
      <c r="D6065" s="2" t="str">
        <f t="shared" si="93"/>
        <v>OK</v>
      </c>
      <c r="E6065" s="2" t="s">
        <v>920</v>
      </c>
    </row>
    <row r="6066" spans="1:5">
      <c r="A6066" s="35">
        <v>6005</v>
      </c>
      <c r="B6066" s="139"/>
      <c r="D6066" s="2" t="str">
        <f t="shared" si="93"/>
        <v>OK</v>
      </c>
      <c r="E6066" s="2" t="s">
        <v>920</v>
      </c>
    </row>
    <row r="6067" spans="1:5">
      <c r="A6067" s="127">
        <v>6006</v>
      </c>
      <c r="B6067" s="139"/>
      <c r="D6067" s="2" t="str">
        <f t="shared" si="93"/>
        <v>OK</v>
      </c>
      <c r="E6067" s="2" t="s">
        <v>920</v>
      </c>
    </row>
    <row r="6068" spans="1:5">
      <c r="A6068" s="127">
        <v>6007</v>
      </c>
      <c r="B6068" s="139"/>
      <c r="D6068" s="2" t="str">
        <f t="shared" si="93"/>
        <v>OK</v>
      </c>
      <c r="E6068" s="2" t="s">
        <v>920</v>
      </c>
    </row>
    <row r="6069" spans="1:5">
      <c r="A6069" s="127">
        <v>6008</v>
      </c>
      <c r="B6069" s="139"/>
      <c r="D6069" s="2" t="str">
        <f t="shared" si="93"/>
        <v>OK</v>
      </c>
      <c r="E6069" s="2" t="s">
        <v>920</v>
      </c>
    </row>
    <row r="6070" spans="1:5">
      <c r="A6070" s="127">
        <v>6009</v>
      </c>
      <c r="B6070" s="139"/>
      <c r="D6070" s="2" t="str">
        <f t="shared" si="93"/>
        <v>OK</v>
      </c>
      <c r="E6070" s="2" t="s">
        <v>920</v>
      </c>
    </row>
    <row r="6071" spans="1:5">
      <c r="A6071" s="127">
        <v>6010</v>
      </c>
      <c r="B6071" s="139"/>
      <c r="D6071" s="2" t="str">
        <f t="shared" si="93"/>
        <v>OK</v>
      </c>
      <c r="E6071" s="2" t="s">
        <v>920</v>
      </c>
    </row>
    <row r="6072" spans="1:5">
      <c r="A6072" s="127">
        <v>6011</v>
      </c>
      <c r="B6072" s="139"/>
      <c r="D6072" s="2" t="str">
        <f t="shared" si="93"/>
        <v>OK</v>
      </c>
      <c r="E6072" s="2" t="s">
        <v>920</v>
      </c>
    </row>
    <row r="6073" spans="1:5">
      <c r="A6073" s="127">
        <v>6012</v>
      </c>
      <c r="B6073" s="139"/>
      <c r="C6073" s="2" t="s">
        <v>573</v>
      </c>
      <c r="D6073" s="2" t="str">
        <f t="shared" si="93"/>
        <v>OK</v>
      </c>
      <c r="E6073" s="2" t="s">
        <v>920</v>
      </c>
    </row>
    <row r="6074" spans="1:5">
      <c r="A6074" s="8">
        <v>6013</v>
      </c>
      <c r="B6074" s="139">
        <f>'PCTC-OEPP 27-28'!F78</f>
        <v>2386.71</v>
      </c>
      <c r="D6074" s="2" t="str">
        <f t="shared" si="93"/>
        <v>Error?</v>
      </c>
      <c r="E6074" s="2" t="s">
        <v>930</v>
      </c>
    </row>
    <row r="6075" spans="1:5">
      <c r="A6075" s="127">
        <v>6014</v>
      </c>
      <c r="B6075" s="139"/>
      <c r="D6075" s="2" t="str">
        <f t="shared" si="93"/>
        <v>OK</v>
      </c>
      <c r="E6075" s="2" t="s">
        <v>930</v>
      </c>
    </row>
    <row r="6076" spans="1:5">
      <c r="A6076">
        <v>6015</v>
      </c>
      <c r="B6076" s="138">
        <f>'Short-Term Long-Term Debt 24'!C27</f>
        <v>0</v>
      </c>
      <c r="D6076" s="2" t="str">
        <f t="shared" si="93"/>
        <v>Error?</v>
      </c>
      <c r="E6076" s="2" t="s">
        <v>930</v>
      </c>
    </row>
    <row r="6077" spans="1:5">
      <c r="A6077">
        <v>6016</v>
      </c>
      <c r="B6077" s="138">
        <f>'Short-Term Long-Term Debt 24'!D27</f>
        <v>0</v>
      </c>
      <c r="D6077" s="2" t="str">
        <f t="shared" si="93"/>
        <v>Error?</v>
      </c>
      <c r="E6077" s="2" t="s">
        <v>930</v>
      </c>
    </row>
    <row r="6078" spans="1:5">
      <c r="A6078">
        <v>6017</v>
      </c>
      <c r="B6078" s="138">
        <f>'Short-Term Long-Term Debt 24'!E27</f>
        <v>0</v>
      </c>
      <c r="D6078" s="2" t="str">
        <f t="shared" si="93"/>
        <v>Error?</v>
      </c>
      <c r="E6078" s="2" t="s">
        <v>930</v>
      </c>
    </row>
    <row r="6079" spans="1:5">
      <c r="A6079">
        <v>6018</v>
      </c>
      <c r="B6079" s="138">
        <f>'Short-Term Long-Term Debt 24'!F27</f>
        <v>0</v>
      </c>
      <c r="D6079" s="2" t="str">
        <f t="shared" ref="D6079:D6142" si="94">IF(ISBLANK(B6079),"OK",IF(A6079-B6079=0,"OK","Error?"))</f>
        <v>Error?</v>
      </c>
      <c r="E6079" s="2" t="s">
        <v>154</v>
      </c>
    </row>
    <row r="6080" spans="1:5">
      <c r="A6080" s="129">
        <v>6019</v>
      </c>
      <c r="D6080" s="2" t="str">
        <f t="shared" si="94"/>
        <v>OK</v>
      </c>
      <c r="E6080" s="2" t="s">
        <v>482</v>
      </c>
    </row>
    <row r="6081" spans="1:5">
      <c r="A6081">
        <v>6020</v>
      </c>
      <c r="B6081" s="138">
        <f>'Assets-Liab 5-6'!C7</f>
        <v>0</v>
      </c>
      <c r="D6081" s="2" t="str">
        <f t="shared" si="94"/>
        <v>Error?</v>
      </c>
      <c r="E6081" s="2" t="s">
        <v>190</v>
      </c>
    </row>
    <row r="6082" spans="1:5">
      <c r="A6082">
        <v>6021</v>
      </c>
      <c r="B6082" s="138">
        <f>'Assets-Liab 5-6'!D7</f>
        <v>0</v>
      </c>
      <c r="D6082" s="2" t="str">
        <f t="shared" si="94"/>
        <v>Error?</v>
      </c>
      <c r="E6082" s="2" t="s">
        <v>190</v>
      </c>
    </row>
    <row r="6083" spans="1:5">
      <c r="A6083">
        <v>6022</v>
      </c>
      <c r="B6083" s="138">
        <f>'Assets-Liab 5-6'!E7</f>
        <v>0</v>
      </c>
      <c r="D6083" s="2" t="str">
        <f t="shared" si="94"/>
        <v>Error?</v>
      </c>
      <c r="E6083" s="2" t="s">
        <v>190</v>
      </c>
    </row>
    <row r="6084" spans="1:5">
      <c r="A6084">
        <v>6023</v>
      </c>
      <c r="B6084" s="138">
        <f>'Assets-Liab 5-6'!F7</f>
        <v>0</v>
      </c>
      <c r="D6084" s="2" t="str">
        <f t="shared" si="94"/>
        <v>Error?</v>
      </c>
      <c r="E6084" s="2" t="s">
        <v>190</v>
      </c>
    </row>
    <row r="6085" spans="1:5">
      <c r="A6085">
        <v>6024</v>
      </c>
      <c r="B6085" s="138">
        <f>'Assets-Liab 5-6'!G7</f>
        <v>0</v>
      </c>
      <c r="D6085" s="2" t="str">
        <f t="shared" si="94"/>
        <v>Error?</v>
      </c>
      <c r="E6085" s="2" t="s">
        <v>190</v>
      </c>
    </row>
    <row r="6086" spans="1:5">
      <c r="A6086">
        <v>6025</v>
      </c>
      <c r="B6086" s="138">
        <f>'Assets-Liab 5-6'!H7</f>
        <v>0</v>
      </c>
      <c r="D6086" s="2" t="str">
        <f t="shared" si="94"/>
        <v>Error?</v>
      </c>
      <c r="E6086" s="2" t="s">
        <v>190</v>
      </c>
    </row>
    <row r="6087" spans="1:5">
      <c r="A6087">
        <v>6026</v>
      </c>
      <c r="B6087" s="138">
        <f>'Assets-Liab 5-6'!I7</f>
        <v>0</v>
      </c>
      <c r="D6087" s="2" t="str">
        <f t="shared" si="94"/>
        <v>Error?</v>
      </c>
      <c r="E6087" s="2" t="s">
        <v>190</v>
      </c>
    </row>
    <row r="6088" spans="1:5">
      <c r="A6088">
        <v>6027</v>
      </c>
      <c r="B6088" s="138">
        <f>'Assets-Liab 5-6'!J7</f>
        <v>0</v>
      </c>
      <c r="D6088" s="2" t="str">
        <f t="shared" si="94"/>
        <v>Error?</v>
      </c>
      <c r="E6088" s="2" t="s">
        <v>190</v>
      </c>
    </row>
    <row r="6089" spans="1:5">
      <c r="A6089">
        <v>6028</v>
      </c>
      <c r="B6089" s="138">
        <f>'Assets-Liab 5-6'!K7</f>
        <v>0</v>
      </c>
      <c r="D6089" s="2" t="str">
        <f t="shared" si="94"/>
        <v>Error?</v>
      </c>
      <c r="E6089" s="2" t="s">
        <v>190</v>
      </c>
    </row>
    <row r="6090" spans="1:5">
      <c r="A6090">
        <v>6029</v>
      </c>
      <c r="B6090" s="138">
        <f>'Assets-Liab 5-6'!C8</f>
        <v>0</v>
      </c>
      <c r="D6090" s="2" t="str">
        <f t="shared" si="94"/>
        <v>Error?</v>
      </c>
      <c r="E6090" s="2" t="s">
        <v>190</v>
      </c>
    </row>
    <row r="6091" spans="1:5">
      <c r="A6091">
        <v>6030</v>
      </c>
      <c r="B6091" s="138">
        <f>'Assets-Liab 5-6'!D8</f>
        <v>0</v>
      </c>
      <c r="D6091" s="2" t="str">
        <f t="shared" si="94"/>
        <v>Error?</v>
      </c>
      <c r="E6091" s="2" t="s">
        <v>190</v>
      </c>
    </row>
    <row r="6092" spans="1:5">
      <c r="A6092">
        <v>6031</v>
      </c>
      <c r="B6092" s="138">
        <f>'Assets-Liab 5-6'!E8</f>
        <v>0</v>
      </c>
      <c r="D6092" s="2" t="str">
        <f t="shared" si="94"/>
        <v>Error?</v>
      </c>
      <c r="E6092" s="2" t="s">
        <v>190</v>
      </c>
    </row>
    <row r="6093" spans="1:5">
      <c r="A6093">
        <v>6032</v>
      </c>
      <c r="B6093" s="138">
        <f>'Assets-Liab 5-6'!F8</f>
        <v>0</v>
      </c>
      <c r="D6093" s="2" t="str">
        <f t="shared" si="94"/>
        <v>Error?</v>
      </c>
      <c r="E6093" s="2" t="s">
        <v>190</v>
      </c>
    </row>
    <row r="6094" spans="1:5">
      <c r="A6094">
        <v>6033</v>
      </c>
      <c r="B6094" s="138">
        <f>'Assets-Liab 5-6'!G8</f>
        <v>0</v>
      </c>
      <c r="D6094" s="2" t="str">
        <f t="shared" si="94"/>
        <v>Error?</v>
      </c>
      <c r="E6094" s="2" t="s">
        <v>190</v>
      </c>
    </row>
    <row r="6095" spans="1:5">
      <c r="A6095">
        <v>6034</v>
      </c>
      <c r="B6095" s="138">
        <f>'Assets-Liab 5-6'!H8</f>
        <v>0</v>
      </c>
      <c r="D6095" s="2" t="str">
        <f t="shared" si="94"/>
        <v>Error?</v>
      </c>
      <c r="E6095" s="2" t="s">
        <v>190</v>
      </c>
    </row>
    <row r="6096" spans="1:5">
      <c r="A6096">
        <v>6035</v>
      </c>
      <c r="B6096" s="138">
        <f>'Assets-Liab 5-6'!I8</f>
        <v>0</v>
      </c>
      <c r="D6096" s="2" t="str">
        <f t="shared" si="94"/>
        <v>Error?</v>
      </c>
      <c r="E6096" s="2" t="s">
        <v>190</v>
      </c>
    </row>
    <row r="6097" spans="1:5">
      <c r="A6097">
        <v>6036</v>
      </c>
      <c r="B6097" s="138">
        <f>'Assets-Liab 5-6'!J8</f>
        <v>0</v>
      </c>
      <c r="D6097" s="2" t="str">
        <f t="shared" si="94"/>
        <v>Error?</v>
      </c>
      <c r="E6097" s="2" t="s">
        <v>190</v>
      </c>
    </row>
    <row r="6098" spans="1:5">
      <c r="A6098">
        <v>6037</v>
      </c>
      <c r="B6098" s="138">
        <f>'Assets-Liab 5-6'!K8</f>
        <v>0</v>
      </c>
      <c r="D6098" s="2" t="str">
        <f t="shared" si="94"/>
        <v>Error?</v>
      </c>
      <c r="E6098" s="2" t="s">
        <v>190</v>
      </c>
    </row>
    <row r="6099" spans="1:5">
      <c r="A6099">
        <v>6038</v>
      </c>
      <c r="B6099" s="138">
        <f>'Assets-Liab 5-6'!C9</f>
        <v>0</v>
      </c>
      <c r="D6099" s="2" t="str">
        <f t="shared" si="94"/>
        <v>Error?</v>
      </c>
      <c r="E6099" s="2" t="s">
        <v>190</v>
      </c>
    </row>
    <row r="6100" spans="1:5">
      <c r="A6100">
        <v>6039</v>
      </c>
      <c r="B6100" s="138">
        <f>'Assets-Liab 5-6'!D9</f>
        <v>0</v>
      </c>
      <c r="D6100" s="2" t="str">
        <f t="shared" si="94"/>
        <v>Error?</v>
      </c>
      <c r="E6100" s="2" t="s">
        <v>190</v>
      </c>
    </row>
    <row r="6101" spans="1:5">
      <c r="A6101">
        <v>6040</v>
      </c>
      <c r="B6101" s="138">
        <f>'Assets-Liab 5-6'!E9</f>
        <v>0</v>
      </c>
      <c r="D6101" s="2" t="str">
        <f t="shared" si="94"/>
        <v>Error?</v>
      </c>
      <c r="E6101" s="2" t="s">
        <v>190</v>
      </c>
    </row>
    <row r="6102" spans="1:5">
      <c r="A6102">
        <v>6041</v>
      </c>
      <c r="B6102" s="138">
        <f>'Assets-Liab 5-6'!F9</f>
        <v>0</v>
      </c>
      <c r="D6102" s="2" t="str">
        <f t="shared" si="94"/>
        <v>Error?</v>
      </c>
      <c r="E6102" s="2" t="s">
        <v>190</v>
      </c>
    </row>
    <row r="6103" spans="1:5">
      <c r="A6103">
        <f>A6102+1</f>
        <v>6042</v>
      </c>
      <c r="B6103" s="138">
        <f>'Assets-Liab 5-6'!G9</f>
        <v>0</v>
      </c>
      <c r="D6103" s="2" t="str">
        <f t="shared" si="94"/>
        <v>Error?</v>
      </c>
      <c r="E6103" s="2" t="s">
        <v>190</v>
      </c>
    </row>
    <row r="6104" spans="1:5">
      <c r="A6104">
        <v>6043</v>
      </c>
      <c r="B6104" s="138">
        <f>'Assets-Liab 5-6'!H9</f>
        <v>0</v>
      </c>
      <c r="D6104" s="2" t="str">
        <f t="shared" si="94"/>
        <v>Error?</v>
      </c>
      <c r="E6104" s="2" t="s">
        <v>190</v>
      </c>
    </row>
    <row r="6105" spans="1:5">
      <c r="A6105">
        <v>6044</v>
      </c>
      <c r="B6105" s="138">
        <f>'Assets-Liab 5-6'!I9</f>
        <v>0</v>
      </c>
      <c r="D6105" s="2" t="str">
        <f t="shared" si="94"/>
        <v>Error?</v>
      </c>
      <c r="E6105" s="2" t="s">
        <v>190</v>
      </c>
    </row>
    <row r="6106" spans="1:5">
      <c r="A6106">
        <v>6045</v>
      </c>
      <c r="B6106" s="138">
        <f>'Assets-Liab 5-6'!J9</f>
        <v>0</v>
      </c>
      <c r="D6106" s="2" t="str">
        <f t="shared" si="94"/>
        <v>Error?</v>
      </c>
      <c r="E6106" s="2" t="s">
        <v>190</v>
      </c>
    </row>
    <row r="6107" spans="1:5">
      <c r="A6107">
        <v>6046</v>
      </c>
      <c r="B6107" s="138">
        <f>'Assets-Liab 5-6'!K9</f>
        <v>0</v>
      </c>
      <c r="D6107" s="2" t="str">
        <f t="shared" si="94"/>
        <v>Error?</v>
      </c>
      <c r="E6107" s="2" t="s">
        <v>190</v>
      </c>
    </row>
    <row r="6108" spans="1:5">
      <c r="A6108">
        <v>6047</v>
      </c>
      <c r="B6108" s="138">
        <f>'Assets-Liab 5-6'!L9</f>
        <v>0</v>
      </c>
      <c r="D6108" s="2" t="str">
        <f t="shared" si="94"/>
        <v>Error?</v>
      </c>
      <c r="E6108" s="2" t="s">
        <v>190</v>
      </c>
    </row>
    <row r="6109" spans="1:5">
      <c r="A6109">
        <v>6048</v>
      </c>
      <c r="B6109" s="138">
        <f>'Assets-Liab 5-6'!E10</f>
        <v>0</v>
      </c>
      <c r="D6109" s="2" t="str">
        <f t="shared" si="94"/>
        <v>Error?</v>
      </c>
      <c r="E6109" s="2" t="s">
        <v>190</v>
      </c>
    </row>
    <row r="6110" spans="1:5">
      <c r="A6110">
        <v>6049</v>
      </c>
      <c r="B6110" s="138">
        <f>'Assets-Liab 5-6'!G10</f>
        <v>0</v>
      </c>
      <c r="D6110" s="2" t="str">
        <f t="shared" si="94"/>
        <v>Error?</v>
      </c>
      <c r="E6110" s="2" t="s">
        <v>190</v>
      </c>
    </row>
    <row r="6111" spans="1:5">
      <c r="A6111">
        <v>6050</v>
      </c>
      <c r="B6111" s="138">
        <f>'Assets-Liab 5-6'!I10</f>
        <v>0</v>
      </c>
      <c r="D6111" s="2" t="str">
        <f t="shared" si="94"/>
        <v>Error?</v>
      </c>
      <c r="E6111" s="2" t="s">
        <v>190</v>
      </c>
    </row>
    <row r="6112" spans="1:5">
      <c r="A6112">
        <v>6051</v>
      </c>
      <c r="B6112" s="138">
        <f>'Assets-Liab 5-6'!J10</f>
        <v>0</v>
      </c>
      <c r="D6112" s="2" t="str">
        <f t="shared" si="94"/>
        <v>Error?</v>
      </c>
      <c r="E6112" s="2" t="s">
        <v>190</v>
      </c>
    </row>
    <row r="6113" spans="1:5">
      <c r="A6113">
        <v>6052</v>
      </c>
      <c r="B6113" s="138">
        <f>'Assets-Liab 5-6'!C11</f>
        <v>0</v>
      </c>
      <c r="D6113" s="2" t="str">
        <f t="shared" si="94"/>
        <v>Error?</v>
      </c>
      <c r="E6113" s="2" t="s">
        <v>190</v>
      </c>
    </row>
    <row r="6114" spans="1:5">
      <c r="A6114">
        <v>6053</v>
      </c>
      <c r="B6114" s="138">
        <f>'Assets-Liab 5-6'!D11</f>
        <v>0</v>
      </c>
      <c r="D6114" s="2" t="str">
        <f t="shared" si="94"/>
        <v>Error?</v>
      </c>
      <c r="E6114" s="2" t="s">
        <v>190</v>
      </c>
    </row>
    <row r="6115" spans="1:5">
      <c r="A6115">
        <v>6054</v>
      </c>
      <c r="B6115" s="138">
        <f>'Assets-Liab 5-6'!E11</f>
        <v>0</v>
      </c>
      <c r="D6115" s="2" t="str">
        <f t="shared" si="94"/>
        <v>Error?</v>
      </c>
      <c r="E6115" s="2" t="s">
        <v>190</v>
      </c>
    </row>
    <row r="6116" spans="1:5">
      <c r="A6116">
        <v>6055</v>
      </c>
      <c r="B6116" s="138">
        <f>'Assets-Liab 5-6'!F11</f>
        <v>0</v>
      </c>
      <c r="D6116" s="2" t="str">
        <f t="shared" si="94"/>
        <v>Error?</v>
      </c>
      <c r="E6116" s="2" t="s">
        <v>190</v>
      </c>
    </row>
    <row r="6117" spans="1:5">
      <c r="A6117">
        <v>6056</v>
      </c>
      <c r="B6117" s="138">
        <f>'Assets-Liab 5-6'!G11</f>
        <v>0</v>
      </c>
      <c r="D6117" s="2" t="str">
        <f t="shared" si="94"/>
        <v>Error?</v>
      </c>
      <c r="E6117" s="2" t="s">
        <v>190</v>
      </c>
    </row>
    <row r="6118" spans="1:5">
      <c r="A6118">
        <v>6057</v>
      </c>
      <c r="B6118" s="138">
        <f>'Assets-Liab 5-6'!H11</f>
        <v>0</v>
      </c>
      <c r="D6118" s="2" t="str">
        <f t="shared" si="94"/>
        <v>Error?</v>
      </c>
      <c r="E6118" s="2" t="s">
        <v>190</v>
      </c>
    </row>
    <row r="6119" spans="1:5">
      <c r="A6119">
        <v>6058</v>
      </c>
      <c r="B6119" s="138">
        <f>'Assets-Liab 5-6'!I11</f>
        <v>0</v>
      </c>
      <c r="D6119" s="2" t="str">
        <f t="shared" si="94"/>
        <v>Error?</v>
      </c>
      <c r="E6119" s="2" t="s">
        <v>190</v>
      </c>
    </row>
    <row r="6120" spans="1:5">
      <c r="A6120">
        <v>6059</v>
      </c>
      <c r="B6120" s="138">
        <f>'Assets-Liab 5-6'!J11</f>
        <v>0</v>
      </c>
      <c r="D6120" s="2" t="str">
        <f t="shared" si="94"/>
        <v>Error?</v>
      </c>
      <c r="E6120" s="2" t="s">
        <v>190</v>
      </c>
    </row>
    <row r="6121" spans="1:5">
      <c r="A6121">
        <v>6060</v>
      </c>
      <c r="B6121" s="138">
        <f>'Assets-Liab 5-6'!K11</f>
        <v>0</v>
      </c>
      <c r="D6121" s="2" t="str">
        <f t="shared" si="94"/>
        <v>Error?</v>
      </c>
      <c r="E6121" s="2" t="s">
        <v>190</v>
      </c>
    </row>
    <row r="6122" spans="1:5">
      <c r="A6122">
        <v>6061</v>
      </c>
      <c r="B6122" s="138">
        <f>'Assets-Liab 5-6'!L11</f>
        <v>0</v>
      </c>
      <c r="D6122" s="2" t="str">
        <f t="shared" si="94"/>
        <v>Error?</v>
      </c>
      <c r="E6122" s="2" t="s">
        <v>190</v>
      </c>
    </row>
    <row r="6123" spans="1:5">
      <c r="A6123">
        <v>6062</v>
      </c>
      <c r="B6123" s="138">
        <f>'Assets-Liab 5-6'!J12</f>
        <v>0</v>
      </c>
      <c r="D6123" s="2" t="str">
        <f t="shared" si="94"/>
        <v>Error?</v>
      </c>
      <c r="E6123" s="2" t="s">
        <v>190</v>
      </c>
    </row>
    <row r="6124" spans="1:5">
      <c r="A6124">
        <v>6063</v>
      </c>
      <c r="B6124" s="138">
        <f>'Assets-Liab 5-6'!J13</f>
        <v>445677</v>
      </c>
      <c r="D6124" s="2" t="str">
        <f t="shared" si="94"/>
        <v>Error?</v>
      </c>
      <c r="E6124" s="2" t="s">
        <v>190</v>
      </c>
    </row>
    <row r="6125" spans="1:5">
      <c r="A6125">
        <v>6064</v>
      </c>
      <c r="B6125" s="138">
        <f>'Assets-Liab 5-6'!C25</f>
        <v>0</v>
      </c>
      <c r="D6125" s="2" t="str">
        <f t="shared" si="94"/>
        <v>Error?</v>
      </c>
      <c r="E6125" s="2" t="s">
        <v>190</v>
      </c>
    </row>
    <row r="6126" spans="1:5">
      <c r="A6126">
        <v>6065</v>
      </c>
      <c r="B6126" s="138">
        <f>'Assets-Liab 5-6'!D25</f>
        <v>0</v>
      </c>
      <c r="D6126" s="2" t="str">
        <f t="shared" si="94"/>
        <v>Error?</v>
      </c>
      <c r="E6126" s="2" t="s">
        <v>190</v>
      </c>
    </row>
    <row r="6127" spans="1:5">
      <c r="A6127">
        <v>6066</v>
      </c>
      <c r="B6127" s="138">
        <f>'Assets-Liab 5-6'!E25</f>
        <v>0</v>
      </c>
      <c r="D6127" s="2" t="str">
        <f t="shared" si="94"/>
        <v>Error?</v>
      </c>
      <c r="E6127" s="2" t="s">
        <v>190</v>
      </c>
    </row>
    <row r="6128" spans="1:5">
      <c r="A6128">
        <v>6067</v>
      </c>
      <c r="B6128" s="138">
        <f>'Assets-Liab 5-6'!F25</f>
        <v>0</v>
      </c>
      <c r="D6128" s="2" t="str">
        <f t="shared" si="94"/>
        <v>Error?</v>
      </c>
      <c r="E6128" s="2" t="s">
        <v>190</v>
      </c>
    </row>
    <row r="6129" spans="1:5">
      <c r="A6129">
        <v>6068</v>
      </c>
      <c r="B6129" s="138">
        <f>'Assets-Liab 5-6'!G25</f>
        <v>0</v>
      </c>
      <c r="D6129" s="2" t="str">
        <f t="shared" si="94"/>
        <v>Error?</v>
      </c>
      <c r="E6129" s="2" t="s">
        <v>190</v>
      </c>
    </row>
    <row r="6130" spans="1:5">
      <c r="A6130">
        <v>6069</v>
      </c>
      <c r="B6130" s="138">
        <f>'Assets-Liab 5-6'!H25</f>
        <v>0</v>
      </c>
      <c r="D6130" s="2" t="str">
        <f t="shared" si="94"/>
        <v>Error?</v>
      </c>
      <c r="E6130" s="2" t="s">
        <v>190</v>
      </c>
    </row>
    <row r="6131" spans="1:5">
      <c r="A6131">
        <v>6070</v>
      </c>
      <c r="B6131" s="138">
        <f>'Assets-Liab 5-6'!J25</f>
        <v>0</v>
      </c>
      <c r="D6131" s="2" t="str">
        <f t="shared" si="94"/>
        <v>Error?</v>
      </c>
      <c r="E6131" s="2" t="s">
        <v>190</v>
      </c>
    </row>
    <row r="6132" spans="1:5">
      <c r="A6132">
        <v>6071</v>
      </c>
      <c r="B6132" s="138">
        <f>'Assets-Liab 5-6'!K25</f>
        <v>0</v>
      </c>
      <c r="D6132" s="2" t="str">
        <f t="shared" si="94"/>
        <v>Error?</v>
      </c>
      <c r="E6132" s="2" t="s">
        <v>190</v>
      </c>
    </row>
    <row r="6133" spans="1:5">
      <c r="A6133">
        <v>6072</v>
      </c>
      <c r="B6133" s="138">
        <f>'Assets-Liab 5-6'!C26</f>
        <v>0</v>
      </c>
      <c r="D6133" s="2" t="str">
        <f t="shared" si="94"/>
        <v>Error?</v>
      </c>
      <c r="E6133" s="2" t="s">
        <v>190</v>
      </c>
    </row>
    <row r="6134" spans="1:5">
      <c r="A6134">
        <v>6073</v>
      </c>
      <c r="B6134" s="138">
        <f>'Assets-Liab 5-6'!D26</f>
        <v>0</v>
      </c>
      <c r="D6134" s="2" t="str">
        <f t="shared" si="94"/>
        <v>Error?</v>
      </c>
      <c r="E6134" s="2" t="s">
        <v>190</v>
      </c>
    </row>
    <row r="6135" spans="1:5">
      <c r="A6135">
        <v>6074</v>
      </c>
      <c r="B6135" s="138">
        <f>'Assets-Liab 5-6'!E26</f>
        <v>0</v>
      </c>
      <c r="D6135" s="2" t="str">
        <f t="shared" si="94"/>
        <v>Error?</v>
      </c>
      <c r="E6135" s="2" t="s">
        <v>190</v>
      </c>
    </row>
    <row r="6136" spans="1:5">
      <c r="A6136">
        <v>6075</v>
      </c>
      <c r="B6136" s="138">
        <f>'Assets-Liab 5-6'!F26</f>
        <v>0</v>
      </c>
      <c r="D6136" s="2" t="str">
        <f t="shared" si="94"/>
        <v>Error?</v>
      </c>
      <c r="E6136" s="2" t="s">
        <v>190</v>
      </c>
    </row>
    <row r="6137" spans="1:5">
      <c r="A6137">
        <v>6076</v>
      </c>
      <c r="B6137" s="138">
        <f>'Assets-Liab 5-6'!G26</f>
        <v>0</v>
      </c>
      <c r="D6137" s="2" t="str">
        <f t="shared" si="94"/>
        <v>Error?</v>
      </c>
      <c r="E6137" s="2" t="s">
        <v>190</v>
      </c>
    </row>
    <row r="6138" spans="1:5">
      <c r="A6138">
        <v>6077</v>
      </c>
      <c r="B6138" s="138">
        <f>'Assets-Liab 5-6'!H26</f>
        <v>0</v>
      </c>
      <c r="D6138" s="2" t="str">
        <f t="shared" si="94"/>
        <v>Error?</v>
      </c>
      <c r="E6138" s="2" t="s">
        <v>190</v>
      </c>
    </row>
    <row r="6139" spans="1:5">
      <c r="A6139">
        <v>6078</v>
      </c>
      <c r="B6139" s="138">
        <f>'Assets-Liab 5-6'!I26</f>
        <v>0</v>
      </c>
      <c r="D6139" s="2" t="str">
        <f t="shared" si="94"/>
        <v>Error?</v>
      </c>
      <c r="E6139" s="2" t="s">
        <v>190</v>
      </c>
    </row>
    <row r="6140" spans="1:5">
      <c r="A6140">
        <v>6079</v>
      </c>
      <c r="B6140" s="138">
        <f>'Assets-Liab 5-6'!J26</f>
        <v>0</v>
      </c>
      <c r="D6140" s="2" t="str">
        <f t="shared" si="94"/>
        <v>Error?</v>
      </c>
      <c r="E6140" s="2" t="s">
        <v>190</v>
      </c>
    </row>
    <row r="6141" spans="1:5">
      <c r="A6141">
        <v>6080</v>
      </c>
      <c r="B6141" s="138">
        <f>'Assets-Liab 5-6'!K26</f>
        <v>0</v>
      </c>
      <c r="D6141" s="2" t="str">
        <f t="shared" si="94"/>
        <v>Error?</v>
      </c>
      <c r="E6141" s="2" t="s">
        <v>190</v>
      </c>
    </row>
    <row r="6142" spans="1:5">
      <c r="A6142">
        <v>6081</v>
      </c>
      <c r="B6142" s="138">
        <f>'Assets-Liab 5-6'!C27</f>
        <v>0</v>
      </c>
      <c r="D6142" s="2" t="str">
        <f t="shared" si="94"/>
        <v>Error?</v>
      </c>
      <c r="E6142" s="2" t="s">
        <v>190</v>
      </c>
    </row>
    <row r="6143" spans="1:5">
      <c r="A6143">
        <v>6082</v>
      </c>
      <c r="B6143" s="138">
        <f>'Assets-Liab 5-6'!D27</f>
        <v>0</v>
      </c>
      <c r="D6143" s="2" t="str">
        <f t="shared" ref="D6143:D6206" si="95">IF(ISBLANK(B6143),"OK",IF(A6143-B6143=0,"OK","Error?"))</f>
        <v>Error?</v>
      </c>
      <c r="E6143" s="2" t="s">
        <v>190</v>
      </c>
    </row>
    <row r="6144" spans="1:5">
      <c r="A6144">
        <v>6083</v>
      </c>
      <c r="B6144" s="138">
        <f>'Assets-Liab 5-6'!E27</f>
        <v>0</v>
      </c>
      <c r="D6144" s="2" t="str">
        <f t="shared" si="95"/>
        <v>Error?</v>
      </c>
      <c r="E6144" s="2" t="s">
        <v>190</v>
      </c>
    </row>
    <row r="6145" spans="1:5">
      <c r="A6145">
        <v>6084</v>
      </c>
      <c r="B6145" s="138">
        <f>'Assets-Liab 5-6'!F27</f>
        <v>0</v>
      </c>
      <c r="D6145" s="2" t="str">
        <f t="shared" si="95"/>
        <v>Error?</v>
      </c>
      <c r="E6145" s="2" t="s">
        <v>190</v>
      </c>
    </row>
    <row r="6146" spans="1:5">
      <c r="A6146">
        <v>6085</v>
      </c>
      <c r="B6146" s="138">
        <f>'Assets-Liab 5-6'!G27</f>
        <v>0</v>
      </c>
      <c r="D6146" s="2" t="str">
        <f t="shared" si="95"/>
        <v>Error?</v>
      </c>
      <c r="E6146" s="2" t="s">
        <v>190</v>
      </c>
    </row>
    <row r="6147" spans="1:5">
      <c r="A6147">
        <v>6086</v>
      </c>
      <c r="B6147" s="138">
        <f>'Assets-Liab 5-6'!H27</f>
        <v>0</v>
      </c>
      <c r="D6147" s="2" t="str">
        <f t="shared" si="95"/>
        <v>Error?</v>
      </c>
      <c r="E6147" s="2" t="s">
        <v>190</v>
      </c>
    </row>
    <row r="6148" spans="1:5">
      <c r="A6148">
        <v>6087</v>
      </c>
      <c r="B6148" s="138">
        <f>'Assets-Liab 5-6'!I27</f>
        <v>0</v>
      </c>
      <c r="D6148" s="2" t="str">
        <f t="shared" si="95"/>
        <v>Error?</v>
      </c>
      <c r="E6148" s="2" t="s">
        <v>190</v>
      </c>
    </row>
    <row r="6149" spans="1:5">
      <c r="A6149">
        <v>6088</v>
      </c>
      <c r="B6149" s="138">
        <f>'Assets-Liab 5-6'!J27</f>
        <v>0</v>
      </c>
      <c r="D6149" s="2" t="str">
        <f t="shared" si="95"/>
        <v>Error?</v>
      </c>
      <c r="E6149" s="2" t="s">
        <v>190</v>
      </c>
    </row>
    <row r="6150" spans="1:5">
      <c r="A6150">
        <v>6089</v>
      </c>
      <c r="B6150" s="138">
        <f>'Assets-Liab 5-6'!K27</f>
        <v>0</v>
      </c>
      <c r="D6150" s="2" t="str">
        <f t="shared" si="95"/>
        <v>Error?</v>
      </c>
      <c r="E6150" s="2" t="s">
        <v>190</v>
      </c>
    </row>
    <row r="6151" spans="1:5">
      <c r="A6151">
        <v>6090</v>
      </c>
      <c r="B6151" s="138">
        <f>'Assets-Liab 5-6'!C28</f>
        <v>0</v>
      </c>
      <c r="D6151" s="2" t="str">
        <f t="shared" si="95"/>
        <v>Error?</v>
      </c>
      <c r="E6151" s="2" t="s">
        <v>190</v>
      </c>
    </row>
    <row r="6152" spans="1:5">
      <c r="A6152">
        <v>6091</v>
      </c>
      <c r="B6152" s="138">
        <f>'Assets-Liab 5-6'!D28</f>
        <v>0</v>
      </c>
      <c r="D6152" s="2" t="str">
        <f t="shared" si="95"/>
        <v>Error?</v>
      </c>
      <c r="E6152" s="2" t="s">
        <v>190</v>
      </c>
    </row>
    <row r="6153" spans="1:5">
      <c r="A6153">
        <v>6092</v>
      </c>
      <c r="B6153" s="138">
        <f>'Assets-Liab 5-6'!E28</f>
        <v>0</v>
      </c>
      <c r="D6153" s="2" t="str">
        <f t="shared" si="95"/>
        <v>Error?</v>
      </c>
      <c r="E6153" s="2" t="s">
        <v>190</v>
      </c>
    </row>
    <row r="6154" spans="1:5">
      <c r="A6154">
        <v>6093</v>
      </c>
      <c r="B6154" s="138">
        <f>'Assets-Liab 5-6'!F28</f>
        <v>0</v>
      </c>
      <c r="D6154" s="2" t="str">
        <f t="shared" si="95"/>
        <v>Error?</v>
      </c>
      <c r="E6154" s="2" t="s">
        <v>190</v>
      </c>
    </row>
    <row r="6155" spans="1:5">
      <c r="A6155">
        <v>6094</v>
      </c>
      <c r="B6155" s="138">
        <f>'Assets-Liab 5-6'!G28</f>
        <v>0</v>
      </c>
      <c r="D6155" s="2" t="str">
        <f t="shared" si="95"/>
        <v>Error?</v>
      </c>
      <c r="E6155" s="2" t="s">
        <v>190</v>
      </c>
    </row>
    <row r="6156" spans="1:5">
      <c r="A6156">
        <v>6095</v>
      </c>
      <c r="B6156" s="138">
        <f>'Assets-Liab 5-6'!H28</f>
        <v>0</v>
      </c>
      <c r="D6156" s="2" t="str">
        <f t="shared" si="95"/>
        <v>Error?</v>
      </c>
      <c r="E6156" s="2" t="s">
        <v>190</v>
      </c>
    </row>
    <row r="6157" spans="1:5">
      <c r="A6157">
        <v>6096</v>
      </c>
      <c r="B6157" s="138">
        <f>'Assets-Liab 5-6'!I28</f>
        <v>0</v>
      </c>
      <c r="D6157" s="2" t="str">
        <f t="shared" si="95"/>
        <v>Error?</v>
      </c>
      <c r="E6157" s="2" t="s">
        <v>190</v>
      </c>
    </row>
    <row r="6158" spans="1:5">
      <c r="A6158">
        <v>6097</v>
      </c>
      <c r="B6158" s="138">
        <f>'Assets-Liab 5-6'!J28</f>
        <v>0</v>
      </c>
      <c r="D6158" s="2" t="str">
        <f t="shared" si="95"/>
        <v>Error?</v>
      </c>
      <c r="E6158" s="2" t="s">
        <v>190</v>
      </c>
    </row>
    <row r="6159" spans="1:5">
      <c r="A6159">
        <v>6098</v>
      </c>
      <c r="B6159" s="138">
        <f>'Assets-Liab 5-6'!K28</f>
        <v>0</v>
      </c>
      <c r="D6159" s="2" t="str">
        <f t="shared" si="95"/>
        <v>Error?</v>
      </c>
      <c r="E6159" s="2" t="s">
        <v>190</v>
      </c>
    </row>
    <row r="6160" spans="1:5">
      <c r="A6160">
        <v>6099</v>
      </c>
      <c r="B6160" s="138">
        <f>'Assets-Liab 5-6'!C29</f>
        <v>0</v>
      </c>
      <c r="D6160" s="2" t="str">
        <f t="shared" si="95"/>
        <v>Error?</v>
      </c>
      <c r="E6160" s="2" t="s">
        <v>190</v>
      </c>
    </row>
    <row r="6161" spans="1:5">
      <c r="A6161">
        <v>6100</v>
      </c>
      <c r="B6161" s="138">
        <f>'Assets-Liab 5-6'!D29</f>
        <v>0</v>
      </c>
      <c r="D6161" s="2" t="str">
        <f t="shared" si="95"/>
        <v>Error?</v>
      </c>
      <c r="E6161" s="2" t="s">
        <v>190</v>
      </c>
    </row>
    <row r="6162" spans="1:5">
      <c r="A6162">
        <v>6101</v>
      </c>
      <c r="B6162" s="138">
        <f>'Assets-Liab 5-6'!E29</f>
        <v>0</v>
      </c>
      <c r="D6162" s="2" t="str">
        <f t="shared" si="95"/>
        <v>Error?</v>
      </c>
      <c r="E6162" s="2" t="s">
        <v>190</v>
      </c>
    </row>
    <row r="6163" spans="1:5">
      <c r="A6163">
        <v>6102</v>
      </c>
      <c r="B6163" s="138">
        <f>'Assets-Liab 5-6'!F29</f>
        <v>0</v>
      </c>
      <c r="D6163" s="2" t="str">
        <f t="shared" si="95"/>
        <v>Error?</v>
      </c>
      <c r="E6163" s="2" t="s">
        <v>190</v>
      </c>
    </row>
    <row r="6164" spans="1:5">
      <c r="A6164">
        <v>6103</v>
      </c>
      <c r="B6164" s="138">
        <f>'Assets-Liab 5-6'!G29</f>
        <v>0</v>
      </c>
      <c r="D6164" s="2" t="str">
        <f t="shared" si="95"/>
        <v>Error?</v>
      </c>
      <c r="E6164" s="2" t="s">
        <v>190</v>
      </c>
    </row>
    <row r="6165" spans="1:5">
      <c r="A6165">
        <v>6104</v>
      </c>
      <c r="B6165" s="138">
        <f>'Assets-Liab 5-6'!H29</f>
        <v>0</v>
      </c>
      <c r="D6165" s="2" t="str">
        <f t="shared" si="95"/>
        <v>Error?</v>
      </c>
      <c r="E6165" s="2" t="s">
        <v>190</v>
      </c>
    </row>
    <row r="6166" spans="1:5">
      <c r="A6166">
        <v>6105</v>
      </c>
      <c r="B6166" s="138">
        <f>'Assets-Liab 5-6'!I29</f>
        <v>0</v>
      </c>
      <c r="D6166" s="2" t="str">
        <f t="shared" si="95"/>
        <v>Error?</v>
      </c>
      <c r="E6166" s="2" t="s">
        <v>190</v>
      </c>
    </row>
    <row r="6167" spans="1:5">
      <c r="A6167">
        <v>6106</v>
      </c>
      <c r="B6167" s="138">
        <f>'Assets-Liab 5-6'!J29</f>
        <v>0</v>
      </c>
      <c r="D6167" s="2" t="str">
        <f t="shared" si="95"/>
        <v>Error?</v>
      </c>
      <c r="E6167" s="2" t="s">
        <v>190</v>
      </c>
    </row>
    <row r="6168" spans="1:5">
      <c r="A6168">
        <v>6107</v>
      </c>
      <c r="B6168" s="138">
        <f>'Assets-Liab 5-6'!K29</f>
        <v>0</v>
      </c>
      <c r="D6168" s="2" t="str">
        <f t="shared" si="95"/>
        <v>Error?</v>
      </c>
      <c r="E6168" s="2" t="s">
        <v>190</v>
      </c>
    </row>
    <row r="6169" spans="1:5">
      <c r="A6169">
        <v>6108</v>
      </c>
      <c r="B6169" s="138">
        <f>'Assets-Liab 5-6'!C30</f>
        <v>0</v>
      </c>
      <c r="D6169" s="2" t="str">
        <f t="shared" si="95"/>
        <v>Error?</v>
      </c>
      <c r="E6169" s="2" t="s">
        <v>190</v>
      </c>
    </row>
    <row r="6170" spans="1:5">
      <c r="A6170">
        <v>6109</v>
      </c>
      <c r="B6170" s="138">
        <f>'Assets-Liab 5-6'!D30</f>
        <v>0</v>
      </c>
      <c r="D6170" s="2" t="str">
        <f t="shared" si="95"/>
        <v>Error?</v>
      </c>
      <c r="E6170" s="2" t="s">
        <v>190</v>
      </c>
    </row>
    <row r="6171" spans="1:5">
      <c r="A6171">
        <v>6110</v>
      </c>
      <c r="B6171" s="138">
        <f>'Assets-Liab 5-6'!E30</f>
        <v>0</v>
      </c>
      <c r="D6171" s="2" t="str">
        <f t="shared" si="95"/>
        <v>Error?</v>
      </c>
      <c r="E6171" s="2" t="s">
        <v>190</v>
      </c>
    </row>
    <row r="6172" spans="1:5">
      <c r="A6172">
        <v>6111</v>
      </c>
      <c r="B6172" s="138">
        <f>'Assets-Liab 5-6'!F30</f>
        <v>0</v>
      </c>
      <c r="D6172" s="2" t="str">
        <f t="shared" si="95"/>
        <v>Error?</v>
      </c>
      <c r="E6172" s="2" t="s">
        <v>190</v>
      </c>
    </row>
    <row r="6173" spans="1:5">
      <c r="A6173">
        <v>6112</v>
      </c>
      <c r="B6173" s="138">
        <f>'Assets-Liab 5-6'!G30</f>
        <v>0</v>
      </c>
      <c r="D6173" s="2" t="str">
        <f t="shared" si="95"/>
        <v>Error?</v>
      </c>
      <c r="E6173" s="2" t="s">
        <v>190</v>
      </c>
    </row>
    <row r="6174" spans="1:5">
      <c r="A6174">
        <v>6113</v>
      </c>
      <c r="B6174" s="138">
        <f>'Assets-Liab 5-6'!H30</f>
        <v>0</v>
      </c>
      <c r="D6174" s="2" t="str">
        <f t="shared" si="95"/>
        <v>Error?</v>
      </c>
      <c r="E6174" s="2" t="s">
        <v>190</v>
      </c>
    </row>
    <row r="6175" spans="1:5">
      <c r="A6175">
        <v>6114</v>
      </c>
      <c r="B6175" s="138">
        <f>'Assets-Liab 5-6'!I30</f>
        <v>0</v>
      </c>
      <c r="D6175" s="2" t="str">
        <f t="shared" si="95"/>
        <v>Error?</v>
      </c>
      <c r="E6175" s="2" t="s">
        <v>190</v>
      </c>
    </row>
    <row r="6176" spans="1:5">
      <c r="A6176">
        <v>6115</v>
      </c>
      <c r="B6176" s="138">
        <f>'Assets-Liab 5-6'!J30</f>
        <v>0</v>
      </c>
      <c r="D6176" s="2" t="str">
        <f t="shared" si="95"/>
        <v>Error?</v>
      </c>
      <c r="E6176" s="2" t="s">
        <v>190</v>
      </c>
    </row>
    <row r="6177" spans="1:5">
      <c r="A6177">
        <v>6116</v>
      </c>
      <c r="B6177" s="138">
        <f>'Assets-Liab 5-6'!K30</f>
        <v>0</v>
      </c>
      <c r="D6177" s="2" t="str">
        <f t="shared" si="95"/>
        <v>Error?</v>
      </c>
      <c r="E6177" s="2" t="s">
        <v>190</v>
      </c>
    </row>
    <row r="6178" spans="1:5">
      <c r="A6178">
        <v>6117</v>
      </c>
      <c r="B6178" s="138">
        <f>'Assets-Liab 5-6'!E31</f>
        <v>0</v>
      </c>
      <c r="D6178" s="2" t="str">
        <f t="shared" si="95"/>
        <v>Error?</v>
      </c>
      <c r="E6178" s="2" t="s">
        <v>190</v>
      </c>
    </row>
    <row r="6179" spans="1:5">
      <c r="A6179">
        <v>6118</v>
      </c>
      <c r="B6179" s="138">
        <f>'Assets-Liab 5-6'!I31</f>
        <v>0</v>
      </c>
      <c r="D6179" s="2" t="str">
        <f t="shared" si="95"/>
        <v>Error?</v>
      </c>
      <c r="E6179" s="2" t="s">
        <v>190</v>
      </c>
    </row>
    <row r="6180" spans="1:5">
      <c r="A6180">
        <v>6119</v>
      </c>
      <c r="B6180" s="138">
        <f>'Assets-Liab 5-6'!J31</f>
        <v>0</v>
      </c>
      <c r="D6180" s="2" t="str">
        <f t="shared" si="95"/>
        <v>Error?</v>
      </c>
      <c r="E6180" s="2" t="s">
        <v>190</v>
      </c>
    </row>
    <row r="6181" spans="1:5">
      <c r="A6181">
        <v>6120</v>
      </c>
      <c r="B6181" s="138">
        <f>'Assets-Liab 5-6'!J32</f>
        <v>0</v>
      </c>
      <c r="D6181" s="2" t="str">
        <f t="shared" si="95"/>
        <v>Error?</v>
      </c>
      <c r="E6181" s="2" t="s">
        <v>190</v>
      </c>
    </row>
    <row r="6182" spans="1:5">
      <c r="A6182">
        <v>6121</v>
      </c>
      <c r="B6182" s="138">
        <f>'Assets-Liab 5-6'!C33</f>
        <v>0</v>
      </c>
      <c r="D6182" s="2" t="str">
        <f t="shared" si="95"/>
        <v>Error?</v>
      </c>
      <c r="E6182" s="2" t="s">
        <v>190</v>
      </c>
    </row>
    <row r="6183" spans="1:5">
      <c r="A6183">
        <v>6122</v>
      </c>
      <c r="B6183" s="138">
        <f>'Assets-Liab 5-6'!D33</f>
        <v>0</v>
      </c>
      <c r="D6183" s="2" t="str">
        <f t="shared" si="95"/>
        <v>Error?</v>
      </c>
      <c r="E6183" s="2" t="s">
        <v>190</v>
      </c>
    </row>
    <row r="6184" spans="1:5">
      <c r="A6184">
        <v>6123</v>
      </c>
      <c r="B6184" s="138">
        <f>'Assets-Liab 5-6'!E33</f>
        <v>0</v>
      </c>
      <c r="D6184" s="2" t="str">
        <f t="shared" si="95"/>
        <v>Error?</v>
      </c>
      <c r="E6184" s="2" t="s">
        <v>190</v>
      </c>
    </row>
    <row r="6185" spans="1:5">
      <c r="A6185">
        <v>6124</v>
      </c>
      <c r="B6185" s="138">
        <f>'Assets-Liab 5-6'!F33</f>
        <v>0</v>
      </c>
      <c r="D6185" s="2" t="str">
        <f t="shared" si="95"/>
        <v>Error?</v>
      </c>
      <c r="E6185" s="2" t="s">
        <v>190</v>
      </c>
    </row>
    <row r="6186" spans="1:5">
      <c r="A6186">
        <v>6125</v>
      </c>
      <c r="B6186" s="138">
        <f>'Assets-Liab 5-6'!G33</f>
        <v>0</v>
      </c>
      <c r="D6186" s="2" t="str">
        <f t="shared" si="95"/>
        <v>Error?</v>
      </c>
      <c r="E6186" s="2" t="s">
        <v>190</v>
      </c>
    </row>
    <row r="6187" spans="1:5">
      <c r="A6187">
        <v>6126</v>
      </c>
      <c r="B6187" s="138">
        <f>'Assets-Liab 5-6'!H33</f>
        <v>0</v>
      </c>
      <c r="D6187" s="2" t="str">
        <f t="shared" si="95"/>
        <v>Error?</v>
      </c>
      <c r="E6187" s="2" t="s">
        <v>190</v>
      </c>
    </row>
    <row r="6188" spans="1:5">
      <c r="A6188">
        <v>6127</v>
      </c>
      <c r="B6188" s="138">
        <f>'Assets-Liab 5-6'!I33</f>
        <v>0</v>
      </c>
      <c r="D6188" s="2" t="str">
        <f t="shared" si="95"/>
        <v>Error?</v>
      </c>
      <c r="E6188" s="2" t="s">
        <v>190</v>
      </c>
    </row>
    <row r="6189" spans="1:5">
      <c r="A6189">
        <v>6128</v>
      </c>
      <c r="B6189" s="138">
        <f>'Assets-Liab 5-6'!J33</f>
        <v>0</v>
      </c>
      <c r="D6189" s="2" t="str">
        <f t="shared" si="95"/>
        <v>Error?</v>
      </c>
      <c r="E6189" s="2" t="s">
        <v>190</v>
      </c>
    </row>
    <row r="6190" spans="1:5">
      <c r="A6190">
        <v>6129</v>
      </c>
      <c r="B6190" s="138">
        <f>'Assets-Liab 5-6'!K33</f>
        <v>0</v>
      </c>
      <c r="D6190" s="2" t="str">
        <f t="shared" si="95"/>
        <v>Error?</v>
      </c>
      <c r="E6190" s="2" t="s">
        <v>190</v>
      </c>
    </row>
    <row r="6191" spans="1:5">
      <c r="A6191">
        <v>6130</v>
      </c>
      <c r="B6191" s="138">
        <f>'Assets-Liab 5-6'!J34</f>
        <v>0</v>
      </c>
      <c r="D6191" s="2" t="str">
        <f t="shared" si="95"/>
        <v>Error?</v>
      </c>
      <c r="E6191" s="2" t="s">
        <v>190</v>
      </c>
    </row>
    <row r="6192" spans="1:5">
      <c r="A6192" s="129">
        <v>6131</v>
      </c>
      <c r="D6192" s="2" t="str">
        <f t="shared" si="95"/>
        <v>OK</v>
      </c>
      <c r="E6192" s="2" t="s">
        <v>136</v>
      </c>
    </row>
    <row r="6193" spans="1:5">
      <c r="A6193" s="129">
        <v>6132</v>
      </c>
      <c r="D6193" s="2" t="str">
        <f t="shared" si="95"/>
        <v>OK</v>
      </c>
      <c r="E6193" s="2" t="s">
        <v>136</v>
      </c>
    </row>
    <row r="6194" spans="1:5">
      <c r="A6194" s="129">
        <v>6133</v>
      </c>
      <c r="D6194" s="2" t="str">
        <f t="shared" si="95"/>
        <v>OK</v>
      </c>
      <c r="E6194" s="2" t="s">
        <v>136</v>
      </c>
    </row>
    <row r="6195" spans="1:5">
      <c r="A6195" s="129">
        <v>6134</v>
      </c>
      <c r="D6195" s="2" t="str">
        <f t="shared" si="95"/>
        <v>OK</v>
      </c>
      <c r="E6195" s="2" t="s">
        <v>136</v>
      </c>
    </row>
    <row r="6196" spans="1:5">
      <c r="A6196" s="129">
        <v>6135</v>
      </c>
      <c r="D6196" s="2" t="str">
        <f t="shared" si="95"/>
        <v>OK</v>
      </c>
      <c r="E6196" s="2" t="s">
        <v>136</v>
      </c>
    </row>
    <row r="6197" spans="1:5">
      <c r="A6197" s="129">
        <v>6136</v>
      </c>
      <c r="D6197" s="2" t="str">
        <f t="shared" si="95"/>
        <v>OK</v>
      </c>
      <c r="E6197" s="2" t="s">
        <v>136</v>
      </c>
    </row>
    <row r="6198" spans="1:5">
      <c r="A6198" s="129">
        <v>6137</v>
      </c>
      <c r="D6198" s="2" t="str">
        <f t="shared" si="95"/>
        <v>OK</v>
      </c>
      <c r="E6198" s="2" t="s">
        <v>136</v>
      </c>
    </row>
    <row r="6199" spans="1:5">
      <c r="A6199" s="129">
        <v>6138</v>
      </c>
      <c r="D6199" s="2" t="str">
        <f t="shared" si="95"/>
        <v>OK</v>
      </c>
      <c r="E6199" s="2" t="s">
        <v>136</v>
      </c>
    </row>
    <row r="6200" spans="1:5">
      <c r="A6200" s="129">
        <v>6139</v>
      </c>
      <c r="D6200" s="2" t="str">
        <f t="shared" si="95"/>
        <v>OK</v>
      </c>
      <c r="E6200" s="2" t="s">
        <v>136</v>
      </c>
    </row>
    <row r="6201" spans="1:5">
      <c r="A6201" s="129">
        <v>6140</v>
      </c>
      <c r="D6201" s="2" t="str">
        <f t="shared" si="95"/>
        <v>OK</v>
      </c>
      <c r="E6201" s="2" t="s">
        <v>136</v>
      </c>
    </row>
    <row r="6202" spans="1:5">
      <c r="A6202" s="129">
        <v>6141</v>
      </c>
      <c r="D6202" s="2" t="str">
        <f t="shared" si="95"/>
        <v>OK</v>
      </c>
      <c r="E6202" s="2" t="s">
        <v>136</v>
      </c>
    </row>
    <row r="6203" spans="1:5">
      <c r="A6203" s="129">
        <v>6142</v>
      </c>
      <c r="D6203" s="2" t="str">
        <f t="shared" si="95"/>
        <v>OK</v>
      </c>
      <c r="E6203" s="2" t="s">
        <v>136</v>
      </c>
    </row>
    <row r="6204" spans="1:5">
      <c r="A6204" s="129">
        <v>6143</v>
      </c>
      <c r="D6204" s="2" t="str">
        <f t="shared" si="95"/>
        <v>OK</v>
      </c>
      <c r="E6204" s="2" t="s">
        <v>136</v>
      </c>
    </row>
    <row r="6205" spans="1:5">
      <c r="A6205" s="129">
        <v>6144</v>
      </c>
      <c r="D6205" s="2" t="str">
        <f t="shared" si="95"/>
        <v>OK</v>
      </c>
      <c r="E6205" s="2" t="s">
        <v>136</v>
      </c>
    </row>
    <row r="6206" spans="1:5">
      <c r="A6206" s="129">
        <v>6145</v>
      </c>
      <c r="D6206" s="2" t="str">
        <f t="shared" si="95"/>
        <v>OK</v>
      </c>
      <c r="E6206" s="2" t="s">
        <v>136</v>
      </c>
    </row>
    <row r="6207" spans="1:5">
      <c r="A6207" s="129">
        <v>6146</v>
      </c>
      <c r="D6207" s="2" t="str">
        <f t="shared" ref="D6207:D6270" si="96">IF(ISBLANK(B6207),"OK",IF(A6207-B6207=0,"OK","Error?"))</f>
        <v>OK</v>
      </c>
      <c r="E6207" s="2" t="s">
        <v>136</v>
      </c>
    </row>
    <row r="6208" spans="1:5">
      <c r="A6208" s="129">
        <v>6147</v>
      </c>
      <c r="D6208" s="2" t="str">
        <f t="shared" si="96"/>
        <v>OK</v>
      </c>
      <c r="E6208" s="2" t="s">
        <v>136</v>
      </c>
    </row>
    <row r="6209" spans="1:5">
      <c r="A6209" s="129">
        <v>6148</v>
      </c>
      <c r="D6209" s="2" t="str">
        <f t="shared" si="96"/>
        <v>OK</v>
      </c>
      <c r="E6209" s="2" t="s">
        <v>136</v>
      </c>
    </row>
    <row r="6210" spans="1:5">
      <c r="A6210" s="129">
        <v>6149</v>
      </c>
      <c r="D6210" s="2" t="str">
        <f t="shared" si="96"/>
        <v>OK</v>
      </c>
      <c r="E6210" s="2" t="s">
        <v>136</v>
      </c>
    </row>
    <row r="6211" spans="1:5">
      <c r="A6211" s="129">
        <v>6150</v>
      </c>
      <c r="D6211" s="2" t="str">
        <f t="shared" si="96"/>
        <v>OK</v>
      </c>
      <c r="E6211" s="2" t="s">
        <v>136</v>
      </c>
    </row>
    <row r="6212" spans="1:5">
      <c r="A6212" s="129">
        <v>6151</v>
      </c>
      <c r="D6212" s="2" t="str">
        <f t="shared" si="96"/>
        <v>OK</v>
      </c>
      <c r="E6212" s="2" t="s">
        <v>136</v>
      </c>
    </row>
    <row r="6213" spans="1:5">
      <c r="A6213" s="129">
        <v>6152</v>
      </c>
      <c r="D6213" s="2" t="str">
        <f t="shared" si="96"/>
        <v>OK</v>
      </c>
      <c r="E6213" s="2" t="s">
        <v>136</v>
      </c>
    </row>
    <row r="6214" spans="1:5">
      <c r="A6214">
        <v>6153</v>
      </c>
      <c r="B6214" s="138">
        <f>'Assets-Liab 5-6'!J38</f>
        <v>0</v>
      </c>
      <c r="D6214" s="2" t="str">
        <f t="shared" si="96"/>
        <v>Error?</v>
      </c>
      <c r="E6214" s="2" t="s">
        <v>190</v>
      </c>
    </row>
    <row r="6215" spans="1:5">
      <c r="A6215">
        <v>6154</v>
      </c>
      <c r="B6215" s="138">
        <f>'Assets-Liab 5-6'!J39</f>
        <v>445677</v>
      </c>
      <c r="D6215" s="2" t="str">
        <f t="shared" si="96"/>
        <v>Error?</v>
      </c>
      <c r="E6215" s="2" t="s">
        <v>190</v>
      </c>
    </row>
    <row r="6216" spans="1:5">
      <c r="A6216">
        <v>6155</v>
      </c>
      <c r="B6216" s="138">
        <f>'Assets-Liab 5-6'!J41</f>
        <v>445677</v>
      </c>
      <c r="D6216" s="2" t="str">
        <f t="shared" si="96"/>
        <v>Error?</v>
      </c>
      <c r="E6216" s="2" t="s">
        <v>190</v>
      </c>
    </row>
    <row r="6217" spans="1:5">
      <c r="A6217">
        <v>6156</v>
      </c>
      <c r="B6217" s="138">
        <f>'Assets-Liab 5-6'!J4</f>
        <v>0</v>
      </c>
      <c r="D6217" s="2" t="str">
        <f t="shared" si="96"/>
        <v>Error?</v>
      </c>
      <c r="E6217" s="2" t="s">
        <v>190</v>
      </c>
    </row>
    <row r="6218" spans="1:5">
      <c r="A6218">
        <v>6157</v>
      </c>
      <c r="B6218" s="138">
        <f>'Assets-Liab 5-6'!J5</f>
        <v>445677</v>
      </c>
      <c r="D6218" s="2" t="str">
        <f t="shared" si="96"/>
        <v>Error?</v>
      </c>
      <c r="E6218" s="2" t="s">
        <v>190</v>
      </c>
    </row>
    <row r="6219" spans="1:5">
      <c r="A6219">
        <v>6158</v>
      </c>
      <c r="B6219" s="138">
        <f>'Assets-Liab 5-6'!J6</f>
        <v>0</v>
      </c>
      <c r="D6219" s="2" t="str">
        <f t="shared" si="96"/>
        <v>Error?</v>
      </c>
      <c r="E6219" s="2" t="s">
        <v>190</v>
      </c>
    </row>
    <row r="6220" spans="1:5">
      <c r="A6220">
        <v>6159</v>
      </c>
      <c r="B6220" s="138">
        <f>'Acct Summary 7-8'!J4</f>
        <v>912007</v>
      </c>
      <c r="D6220" s="2" t="str">
        <f t="shared" si="96"/>
        <v>Error?</v>
      </c>
      <c r="E6220" s="2" t="s">
        <v>190</v>
      </c>
    </row>
    <row r="6221" spans="1:5">
      <c r="A6221">
        <v>6160</v>
      </c>
      <c r="B6221" s="138">
        <f>'Acct Summary 7-8'!J6</f>
        <v>0</v>
      </c>
      <c r="D6221" s="2" t="str">
        <f t="shared" si="96"/>
        <v>Error?</v>
      </c>
      <c r="E6221" s="2" t="s">
        <v>190</v>
      </c>
    </row>
    <row r="6222" spans="1:5">
      <c r="A6222">
        <v>6161</v>
      </c>
      <c r="B6222" s="138">
        <f>'Acct Summary 7-8'!J7</f>
        <v>0</v>
      </c>
      <c r="D6222" s="2" t="str">
        <f t="shared" si="96"/>
        <v>Error?</v>
      </c>
      <c r="E6222" s="2" t="s">
        <v>190</v>
      </c>
    </row>
    <row r="6223" spans="1:5">
      <c r="A6223">
        <v>6162</v>
      </c>
      <c r="B6223" s="138">
        <f>'Acct Summary 7-8'!J8</f>
        <v>912007</v>
      </c>
      <c r="D6223" s="2" t="str">
        <f t="shared" si="96"/>
        <v>Error?</v>
      </c>
      <c r="E6223" s="2" t="s">
        <v>190</v>
      </c>
    </row>
    <row r="6224" spans="1:5">
      <c r="A6224">
        <v>6163</v>
      </c>
      <c r="B6224" s="138">
        <f>'Acct Summary 7-8'!J9</f>
        <v>0</v>
      </c>
      <c r="D6224" s="2" t="str">
        <f t="shared" si="96"/>
        <v>Error?</v>
      </c>
      <c r="E6224" s="2" t="s">
        <v>190</v>
      </c>
    </row>
    <row r="6225" spans="1:5">
      <c r="A6225">
        <v>6164</v>
      </c>
      <c r="B6225" s="138">
        <f>'Acct Summary 7-8'!J10</f>
        <v>912007</v>
      </c>
      <c r="D6225" s="2" t="str">
        <f t="shared" si="96"/>
        <v>Error?</v>
      </c>
      <c r="E6225" s="2" t="s">
        <v>190</v>
      </c>
    </row>
    <row r="6226" spans="1:5">
      <c r="A6226">
        <v>6165</v>
      </c>
      <c r="B6226" s="138">
        <f>'Acct Summary 7-8'!J16</f>
        <v>0</v>
      </c>
      <c r="D6226" s="2" t="str">
        <f t="shared" si="96"/>
        <v>Error?</v>
      </c>
      <c r="E6226" s="2" t="s">
        <v>190</v>
      </c>
    </row>
    <row r="6227" spans="1:5">
      <c r="A6227">
        <v>6166</v>
      </c>
      <c r="B6227" s="138">
        <f>'Acct Summary 7-8'!J17</f>
        <v>798154</v>
      </c>
      <c r="D6227" s="2" t="str">
        <f t="shared" si="96"/>
        <v>Error?</v>
      </c>
      <c r="E6227" s="2" t="s">
        <v>190</v>
      </c>
    </row>
    <row r="6228" spans="1:5">
      <c r="A6228">
        <v>6167</v>
      </c>
      <c r="B6228" s="138">
        <f>'Acct Summary 7-8'!J18</f>
        <v>0</v>
      </c>
      <c r="D6228" s="2" t="str">
        <f t="shared" si="96"/>
        <v>Error?</v>
      </c>
      <c r="E6228" s="2" t="s">
        <v>190</v>
      </c>
    </row>
    <row r="6229" spans="1:5">
      <c r="A6229">
        <v>6168</v>
      </c>
      <c r="B6229" s="138">
        <f>'Acct Summary 7-8'!J19</f>
        <v>798154</v>
      </c>
      <c r="D6229" s="2" t="str">
        <f t="shared" si="96"/>
        <v>Error?</v>
      </c>
      <c r="E6229" s="2" t="s">
        <v>190</v>
      </c>
    </row>
    <row r="6230" spans="1:5">
      <c r="A6230">
        <v>6169</v>
      </c>
      <c r="B6230" s="138">
        <f>'Acct Summary 7-8'!J20</f>
        <v>113853</v>
      </c>
      <c r="D6230" s="2" t="str">
        <f t="shared" si="96"/>
        <v>Error?</v>
      </c>
      <c r="E6230" s="2" t="s">
        <v>190</v>
      </c>
    </row>
    <row r="6231" spans="1:5">
      <c r="A6231">
        <v>6170</v>
      </c>
      <c r="B6231" s="138">
        <f>'Acct Summary 7-8'!J26</f>
        <v>0</v>
      </c>
      <c r="D6231" s="2" t="str">
        <f t="shared" si="96"/>
        <v>Error?</v>
      </c>
      <c r="E6231" s="2" t="s">
        <v>190</v>
      </c>
    </row>
    <row r="6232" spans="1:5">
      <c r="A6232">
        <v>6171</v>
      </c>
      <c r="B6232" s="138">
        <f>'Acct Summary 7-8'!J28</f>
        <v>0</v>
      </c>
      <c r="D6232" s="2" t="str">
        <f t="shared" si="96"/>
        <v>Error?</v>
      </c>
      <c r="E6232" s="2" t="s">
        <v>190</v>
      </c>
    </row>
    <row r="6233" spans="1:5">
      <c r="A6233">
        <v>6172</v>
      </c>
      <c r="B6233" s="138">
        <f>'Acct Summary 7-8'!J33</f>
        <v>0</v>
      </c>
      <c r="D6233" s="2" t="str">
        <f t="shared" si="96"/>
        <v>Error?</v>
      </c>
      <c r="E6233" s="2" t="s">
        <v>190</v>
      </c>
    </row>
    <row r="6234" spans="1:5">
      <c r="A6234">
        <v>6173</v>
      </c>
      <c r="B6234" s="138">
        <f>'Acct Summary 7-8'!J34</f>
        <v>0</v>
      </c>
      <c r="D6234" s="2" t="str">
        <f t="shared" si="96"/>
        <v>Error?</v>
      </c>
      <c r="E6234" s="2" t="s">
        <v>190</v>
      </c>
    </row>
    <row r="6235" spans="1:5">
      <c r="A6235">
        <v>6174</v>
      </c>
      <c r="B6235" s="138">
        <f>'Acct Summary 7-8'!J35</f>
        <v>0</v>
      </c>
      <c r="D6235" s="2" t="str">
        <f t="shared" si="96"/>
        <v>Error?</v>
      </c>
      <c r="E6235" s="2" t="s">
        <v>190</v>
      </c>
    </row>
    <row r="6236" spans="1:5">
      <c r="A6236">
        <v>6175</v>
      </c>
      <c r="B6236" s="138">
        <f>'Acct Summary 7-8'!J36</f>
        <v>0</v>
      </c>
      <c r="D6236" s="2" t="str">
        <f t="shared" si="96"/>
        <v>Error?</v>
      </c>
      <c r="E6236" s="2" t="s">
        <v>190</v>
      </c>
    </row>
    <row r="6237" spans="1:5">
      <c r="A6237">
        <v>6176</v>
      </c>
      <c r="B6237" s="138">
        <f>'Acct Summary 7-8'!J43</f>
        <v>0</v>
      </c>
      <c r="D6237" s="2" t="str">
        <f t="shared" si="96"/>
        <v>Error?</v>
      </c>
      <c r="E6237" s="2" t="s">
        <v>190</v>
      </c>
    </row>
    <row r="6238" spans="1:5">
      <c r="A6238">
        <v>6177</v>
      </c>
      <c r="B6238" s="138">
        <f>'Acct Summary 7-8'!J44</f>
        <v>0</v>
      </c>
      <c r="D6238" s="2" t="str">
        <f t="shared" si="96"/>
        <v>Error?</v>
      </c>
      <c r="E6238" s="2" t="s">
        <v>190</v>
      </c>
    </row>
    <row r="6239" spans="1:5">
      <c r="A6239">
        <v>6178</v>
      </c>
      <c r="B6239" s="138">
        <f>'Acct Summary 7-8'!J50</f>
        <v>0</v>
      </c>
      <c r="D6239" s="2" t="str">
        <f t="shared" si="96"/>
        <v>Error?</v>
      </c>
      <c r="E6239" s="2" t="s">
        <v>190</v>
      </c>
    </row>
    <row r="6240" spans="1:5">
      <c r="A6240">
        <v>6179</v>
      </c>
      <c r="B6240" s="138">
        <f>'Acct Summary 7-8'!C54</f>
        <v>0</v>
      </c>
      <c r="D6240" s="2" t="str">
        <f t="shared" si="96"/>
        <v>Error?</v>
      </c>
      <c r="E6240" s="2" t="s">
        <v>190</v>
      </c>
    </row>
    <row r="6241" spans="1:5">
      <c r="A6241">
        <v>6180</v>
      </c>
      <c r="B6241" s="138">
        <f>'Acct Summary 7-8'!D54</f>
        <v>0</v>
      </c>
      <c r="D6241" s="2" t="str">
        <f t="shared" si="96"/>
        <v>Error?</v>
      </c>
      <c r="E6241" s="2" t="s">
        <v>190</v>
      </c>
    </row>
    <row r="6242" spans="1:5">
      <c r="A6242">
        <v>6181</v>
      </c>
      <c r="B6242" s="138">
        <f>'Acct Summary 7-8'!H54</f>
        <v>0</v>
      </c>
      <c r="D6242" s="2" t="str">
        <f t="shared" si="96"/>
        <v>Error?</v>
      </c>
      <c r="E6242" s="2" t="s">
        <v>190</v>
      </c>
    </row>
    <row r="6243" spans="1:5">
      <c r="A6243">
        <v>6182</v>
      </c>
      <c r="B6243" s="138">
        <f>'Acct Summary 7-8'!C58</f>
        <v>0</v>
      </c>
      <c r="D6243" s="2" t="str">
        <f t="shared" si="96"/>
        <v>Error?</v>
      </c>
      <c r="E6243" s="2" t="s">
        <v>190</v>
      </c>
    </row>
    <row r="6244" spans="1:5">
      <c r="A6244">
        <v>6183</v>
      </c>
      <c r="B6244" s="138">
        <f>'Acct Summary 7-8'!D58</f>
        <v>0</v>
      </c>
      <c r="D6244" s="2" t="str">
        <f t="shared" si="96"/>
        <v>Error?</v>
      </c>
      <c r="E6244" s="2" t="s">
        <v>190</v>
      </c>
    </row>
    <row r="6245" spans="1:5">
      <c r="A6245">
        <v>6184</v>
      </c>
      <c r="B6245" s="138">
        <f>'Acct Summary 7-8'!H58</f>
        <v>0</v>
      </c>
      <c r="D6245" s="2" t="str">
        <f t="shared" si="96"/>
        <v>Error?</v>
      </c>
      <c r="E6245" s="2" t="s">
        <v>190</v>
      </c>
    </row>
    <row r="6246" spans="1:5">
      <c r="A6246">
        <v>6185</v>
      </c>
      <c r="B6246" s="138">
        <f>'Acct Summary 7-8'!C62</f>
        <v>0</v>
      </c>
      <c r="D6246" s="2" t="str">
        <f t="shared" si="96"/>
        <v>Error?</v>
      </c>
      <c r="E6246" s="2" t="s">
        <v>190</v>
      </c>
    </row>
    <row r="6247" spans="1:5">
      <c r="A6247">
        <v>6186</v>
      </c>
      <c r="B6247" s="138">
        <f>'Acct Summary 7-8'!D62</f>
        <v>0</v>
      </c>
      <c r="D6247" s="2" t="str">
        <f t="shared" si="96"/>
        <v>Error?</v>
      </c>
      <c r="E6247" s="2" t="s">
        <v>190</v>
      </c>
    </row>
    <row r="6248" spans="1:5">
      <c r="A6248">
        <v>6187</v>
      </c>
      <c r="B6248" s="138">
        <f>'Acct Summary 7-8'!C66</f>
        <v>0</v>
      </c>
      <c r="D6248" s="2" t="str">
        <f t="shared" si="96"/>
        <v>Error?</v>
      </c>
      <c r="E6248" s="2" t="s">
        <v>190</v>
      </c>
    </row>
    <row r="6249" spans="1:5">
      <c r="A6249">
        <v>6188</v>
      </c>
      <c r="B6249" s="138">
        <f>'Acct Summary 7-8'!D66</f>
        <v>0</v>
      </c>
      <c r="D6249" s="2" t="str">
        <f t="shared" si="96"/>
        <v>Error?</v>
      </c>
      <c r="E6249" s="2" t="s">
        <v>190</v>
      </c>
    </row>
    <row r="6250" spans="1:5">
      <c r="A6250">
        <v>6189</v>
      </c>
      <c r="B6250" s="138">
        <f>'Acct Summary 7-8'!C70</f>
        <v>0</v>
      </c>
      <c r="D6250" s="2" t="str">
        <f t="shared" si="96"/>
        <v>Error?</v>
      </c>
      <c r="E6250" s="2" t="s">
        <v>190</v>
      </c>
    </row>
    <row r="6251" spans="1:5">
      <c r="A6251">
        <v>6190</v>
      </c>
      <c r="B6251" s="138">
        <f>'Acct Summary 7-8'!D70</f>
        <v>0</v>
      </c>
      <c r="D6251" s="2" t="str">
        <f t="shared" si="96"/>
        <v>Error?</v>
      </c>
      <c r="E6251" s="2" t="s">
        <v>190</v>
      </c>
    </row>
    <row r="6252" spans="1:5">
      <c r="A6252">
        <v>6191</v>
      </c>
      <c r="B6252" s="138">
        <f>'Acct Summary 7-8'!C74</f>
        <v>0</v>
      </c>
      <c r="D6252" s="2" t="str">
        <f t="shared" si="96"/>
        <v>Error?</v>
      </c>
      <c r="E6252" s="2" t="s">
        <v>190</v>
      </c>
    </row>
    <row r="6253" spans="1:5">
      <c r="A6253">
        <v>6192</v>
      </c>
      <c r="B6253" s="138">
        <f>'Acct Summary 7-8'!D74</f>
        <v>0</v>
      </c>
      <c r="D6253" s="2" t="str">
        <f t="shared" si="96"/>
        <v>Error?</v>
      </c>
      <c r="E6253" s="2" t="s">
        <v>190</v>
      </c>
    </row>
    <row r="6254" spans="1:5">
      <c r="A6254">
        <v>6193</v>
      </c>
      <c r="B6254" s="138">
        <f>'Acct Summary 7-8'!F74</f>
        <v>0</v>
      </c>
      <c r="D6254" s="2" t="str">
        <f t="shared" si="96"/>
        <v>Error?</v>
      </c>
      <c r="E6254" s="2" t="s">
        <v>190</v>
      </c>
    </row>
    <row r="6255" spans="1:5">
      <c r="A6255">
        <v>6194</v>
      </c>
      <c r="B6255" s="138">
        <f>'Acct Summary 7-8'!G74</f>
        <v>0</v>
      </c>
      <c r="D6255" s="2" t="str">
        <f t="shared" si="96"/>
        <v>Error?</v>
      </c>
      <c r="E6255" s="2" t="s">
        <v>190</v>
      </c>
    </row>
    <row r="6256" spans="1:5">
      <c r="A6256">
        <v>6195</v>
      </c>
      <c r="B6256" s="138">
        <f>'Acct Summary 7-8'!H74</f>
        <v>0</v>
      </c>
      <c r="D6256" s="2" t="str">
        <f t="shared" si="96"/>
        <v>Error?</v>
      </c>
      <c r="E6256" s="2" t="s">
        <v>190</v>
      </c>
    </row>
    <row r="6257" spans="1:5">
      <c r="A6257">
        <v>6196</v>
      </c>
      <c r="B6257" s="138">
        <f>'Acct Summary 7-8'!K74</f>
        <v>0</v>
      </c>
      <c r="D6257" s="2" t="str">
        <f t="shared" si="96"/>
        <v>Error?</v>
      </c>
      <c r="E6257" s="2" t="s">
        <v>190</v>
      </c>
    </row>
    <row r="6258" spans="1:5">
      <c r="A6258">
        <v>6197</v>
      </c>
      <c r="B6258" s="138">
        <f>'Acct Summary 7-8'!G75</f>
        <v>0</v>
      </c>
      <c r="D6258" s="2" t="str">
        <f t="shared" si="96"/>
        <v>Error?</v>
      </c>
      <c r="E6258" s="2" t="s">
        <v>190</v>
      </c>
    </row>
    <row r="6259" spans="1:5">
      <c r="A6259">
        <v>6198</v>
      </c>
      <c r="B6259" s="138">
        <f>'Acct Summary 7-8'!I75</f>
        <v>0</v>
      </c>
      <c r="D6259" s="2" t="str">
        <f t="shared" si="96"/>
        <v>Error?</v>
      </c>
      <c r="E6259" s="2" t="s">
        <v>190</v>
      </c>
    </row>
    <row r="6260" spans="1:5">
      <c r="A6260">
        <v>6199</v>
      </c>
      <c r="B6260" s="138">
        <f>'Acct Summary 7-8'!J75</f>
        <v>0</v>
      </c>
      <c r="D6260" s="2" t="str">
        <f t="shared" si="96"/>
        <v>Error?</v>
      </c>
      <c r="E6260" s="2" t="s">
        <v>190</v>
      </c>
    </row>
    <row r="6261" spans="1:5">
      <c r="A6261">
        <v>6200</v>
      </c>
      <c r="B6261" s="138">
        <f>'Acct Summary 7-8'!J76</f>
        <v>0</v>
      </c>
      <c r="D6261" s="2" t="str">
        <f t="shared" si="96"/>
        <v>Error?</v>
      </c>
      <c r="E6261" s="2" t="s">
        <v>190</v>
      </c>
    </row>
    <row r="6262" spans="1:5">
      <c r="A6262">
        <v>6201</v>
      </c>
      <c r="B6262" s="138">
        <f>'Acct Summary 7-8'!J77</f>
        <v>0</v>
      </c>
      <c r="D6262" s="2" t="str">
        <f t="shared" si="96"/>
        <v>Error?</v>
      </c>
      <c r="E6262" s="2" t="s">
        <v>190</v>
      </c>
    </row>
    <row r="6263" spans="1:5">
      <c r="A6263">
        <v>6202</v>
      </c>
      <c r="B6263" s="138">
        <f>'Acct Summary 7-8'!J78</f>
        <v>113853</v>
      </c>
      <c r="D6263" s="2" t="str">
        <f t="shared" si="96"/>
        <v>Error?</v>
      </c>
      <c r="E6263" s="2" t="s">
        <v>190</v>
      </c>
    </row>
    <row r="6264" spans="1:5">
      <c r="A6264">
        <v>6203</v>
      </c>
      <c r="B6264" s="138">
        <f>'Acct Summary 7-8'!J79</f>
        <v>331824</v>
      </c>
      <c r="D6264" s="2" t="str">
        <f t="shared" si="96"/>
        <v>Error?</v>
      </c>
      <c r="E6264" s="2" t="s">
        <v>190</v>
      </c>
    </row>
    <row r="6265" spans="1:5">
      <c r="A6265">
        <v>6204</v>
      </c>
      <c r="B6265" s="138">
        <f>'Acct Summary 7-8'!J80</f>
        <v>0</v>
      </c>
      <c r="D6265" s="2" t="str">
        <f t="shared" si="96"/>
        <v>Error?</v>
      </c>
      <c r="E6265" s="2" t="s">
        <v>190</v>
      </c>
    </row>
    <row r="6266" spans="1:5">
      <c r="A6266">
        <v>6205</v>
      </c>
      <c r="B6266" s="138">
        <f>'Acct Summary 7-8'!J81</f>
        <v>445677</v>
      </c>
      <c r="D6266" s="2" t="str">
        <f t="shared" si="96"/>
        <v>Error?</v>
      </c>
      <c r="E6266" s="2" t="s">
        <v>190</v>
      </c>
    </row>
    <row r="6267" spans="1:5">
      <c r="A6267">
        <v>6206</v>
      </c>
      <c r="B6267" s="138">
        <f>'Acct Summary 7-8'!C82</f>
        <v>2963848</v>
      </c>
      <c r="D6267" s="2" t="str">
        <f t="shared" si="96"/>
        <v>Error?</v>
      </c>
      <c r="E6267" s="2" t="s">
        <v>190</v>
      </c>
    </row>
    <row r="6268" spans="1:5">
      <c r="A6268">
        <v>6207</v>
      </c>
      <c r="B6268" s="138">
        <f>'Acct Summary 7-8'!D82</f>
        <v>252101</v>
      </c>
      <c r="D6268" s="2" t="str">
        <f t="shared" si="96"/>
        <v>Error?</v>
      </c>
      <c r="E6268" s="2" t="s">
        <v>190</v>
      </c>
    </row>
    <row r="6269" spans="1:5">
      <c r="A6269">
        <v>6208</v>
      </c>
      <c r="B6269" s="138">
        <f>'Acct Summary 7-8'!E82</f>
        <v>125405</v>
      </c>
      <c r="D6269" s="2" t="str">
        <f t="shared" si="96"/>
        <v>Error?</v>
      </c>
      <c r="E6269" s="2" t="s">
        <v>190</v>
      </c>
    </row>
    <row r="6270" spans="1:5">
      <c r="A6270">
        <v>6209</v>
      </c>
      <c r="B6270" s="138">
        <f>'Acct Summary 7-8'!F82</f>
        <v>155977</v>
      </c>
      <c r="D6270" s="2" t="str">
        <f t="shared" si="96"/>
        <v>Error?</v>
      </c>
      <c r="E6270" s="2" t="s">
        <v>190</v>
      </c>
    </row>
    <row r="6271" spans="1:5">
      <c r="A6271">
        <v>6210</v>
      </c>
      <c r="B6271" s="138">
        <f>'Acct Summary 7-8'!G82</f>
        <v>223176</v>
      </c>
      <c r="D6271" s="2" t="str">
        <f t="shared" ref="D6271:D6334" si="97">IF(ISBLANK(B6271),"OK",IF(A6271-B6271=0,"OK","Error?"))</f>
        <v>Error?</v>
      </c>
      <c r="E6271" s="2" t="s">
        <v>190</v>
      </c>
    </row>
    <row r="6272" spans="1:5">
      <c r="A6272">
        <v>6211</v>
      </c>
      <c r="B6272" s="138">
        <f>'Acct Summary 7-8'!H82</f>
        <v>565041</v>
      </c>
      <c r="D6272" s="2" t="str">
        <f t="shared" si="97"/>
        <v>Error?</v>
      </c>
      <c r="E6272" s="2" t="s">
        <v>190</v>
      </c>
    </row>
    <row r="6273" spans="1:5">
      <c r="A6273">
        <v>6212</v>
      </c>
      <c r="B6273" s="138">
        <f>'Acct Summary 7-8'!I82</f>
        <v>-714729</v>
      </c>
      <c r="D6273" s="2" t="str">
        <f t="shared" si="97"/>
        <v>Error?</v>
      </c>
      <c r="E6273" s="2" t="s">
        <v>190</v>
      </c>
    </row>
    <row r="6274" spans="1:5">
      <c r="A6274">
        <v>6213</v>
      </c>
      <c r="B6274" s="138">
        <f>'Acct Summary 7-8'!J82</f>
        <v>113853</v>
      </c>
      <c r="D6274" s="2" t="str">
        <f t="shared" si="97"/>
        <v>Error?</v>
      </c>
      <c r="E6274" s="2" t="s">
        <v>190</v>
      </c>
    </row>
    <row r="6275" spans="1:5">
      <c r="A6275">
        <v>6214</v>
      </c>
      <c r="B6275" s="138">
        <f>'Acct Summary 7-8'!K82</f>
        <v>-18535</v>
      </c>
      <c r="D6275" s="2" t="str">
        <f t="shared" si="97"/>
        <v>Error?</v>
      </c>
      <c r="E6275" s="2" t="s">
        <v>190</v>
      </c>
    </row>
    <row r="6276" spans="1:5">
      <c r="A6276">
        <v>6215</v>
      </c>
      <c r="B6276" s="138">
        <f>'Acct Summary 7-8'!C83</f>
        <v>0.52353465486097883</v>
      </c>
      <c r="D6276" s="2" t="str">
        <f t="shared" si="97"/>
        <v>Error?</v>
      </c>
      <c r="E6276" s="2" t="s">
        <v>190</v>
      </c>
    </row>
    <row r="6277" spans="1:5">
      <c r="A6277">
        <v>6216</v>
      </c>
      <c r="B6277" s="138">
        <f>'Acct Summary 7-8'!D83</f>
        <v>0.31372780829452712</v>
      </c>
      <c r="D6277" s="2" t="str">
        <f t="shared" si="97"/>
        <v>Error?</v>
      </c>
      <c r="E6277" s="2" t="s">
        <v>190</v>
      </c>
    </row>
    <row r="6278" spans="1:5">
      <c r="A6278">
        <v>6217</v>
      </c>
      <c r="B6278" s="138">
        <f>'Acct Summary 7-8'!E83</f>
        <v>4.3069400102208472E-2</v>
      </c>
      <c r="D6278" s="2" t="str">
        <f t="shared" si="97"/>
        <v>Error?</v>
      </c>
      <c r="E6278" s="2" t="s">
        <v>190</v>
      </c>
    </row>
    <row r="6279" spans="1:5">
      <c r="A6279">
        <v>6218</v>
      </c>
      <c r="B6279" s="138">
        <f>'Acct Summary 7-8'!F83</f>
        <v>0.37307574554395767</v>
      </c>
      <c r="D6279" s="2" t="str">
        <f t="shared" si="97"/>
        <v>Error?</v>
      </c>
      <c r="E6279" s="2" t="s">
        <v>190</v>
      </c>
    </row>
    <row r="6280" spans="1:5">
      <c r="A6280">
        <v>6219</v>
      </c>
      <c r="B6280" s="138">
        <f>'Acct Summary 7-8'!G83</f>
        <v>0.63388046432760825</v>
      </c>
      <c r="D6280" s="2" t="str">
        <f t="shared" si="97"/>
        <v>Error?</v>
      </c>
      <c r="E6280" s="2" t="s">
        <v>190</v>
      </c>
    </row>
    <row r="6281" spans="1:5">
      <c r="A6281">
        <v>6220</v>
      </c>
      <c r="B6281" s="138">
        <f>'Acct Summary 7-8'!H83</f>
        <v>0.71441883400134021</v>
      </c>
      <c r="D6281" s="2" t="str">
        <f t="shared" si="97"/>
        <v>Error?</v>
      </c>
      <c r="E6281" s="2" t="s">
        <v>190</v>
      </c>
    </row>
    <row r="6282" spans="1:5">
      <c r="A6282">
        <v>6221</v>
      </c>
      <c r="B6282" s="138">
        <f>'Acct Summary 7-8'!I83</f>
        <v>-0.16919694250543826</v>
      </c>
      <c r="D6282" s="2" t="str">
        <f t="shared" si="97"/>
        <v>Error?</v>
      </c>
      <c r="E6282" s="2" t="s">
        <v>190</v>
      </c>
    </row>
    <row r="6283" spans="1:5">
      <c r="A6283">
        <v>6222</v>
      </c>
      <c r="B6283" s="138">
        <f>'Acct Summary 7-8'!J83</f>
        <v>0.25546079335482874</v>
      </c>
      <c r="D6283" s="2" t="str">
        <f t="shared" si="97"/>
        <v>Error?</v>
      </c>
      <c r="E6283" s="2" t="s">
        <v>190</v>
      </c>
    </row>
    <row r="6284" spans="1:5">
      <c r="A6284">
        <v>6223</v>
      </c>
      <c r="B6284" s="138">
        <f>'Acct Summary 7-8'!K83</f>
        <v>-6.922631608433398E-2</v>
      </c>
      <c r="D6284" s="2" t="str">
        <f t="shared" si="97"/>
        <v>Error?</v>
      </c>
      <c r="E6284" s="2" t="s">
        <v>190</v>
      </c>
    </row>
    <row r="6285" spans="1:5">
      <c r="A6285">
        <v>6224</v>
      </c>
      <c r="B6285" s="138">
        <f>'Acct Summary 7-8'!E37</f>
        <v>0</v>
      </c>
      <c r="D6285" s="2" t="str">
        <f t="shared" si="97"/>
        <v>Error?</v>
      </c>
      <c r="E6285" s="2" t="s">
        <v>190</v>
      </c>
    </row>
    <row r="6286" spans="1:5">
      <c r="A6286">
        <v>6225</v>
      </c>
      <c r="B6286" s="138">
        <f>'Acct Summary 7-8'!E38</f>
        <v>0</v>
      </c>
      <c r="D6286" s="2" t="str">
        <f t="shared" si="97"/>
        <v>Error?</v>
      </c>
      <c r="E6286" s="2" t="s">
        <v>190</v>
      </c>
    </row>
    <row r="6287" spans="1:5">
      <c r="A6287">
        <v>6226</v>
      </c>
      <c r="B6287" s="138">
        <f>'Acct Summary 7-8'!E39</f>
        <v>0</v>
      </c>
      <c r="D6287" s="2" t="str">
        <f t="shared" si="97"/>
        <v>Error?</v>
      </c>
      <c r="E6287" s="2" t="s">
        <v>190</v>
      </c>
    </row>
    <row r="6288" spans="1:5">
      <c r="A6288">
        <v>6227</v>
      </c>
      <c r="B6288" s="138">
        <f>'Acct Summary 7-8'!E40</f>
        <v>0</v>
      </c>
      <c r="D6288" s="2" t="str">
        <f t="shared" si="97"/>
        <v>Error?</v>
      </c>
      <c r="E6288" s="2" t="s">
        <v>190</v>
      </c>
    </row>
    <row r="6289" spans="1:5">
      <c r="A6289">
        <v>6228</v>
      </c>
      <c r="B6289" s="138">
        <f>'Acct Summary 7-8'!H41</f>
        <v>0</v>
      </c>
      <c r="D6289" s="2" t="str">
        <f t="shared" si="97"/>
        <v>Error?</v>
      </c>
      <c r="E6289" s="2" t="s">
        <v>190</v>
      </c>
    </row>
    <row r="6290" spans="1:5">
      <c r="A6290">
        <v>6229</v>
      </c>
      <c r="B6290" s="138">
        <f>'Acct Summary 7-8'!C42</f>
        <v>0</v>
      </c>
      <c r="D6290" s="2" t="str">
        <f t="shared" si="97"/>
        <v>Error?</v>
      </c>
      <c r="E6290" s="2" t="s">
        <v>190</v>
      </c>
    </row>
    <row r="6291" spans="1:5">
      <c r="A6291">
        <v>6230</v>
      </c>
      <c r="B6291" s="138">
        <f>'Acct Summary 7-8'!D42</f>
        <v>0</v>
      </c>
      <c r="D6291" s="2" t="str">
        <f t="shared" si="97"/>
        <v>Error?</v>
      </c>
      <c r="E6291" s="2" t="s">
        <v>190</v>
      </c>
    </row>
    <row r="6292" spans="1:5">
      <c r="A6292">
        <v>6231</v>
      </c>
      <c r="B6292" s="138">
        <f>'Acct Summary 7-8'!E42</f>
        <v>0</v>
      </c>
      <c r="D6292" s="2" t="str">
        <f t="shared" si="97"/>
        <v>Error?</v>
      </c>
      <c r="E6292" s="2" t="s">
        <v>190</v>
      </c>
    </row>
    <row r="6293" spans="1:5">
      <c r="A6293">
        <v>6232</v>
      </c>
      <c r="B6293" s="138">
        <f>'Acct Summary 7-8'!F42</f>
        <v>0</v>
      </c>
      <c r="D6293" s="2" t="str">
        <f t="shared" si="97"/>
        <v>Error?</v>
      </c>
      <c r="E6293" s="2" t="s">
        <v>190</v>
      </c>
    </row>
    <row r="6294" spans="1:5">
      <c r="A6294">
        <v>6233</v>
      </c>
      <c r="B6294" s="138">
        <f>'Acct Summary 7-8'!G42</f>
        <v>0</v>
      </c>
      <c r="D6294" s="2" t="str">
        <f t="shared" si="97"/>
        <v>Error?</v>
      </c>
      <c r="E6294" s="2" t="s">
        <v>190</v>
      </c>
    </row>
    <row r="6295" spans="1:5">
      <c r="A6295">
        <v>6234</v>
      </c>
      <c r="B6295" s="138">
        <f>'Acct Summary 7-8'!H42</f>
        <v>0</v>
      </c>
      <c r="D6295" s="2" t="str">
        <f t="shared" si="97"/>
        <v>Error?</v>
      </c>
      <c r="E6295" s="2" t="s">
        <v>190</v>
      </c>
    </row>
    <row r="6296" spans="1:5">
      <c r="A6296">
        <v>6235</v>
      </c>
      <c r="B6296" s="138">
        <f>'Acct Summary 7-8'!K42</f>
        <v>0</v>
      </c>
      <c r="D6296" s="2" t="str">
        <f t="shared" si="97"/>
        <v>Error?</v>
      </c>
      <c r="E6296" s="2" t="s">
        <v>190</v>
      </c>
    </row>
    <row r="6297" spans="1:5">
      <c r="A6297">
        <v>6236</v>
      </c>
      <c r="B6297" s="138">
        <f>'Assets-Liab 5-6'!M15</f>
        <v>0</v>
      </c>
      <c r="D6297" s="2" t="str">
        <f t="shared" si="97"/>
        <v>Error?</v>
      </c>
      <c r="E6297" s="2" t="s">
        <v>190</v>
      </c>
    </row>
    <row r="6298" spans="1:5">
      <c r="A6298">
        <v>6237</v>
      </c>
      <c r="B6298" s="138">
        <f>'Revenues 9-14'!J5</f>
        <v>884616</v>
      </c>
      <c r="D6298" s="2" t="str">
        <f t="shared" si="97"/>
        <v>Error?</v>
      </c>
      <c r="E6298" s="2" t="s">
        <v>190</v>
      </c>
    </row>
    <row r="6299" spans="1:5">
      <c r="A6299">
        <v>6238</v>
      </c>
      <c r="B6299" s="138">
        <f>'Revenues 9-14'!H7</f>
        <v>0</v>
      </c>
      <c r="D6299" s="2" t="str">
        <f t="shared" si="97"/>
        <v>Error?</v>
      </c>
      <c r="E6299" s="2" t="s">
        <v>190</v>
      </c>
    </row>
    <row r="6300" spans="1:5">
      <c r="A6300">
        <v>6239</v>
      </c>
      <c r="B6300" s="138">
        <f>'Revenues 9-14'!J11</f>
        <v>0</v>
      </c>
      <c r="D6300" s="2" t="str">
        <f t="shared" si="97"/>
        <v>Error?</v>
      </c>
      <c r="E6300" s="2" t="s">
        <v>190</v>
      </c>
    </row>
    <row r="6301" spans="1:5">
      <c r="A6301">
        <v>6240</v>
      </c>
      <c r="B6301" s="138">
        <f>'Revenues 9-14'!J12</f>
        <v>884616</v>
      </c>
      <c r="D6301" s="2" t="str">
        <f t="shared" si="97"/>
        <v>Error?</v>
      </c>
      <c r="E6301" s="2" t="s">
        <v>190</v>
      </c>
    </row>
    <row r="6302" spans="1:5">
      <c r="A6302">
        <v>6241</v>
      </c>
      <c r="B6302" s="138">
        <f>'Revenues 9-14'!J14</f>
        <v>0</v>
      </c>
      <c r="D6302" s="2" t="str">
        <f t="shared" si="97"/>
        <v>Error?</v>
      </c>
      <c r="E6302" s="2" t="s">
        <v>190</v>
      </c>
    </row>
    <row r="6303" spans="1:5">
      <c r="A6303">
        <v>6242</v>
      </c>
      <c r="B6303" s="138">
        <f>'Revenues 9-14'!J15</f>
        <v>0</v>
      </c>
      <c r="D6303" s="2" t="str">
        <f t="shared" si="97"/>
        <v>Error?</v>
      </c>
      <c r="E6303" s="2" t="s">
        <v>190</v>
      </c>
    </row>
    <row r="6304" spans="1:5">
      <c r="A6304">
        <v>6243</v>
      </c>
      <c r="B6304" s="138">
        <f>'Revenues 9-14'!J16</f>
        <v>18961</v>
      </c>
      <c r="D6304" s="2" t="str">
        <f t="shared" si="97"/>
        <v>Error?</v>
      </c>
      <c r="E6304" s="2" t="s">
        <v>190</v>
      </c>
    </row>
    <row r="6305" spans="1:5">
      <c r="A6305">
        <v>6244</v>
      </c>
      <c r="B6305" s="138">
        <f>'Revenues 9-14'!J17</f>
        <v>0</v>
      </c>
      <c r="D6305" s="2" t="str">
        <f t="shared" si="97"/>
        <v>Error?</v>
      </c>
      <c r="E6305" s="2" t="s">
        <v>190</v>
      </c>
    </row>
    <row r="6306" spans="1:5">
      <c r="A6306">
        <v>6245</v>
      </c>
      <c r="B6306" s="138">
        <f>'Revenues 9-14'!J18</f>
        <v>18961</v>
      </c>
      <c r="D6306" s="2" t="str">
        <f t="shared" si="97"/>
        <v>Error?</v>
      </c>
      <c r="E6306" s="2" t="s">
        <v>190</v>
      </c>
    </row>
    <row r="6307" spans="1:5">
      <c r="A6307">
        <v>6246</v>
      </c>
      <c r="B6307" s="138">
        <f>'Revenues 9-14'!C23</f>
        <v>0</v>
      </c>
      <c r="D6307" s="2" t="str">
        <f t="shared" si="97"/>
        <v>Error?</v>
      </c>
      <c r="E6307" s="2" t="s">
        <v>190</v>
      </c>
    </row>
    <row r="6308" spans="1:5">
      <c r="A6308">
        <v>6247</v>
      </c>
      <c r="B6308" s="138">
        <f>'Revenues 9-14'!C27</f>
        <v>0</v>
      </c>
      <c r="D6308" s="2" t="str">
        <f t="shared" si="97"/>
        <v>Error?</v>
      </c>
      <c r="E6308" s="2" t="s">
        <v>190</v>
      </c>
    </row>
    <row r="6309" spans="1:5">
      <c r="A6309">
        <v>6248</v>
      </c>
      <c r="B6309" s="138">
        <f>'Revenues 9-14'!C31</f>
        <v>0</v>
      </c>
      <c r="D6309" s="2" t="str">
        <f t="shared" si="97"/>
        <v>Error?</v>
      </c>
      <c r="E6309" s="2" t="s">
        <v>190</v>
      </c>
    </row>
    <row r="6310" spans="1:5">
      <c r="A6310">
        <v>6249</v>
      </c>
      <c r="B6310" s="138">
        <f>'Revenues 9-14'!C35</f>
        <v>0</v>
      </c>
      <c r="D6310" s="2" t="str">
        <f t="shared" si="97"/>
        <v>Error?</v>
      </c>
      <c r="E6310" s="2" t="s">
        <v>190</v>
      </c>
    </row>
    <row r="6311" spans="1:5">
      <c r="A6311">
        <v>6250</v>
      </c>
      <c r="B6311" s="138">
        <f>'Revenues 9-14'!C39</f>
        <v>0</v>
      </c>
      <c r="D6311" s="2" t="str">
        <f t="shared" si="97"/>
        <v>Error?</v>
      </c>
      <c r="E6311" s="2" t="s">
        <v>190</v>
      </c>
    </row>
    <row r="6312" spans="1:5">
      <c r="A6312">
        <v>6251</v>
      </c>
      <c r="B6312" s="138">
        <f>'Revenues 9-14'!F46</f>
        <v>0</v>
      </c>
      <c r="D6312" s="2" t="str">
        <f t="shared" si="97"/>
        <v>Error?</v>
      </c>
      <c r="E6312" s="2" t="s">
        <v>190</v>
      </c>
    </row>
    <row r="6313" spans="1:5">
      <c r="A6313">
        <v>6252</v>
      </c>
      <c r="B6313" s="138">
        <f>'Revenues 9-14'!F50</f>
        <v>0</v>
      </c>
      <c r="D6313" s="2" t="str">
        <f t="shared" si="97"/>
        <v>Error?</v>
      </c>
      <c r="E6313" s="2" t="s">
        <v>190</v>
      </c>
    </row>
    <row r="6314" spans="1:5">
      <c r="A6314">
        <v>6253</v>
      </c>
      <c r="B6314" s="138">
        <f>'Revenues 9-14'!F54</f>
        <v>0</v>
      </c>
      <c r="D6314" s="2" t="str">
        <f t="shared" si="97"/>
        <v>Error?</v>
      </c>
      <c r="E6314" s="2" t="s">
        <v>190</v>
      </c>
    </row>
    <row r="6315" spans="1:5">
      <c r="A6315">
        <v>6254</v>
      </c>
      <c r="B6315" s="138">
        <f>'Revenues 9-14'!F62</f>
        <v>0</v>
      </c>
      <c r="D6315" s="2" t="str">
        <f t="shared" si="97"/>
        <v>Error?</v>
      </c>
      <c r="E6315" s="2" t="s">
        <v>190</v>
      </c>
    </row>
    <row r="6316" spans="1:5">
      <c r="A6316">
        <v>6255</v>
      </c>
      <c r="B6316" s="138">
        <f>'Revenues 9-14'!J65</f>
        <v>8418</v>
      </c>
      <c r="D6316" s="2" t="str">
        <f t="shared" si="97"/>
        <v>Error?</v>
      </c>
      <c r="E6316" s="2" t="s">
        <v>190</v>
      </c>
    </row>
    <row r="6317" spans="1:5">
      <c r="A6317">
        <v>6256</v>
      </c>
      <c r="B6317" s="138">
        <f>'Revenues 9-14'!J66</f>
        <v>0</v>
      </c>
      <c r="D6317" s="2" t="str">
        <f t="shared" si="97"/>
        <v>Error?</v>
      </c>
      <c r="E6317" s="2" t="s">
        <v>190</v>
      </c>
    </row>
    <row r="6318" spans="1:5">
      <c r="A6318">
        <v>6257</v>
      </c>
      <c r="B6318" s="138">
        <f>'Revenues 9-14'!J67</f>
        <v>8418</v>
      </c>
      <c r="D6318" s="2" t="str">
        <f t="shared" si="97"/>
        <v>Error?</v>
      </c>
      <c r="E6318" s="2" t="s">
        <v>190</v>
      </c>
    </row>
    <row r="6319" spans="1:5">
      <c r="A6319">
        <v>6258</v>
      </c>
      <c r="B6319" s="138">
        <f>'Revenues 9-14'!J96</f>
        <v>0</v>
      </c>
      <c r="D6319" s="2" t="str">
        <f t="shared" si="97"/>
        <v>Error?</v>
      </c>
      <c r="E6319" s="2" t="s">
        <v>190</v>
      </c>
    </row>
    <row r="6320" spans="1:5">
      <c r="A6320">
        <v>6259</v>
      </c>
      <c r="B6320" s="138">
        <f>'Revenues 9-14'!C97</f>
        <v>0</v>
      </c>
      <c r="D6320" s="2" t="str">
        <f t="shared" si="97"/>
        <v>Error?</v>
      </c>
      <c r="E6320" s="2" t="s">
        <v>190</v>
      </c>
    </row>
    <row r="6321" spans="1:5">
      <c r="A6321">
        <v>6260</v>
      </c>
      <c r="B6321" s="138">
        <f>'Revenues 9-14'!D97</f>
        <v>0</v>
      </c>
      <c r="D6321" s="2" t="str">
        <f t="shared" si="97"/>
        <v>Error?</v>
      </c>
      <c r="E6321" s="2" t="s">
        <v>190</v>
      </c>
    </row>
    <row r="6322" spans="1:5">
      <c r="A6322">
        <v>6261</v>
      </c>
      <c r="B6322" s="138">
        <f>'Revenues 9-14'!E97</f>
        <v>0</v>
      </c>
      <c r="D6322" s="2" t="str">
        <f t="shared" si="97"/>
        <v>Error?</v>
      </c>
      <c r="E6322" s="2" t="s">
        <v>190</v>
      </c>
    </row>
    <row r="6323" spans="1:5">
      <c r="A6323">
        <v>6262</v>
      </c>
      <c r="B6323" s="138">
        <f>'Revenues 9-14'!F97</f>
        <v>0</v>
      </c>
      <c r="D6323" s="2" t="str">
        <f t="shared" si="97"/>
        <v>Error?</v>
      </c>
      <c r="E6323" s="2" t="s">
        <v>190</v>
      </c>
    </row>
    <row r="6324" spans="1:5">
      <c r="A6324">
        <v>6263</v>
      </c>
      <c r="B6324" s="138">
        <f>'Revenues 9-14'!G97</f>
        <v>0</v>
      </c>
      <c r="D6324" s="2" t="str">
        <f t="shared" si="97"/>
        <v>Error?</v>
      </c>
      <c r="E6324" s="2" t="s">
        <v>190</v>
      </c>
    </row>
    <row r="6325" spans="1:5">
      <c r="A6325">
        <v>6264</v>
      </c>
      <c r="B6325" s="138">
        <f>'Revenues 9-14'!H97</f>
        <v>0</v>
      </c>
      <c r="D6325" s="2" t="str">
        <f t="shared" si="97"/>
        <v>Error?</v>
      </c>
      <c r="E6325" s="2" t="s">
        <v>190</v>
      </c>
    </row>
    <row r="6326" spans="1:5">
      <c r="A6326">
        <v>6265</v>
      </c>
      <c r="B6326" s="138">
        <f>'Revenues 9-14'!I97</f>
        <v>0</v>
      </c>
      <c r="D6326" s="2" t="str">
        <f t="shared" si="97"/>
        <v>Error?</v>
      </c>
      <c r="E6326" s="2" t="s">
        <v>190</v>
      </c>
    </row>
    <row r="6327" spans="1:5">
      <c r="A6327">
        <v>6266</v>
      </c>
      <c r="B6327" s="138">
        <f>'Revenues 9-14'!J97</f>
        <v>0</v>
      </c>
      <c r="D6327" s="2" t="str">
        <f t="shared" si="97"/>
        <v>Error?</v>
      </c>
      <c r="E6327" s="2" t="s">
        <v>190</v>
      </c>
    </row>
    <row r="6328" spans="1:5">
      <c r="A6328">
        <v>6267</v>
      </c>
      <c r="B6328" s="138">
        <f>'Revenues 9-14'!K97</f>
        <v>0</v>
      </c>
      <c r="D6328" s="2" t="str">
        <f t="shared" si="97"/>
        <v>Error?</v>
      </c>
      <c r="E6328" s="2" t="s">
        <v>190</v>
      </c>
    </row>
    <row r="6329" spans="1:5">
      <c r="A6329">
        <v>6268</v>
      </c>
      <c r="B6329" s="138">
        <f>'Revenues 9-14'!J99</f>
        <v>12</v>
      </c>
      <c r="D6329" s="2" t="str">
        <f t="shared" si="97"/>
        <v>Error?</v>
      </c>
      <c r="E6329" s="2" t="s">
        <v>190</v>
      </c>
    </row>
    <row r="6330" spans="1:5">
      <c r="A6330">
        <v>6269</v>
      </c>
      <c r="B6330" s="138">
        <f>'Revenues 9-14'!C100</f>
        <v>289220</v>
      </c>
      <c r="D6330" s="2" t="str">
        <f t="shared" si="97"/>
        <v>Error?</v>
      </c>
      <c r="E6330" s="2" t="s">
        <v>190</v>
      </c>
    </row>
    <row r="6331" spans="1:5">
      <c r="A6331">
        <v>6270</v>
      </c>
      <c r="B6331" s="138">
        <f>'Revenues 9-14'!D100</f>
        <v>0</v>
      </c>
      <c r="D6331" s="2" t="str">
        <f t="shared" si="97"/>
        <v>Error?</v>
      </c>
      <c r="E6331" s="2" t="s">
        <v>190</v>
      </c>
    </row>
    <row r="6332" spans="1:5">
      <c r="A6332">
        <v>6271</v>
      </c>
      <c r="B6332" s="138">
        <f>'Revenues 9-14'!E100</f>
        <v>0</v>
      </c>
      <c r="D6332" s="2" t="str">
        <f t="shared" si="97"/>
        <v>Error?</v>
      </c>
      <c r="E6332" s="2" t="s">
        <v>190</v>
      </c>
    </row>
    <row r="6333" spans="1:5">
      <c r="A6333">
        <v>6272</v>
      </c>
      <c r="B6333" s="138">
        <f>'Revenues 9-14'!F100</f>
        <v>0</v>
      </c>
      <c r="D6333" s="2" t="str">
        <f t="shared" si="97"/>
        <v>Error?</v>
      </c>
      <c r="E6333" s="2" t="s">
        <v>190</v>
      </c>
    </row>
    <row r="6334" spans="1:5">
      <c r="A6334">
        <v>6273</v>
      </c>
      <c r="B6334" s="138">
        <f>'Revenues 9-14'!G100</f>
        <v>0</v>
      </c>
      <c r="D6334" s="2" t="str">
        <f t="shared" si="97"/>
        <v>Error?</v>
      </c>
      <c r="E6334" s="2" t="s">
        <v>190</v>
      </c>
    </row>
    <row r="6335" spans="1:5">
      <c r="A6335">
        <v>6274</v>
      </c>
      <c r="B6335" s="138">
        <f>'Revenues 9-14'!H100</f>
        <v>0</v>
      </c>
      <c r="D6335" s="2" t="str">
        <f t="shared" ref="D6335:D6398" si="98">IF(ISBLANK(B6335),"OK",IF(A6335-B6335=0,"OK","Error?"))</f>
        <v>Error?</v>
      </c>
      <c r="E6335" s="2" t="s">
        <v>190</v>
      </c>
    </row>
    <row r="6336" spans="1:5">
      <c r="A6336">
        <v>6275</v>
      </c>
      <c r="B6336" s="138">
        <f>'Revenues 9-14'!I100</f>
        <v>0</v>
      </c>
      <c r="D6336" s="2" t="str">
        <f t="shared" si="98"/>
        <v>Error?</v>
      </c>
      <c r="E6336" s="2" t="s">
        <v>190</v>
      </c>
    </row>
    <row r="6337" spans="1:5">
      <c r="A6337">
        <v>6276</v>
      </c>
      <c r="B6337" s="138">
        <f>'Revenues 9-14'!J100</f>
        <v>0</v>
      </c>
      <c r="D6337" s="2" t="str">
        <f t="shared" si="98"/>
        <v>Error?</v>
      </c>
      <c r="E6337" s="2" t="s">
        <v>190</v>
      </c>
    </row>
    <row r="6338" spans="1:5">
      <c r="A6338">
        <v>6277</v>
      </c>
      <c r="B6338" s="138">
        <f>'Revenues 9-14'!K100</f>
        <v>0</v>
      </c>
      <c r="D6338" s="2" t="str">
        <f t="shared" si="98"/>
        <v>Error?</v>
      </c>
      <c r="E6338" s="2" t="s">
        <v>190</v>
      </c>
    </row>
    <row r="6339" spans="1:5">
      <c r="A6339">
        <v>6278</v>
      </c>
      <c r="B6339" s="138">
        <f>'Revenues 9-14'!C101</f>
        <v>0</v>
      </c>
      <c r="D6339" s="2" t="str">
        <f t="shared" si="98"/>
        <v>Error?</v>
      </c>
      <c r="E6339" s="2" t="s">
        <v>190</v>
      </c>
    </row>
    <row r="6340" spans="1:5">
      <c r="A6340">
        <v>6279</v>
      </c>
      <c r="B6340" s="138">
        <f>'Revenues 9-14'!C102</f>
        <v>83041</v>
      </c>
      <c r="D6340" s="2" t="str">
        <f t="shared" si="98"/>
        <v>Error?</v>
      </c>
      <c r="E6340" s="2" t="s">
        <v>190</v>
      </c>
    </row>
    <row r="6341" spans="1:5">
      <c r="A6341">
        <v>6280</v>
      </c>
      <c r="B6341" s="138">
        <f>'Revenues 9-14'!D102</f>
        <v>0</v>
      </c>
      <c r="D6341" s="2" t="str">
        <f t="shared" si="98"/>
        <v>Error?</v>
      </c>
      <c r="E6341" s="2" t="s">
        <v>190</v>
      </c>
    </row>
    <row r="6342" spans="1:5">
      <c r="A6342">
        <v>6281</v>
      </c>
      <c r="B6342" s="138">
        <f>'Revenues 9-14'!E102</f>
        <v>0</v>
      </c>
      <c r="D6342" s="2" t="str">
        <f t="shared" si="98"/>
        <v>Error?</v>
      </c>
      <c r="E6342" s="2" t="s">
        <v>190</v>
      </c>
    </row>
    <row r="6343" spans="1:5">
      <c r="A6343">
        <v>6282</v>
      </c>
      <c r="B6343" s="138">
        <f>'Revenues 9-14'!F102</f>
        <v>0</v>
      </c>
      <c r="D6343" s="2" t="str">
        <f t="shared" si="98"/>
        <v>Error?</v>
      </c>
      <c r="E6343" s="2" t="s">
        <v>190</v>
      </c>
    </row>
    <row r="6344" spans="1:5">
      <c r="A6344">
        <v>6283</v>
      </c>
      <c r="B6344" s="138">
        <f>'Revenues 9-14'!G102</f>
        <v>0</v>
      </c>
      <c r="D6344" s="2" t="str">
        <f t="shared" si="98"/>
        <v>Error?</v>
      </c>
      <c r="E6344" s="2" t="s">
        <v>190</v>
      </c>
    </row>
    <row r="6345" spans="1:5">
      <c r="A6345">
        <v>6284</v>
      </c>
      <c r="B6345" s="138">
        <f>'Revenues 9-14'!H102</f>
        <v>0</v>
      </c>
      <c r="D6345" s="2" t="str">
        <f t="shared" si="98"/>
        <v>Error?</v>
      </c>
      <c r="E6345" s="2" t="s">
        <v>190</v>
      </c>
    </row>
    <row r="6346" spans="1:5">
      <c r="A6346">
        <v>6285</v>
      </c>
      <c r="B6346" s="138">
        <f>'Revenues 9-14'!I102</f>
        <v>0</v>
      </c>
      <c r="D6346" s="2" t="str">
        <f t="shared" si="98"/>
        <v>Error?</v>
      </c>
      <c r="E6346" s="2" t="s">
        <v>190</v>
      </c>
    </row>
    <row r="6347" spans="1:5">
      <c r="A6347">
        <v>6286</v>
      </c>
      <c r="B6347" s="138">
        <f>'Revenues 9-14'!J102</f>
        <v>0</v>
      </c>
      <c r="D6347" s="2" t="str">
        <f t="shared" si="98"/>
        <v>Error?</v>
      </c>
      <c r="E6347" s="2" t="s">
        <v>190</v>
      </c>
    </row>
    <row r="6348" spans="1:5">
      <c r="A6348">
        <v>6287</v>
      </c>
      <c r="B6348" s="138">
        <f>'Revenues 9-14'!K102</f>
        <v>0</v>
      </c>
      <c r="D6348" s="2" t="str">
        <f t="shared" si="98"/>
        <v>Error?</v>
      </c>
      <c r="E6348" s="2" t="s">
        <v>190</v>
      </c>
    </row>
    <row r="6349" spans="1:5">
      <c r="A6349">
        <v>6288</v>
      </c>
      <c r="B6349" s="138">
        <f>'Revenues 9-14'!G104</f>
        <v>0</v>
      </c>
      <c r="D6349" s="2" t="str">
        <f t="shared" si="98"/>
        <v>Error?</v>
      </c>
      <c r="E6349" s="2" t="s">
        <v>190</v>
      </c>
    </row>
    <row r="6350" spans="1:5">
      <c r="A6350">
        <v>6289</v>
      </c>
      <c r="B6350" s="138">
        <f>'Revenues 9-14'!J107</f>
        <v>0</v>
      </c>
      <c r="D6350" s="2" t="str">
        <f t="shared" si="98"/>
        <v>Error?</v>
      </c>
      <c r="E6350" s="2" t="s">
        <v>190</v>
      </c>
    </row>
    <row r="6351" spans="1:5">
      <c r="A6351">
        <v>6290</v>
      </c>
      <c r="B6351" s="138">
        <f>'Revenues 9-14'!J108</f>
        <v>12</v>
      </c>
      <c r="D6351" s="2" t="str">
        <f t="shared" si="98"/>
        <v>Error?</v>
      </c>
      <c r="E6351" s="2" t="s">
        <v>190</v>
      </c>
    </row>
    <row r="6352" spans="1:5">
      <c r="A6352">
        <v>6291</v>
      </c>
      <c r="B6352" s="138">
        <f>'Revenues 9-14'!J109</f>
        <v>912007</v>
      </c>
      <c r="D6352" s="2" t="str">
        <f t="shared" si="98"/>
        <v>Error?</v>
      </c>
      <c r="E6352" s="2" t="s">
        <v>190</v>
      </c>
    </row>
    <row r="6353" spans="1:5">
      <c r="A6353">
        <v>6292</v>
      </c>
      <c r="B6353" s="138">
        <f>'Revenues 9-14'!J117</f>
        <v>0</v>
      </c>
      <c r="D6353" s="2" t="str">
        <f t="shared" si="98"/>
        <v>Error?</v>
      </c>
      <c r="E6353" s="2" t="s">
        <v>190</v>
      </c>
    </row>
    <row r="6354" spans="1:5">
      <c r="A6354">
        <v>6293</v>
      </c>
      <c r="B6354" s="138">
        <f>'Revenues 9-14'!J118</f>
        <v>0</v>
      </c>
      <c r="D6354" s="2" t="str">
        <f t="shared" si="98"/>
        <v>Error?</v>
      </c>
      <c r="E6354" s="2" t="s">
        <v>190</v>
      </c>
    </row>
    <row r="6355" spans="1:5">
      <c r="A6355">
        <v>6294</v>
      </c>
      <c r="B6355" s="138">
        <f>'Revenues 9-14'!J119</f>
        <v>0</v>
      </c>
      <c r="D6355" s="2" t="str">
        <f t="shared" si="98"/>
        <v>Error?</v>
      </c>
      <c r="E6355" s="2" t="s">
        <v>190</v>
      </c>
    </row>
    <row r="6356" spans="1:5">
      <c r="A6356">
        <v>6295</v>
      </c>
      <c r="B6356" s="138">
        <f>'Revenues 9-14'!J121</f>
        <v>0</v>
      </c>
      <c r="D6356" s="2" t="str">
        <f t="shared" si="98"/>
        <v>Error?</v>
      </c>
      <c r="E6356" s="2" t="s">
        <v>190</v>
      </c>
    </row>
    <row r="6357" spans="1:5">
      <c r="A6357">
        <v>6296</v>
      </c>
      <c r="B6357" s="138">
        <f>'Revenues 9-14'!J122</f>
        <v>0</v>
      </c>
      <c r="D6357" s="2" t="str">
        <f t="shared" si="98"/>
        <v>Error?</v>
      </c>
      <c r="E6357" s="2" t="s">
        <v>190</v>
      </c>
    </row>
    <row r="6358" spans="1:5">
      <c r="A6358">
        <v>6297</v>
      </c>
      <c r="B6358" s="138">
        <f>'Revenues 9-14'!G135</f>
        <v>0</v>
      </c>
      <c r="D6358" s="2" t="str">
        <f t="shared" si="98"/>
        <v>Error?</v>
      </c>
      <c r="E6358" s="2" t="s">
        <v>190</v>
      </c>
    </row>
    <row r="6359" spans="1:5">
      <c r="A6359">
        <v>6298</v>
      </c>
      <c r="B6359" s="138">
        <f>'Revenues 9-14'!C137</f>
        <v>0</v>
      </c>
      <c r="D6359" s="2" t="str">
        <f t="shared" si="98"/>
        <v>Error?</v>
      </c>
      <c r="E6359" s="2" t="s">
        <v>190</v>
      </c>
    </row>
    <row r="6360" spans="1:5">
      <c r="A6360">
        <v>6299</v>
      </c>
      <c r="B6360" s="138">
        <f>'Revenues 9-14'!D137</f>
        <v>0</v>
      </c>
      <c r="D6360" s="2" t="str">
        <f t="shared" si="98"/>
        <v>Error?</v>
      </c>
      <c r="E6360" s="2" t="s">
        <v>190</v>
      </c>
    </row>
    <row r="6361" spans="1:5">
      <c r="A6361">
        <v>6300</v>
      </c>
      <c r="B6361" s="138">
        <f>'Revenues 9-14'!G137</f>
        <v>0</v>
      </c>
      <c r="D6361" s="2" t="str">
        <f t="shared" si="98"/>
        <v>Error?</v>
      </c>
      <c r="E6361" s="2" t="s">
        <v>190</v>
      </c>
    </row>
    <row r="6362" spans="1:5">
      <c r="A6362">
        <v>6301</v>
      </c>
      <c r="B6362" s="138">
        <f>'Revenues 9-14'!C138</f>
        <v>0</v>
      </c>
      <c r="D6362" s="2" t="str">
        <f t="shared" si="98"/>
        <v>Error?</v>
      </c>
      <c r="E6362" s="2" t="s">
        <v>190</v>
      </c>
    </row>
    <row r="6363" spans="1:5">
      <c r="A6363">
        <v>6302</v>
      </c>
      <c r="B6363" s="138">
        <f>'Revenues 9-14'!D138</f>
        <v>0</v>
      </c>
      <c r="D6363" s="2" t="str">
        <f t="shared" si="98"/>
        <v>Error?</v>
      </c>
      <c r="E6363" s="2" t="s">
        <v>190</v>
      </c>
    </row>
    <row r="6364" spans="1:5">
      <c r="A6364">
        <v>6303</v>
      </c>
      <c r="B6364" s="138">
        <f>'Revenues 9-14'!G138</f>
        <v>0</v>
      </c>
      <c r="D6364" s="2" t="str">
        <f t="shared" si="98"/>
        <v>Error?</v>
      </c>
      <c r="E6364" s="2" t="s">
        <v>190</v>
      </c>
    </row>
    <row r="6365" spans="1:5">
      <c r="A6365">
        <v>6304</v>
      </c>
      <c r="B6365" s="138">
        <f>'Revenues 9-14'!C139</f>
        <v>0</v>
      </c>
      <c r="D6365" s="2" t="str">
        <f t="shared" si="98"/>
        <v>Error?</v>
      </c>
      <c r="E6365" s="2" t="s">
        <v>190</v>
      </c>
    </row>
    <row r="6366" spans="1:5">
      <c r="A6366">
        <v>6305</v>
      </c>
      <c r="B6366" s="138">
        <f>'Revenues 9-14'!D139</f>
        <v>0</v>
      </c>
      <c r="D6366" s="2" t="str">
        <f t="shared" si="98"/>
        <v>Error?</v>
      </c>
      <c r="E6366" s="2" t="s">
        <v>190</v>
      </c>
    </row>
    <row r="6367" spans="1:5">
      <c r="A6367">
        <v>6306</v>
      </c>
      <c r="B6367" s="138">
        <f>'Revenues 9-14'!G139</f>
        <v>0</v>
      </c>
      <c r="D6367" s="2" t="str">
        <f t="shared" si="98"/>
        <v>Error?</v>
      </c>
      <c r="E6367" s="2" t="s">
        <v>190</v>
      </c>
    </row>
    <row r="6368" spans="1:5">
      <c r="A6368">
        <v>6307</v>
      </c>
      <c r="B6368" s="138">
        <f>'Revenues 9-14'!E149</f>
        <v>0</v>
      </c>
      <c r="D6368" s="2" t="str">
        <f t="shared" si="98"/>
        <v>Error?</v>
      </c>
      <c r="E6368" s="2" t="s">
        <v>190</v>
      </c>
    </row>
    <row r="6369" spans="1:6">
      <c r="A6369">
        <v>6308</v>
      </c>
      <c r="B6369" s="138">
        <f>'Revenues 9-14'!F149</f>
        <v>0</v>
      </c>
      <c r="D6369" s="2" t="str">
        <f t="shared" si="98"/>
        <v>Error?</v>
      </c>
      <c r="E6369" s="2" t="s">
        <v>190</v>
      </c>
    </row>
    <row r="6370" spans="1:6">
      <c r="A6370">
        <v>6309</v>
      </c>
      <c r="B6370" s="138">
        <f>'Revenues 9-14'!G149</f>
        <v>0</v>
      </c>
      <c r="D6370" s="2" t="str">
        <f t="shared" si="98"/>
        <v>Error?</v>
      </c>
      <c r="E6370" s="2" t="s">
        <v>190</v>
      </c>
    </row>
    <row r="6371" spans="1:6">
      <c r="A6371">
        <v>6310</v>
      </c>
      <c r="B6371" s="138">
        <f>'Revenues 9-14'!H149</f>
        <v>0</v>
      </c>
      <c r="D6371" s="2" t="str">
        <f t="shared" si="98"/>
        <v>Error?</v>
      </c>
      <c r="E6371" s="2" t="s">
        <v>190</v>
      </c>
    </row>
    <row r="6372" spans="1:6">
      <c r="A6372">
        <v>6311</v>
      </c>
      <c r="B6372" s="138">
        <f>'Revenues 9-14'!I149</f>
        <v>0</v>
      </c>
      <c r="D6372" s="2" t="str">
        <f t="shared" si="98"/>
        <v>Error?</v>
      </c>
      <c r="E6372" s="2" t="s">
        <v>190</v>
      </c>
    </row>
    <row r="6373" spans="1:6">
      <c r="A6373">
        <v>6312</v>
      </c>
      <c r="B6373" s="138">
        <f>'Revenues 9-14'!J149</f>
        <v>0</v>
      </c>
      <c r="D6373" s="2" t="str">
        <f t="shared" si="98"/>
        <v>Error?</v>
      </c>
      <c r="E6373" s="2" t="s">
        <v>190</v>
      </c>
    </row>
    <row r="6374" spans="1:6">
      <c r="A6374">
        <v>6313</v>
      </c>
      <c r="B6374" s="138">
        <f>'Revenues 9-14'!K149</f>
        <v>0</v>
      </c>
      <c r="D6374" s="2" t="str">
        <f t="shared" si="98"/>
        <v>Error?</v>
      </c>
      <c r="E6374" s="2" t="s">
        <v>190</v>
      </c>
    </row>
    <row r="6375" spans="1:6">
      <c r="A6375">
        <v>6314</v>
      </c>
      <c r="B6375" s="138">
        <f>'Revenues 9-14'!E150</f>
        <v>0</v>
      </c>
      <c r="D6375" s="2" t="str">
        <f t="shared" si="98"/>
        <v>Error?</v>
      </c>
      <c r="E6375" s="2" t="s">
        <v>190</v>
      </c>
    </row>
    <row r="6376" spans="1:6">
      <c r="A6376">
        <v>6315</v>
      </c>
      <c r="B6376" s="138">
        <f>'Revenues 9-14'!H150</f>
        <v>0</v>
      </c>
      <c r="D6376" s="2" t="str">
        <f t="shared" si="98"/>
        <v>Error?</v>
      </c>
      <c r="E6376" s="2" t="s">
        <v>190</v>
      </c>
    </row>
    <row r="6377" spans="1:6">
      <c r="A6377">
        <v>6316</v>
      </c>
      <c r="B6377" s="138">
        <f>'Revenues 9-14'!I150</f>
        <v>0</v>
      </c>
      <c r="D6377" s="2" t="str">
        <f t="shared" si="98"/>
        <v>Error?</v>
      </c>
      <c r="E6377" s="2" t="s">
        <v>190</v>
      </c>
    </row>
    <row r="6378" spans="1:6">
      <c r="A6378">
        <v>6317</v>
      </c>
      <c r="B6378" s="138">
        <f>'Revenues 9-14'!J150</f>
        <v>0</v>
      </c>
      <c r="D6378" s="2" t="str">
        <f t="shared" si="98"/>
        <v>Error?</v>
      </c>
      <c r="E6378" s="2" t="s">
        <v>190</v>
      </c>
    </row>
    <row r="6379" spans="1:6">
      <c r="A6379">
        <v>6318</v>
      </c>
      <c r="B6379" s="138">
        <f>'Revenues 9-14'!K150</f>
        <v>0</v>
      </c>
      <c r="D6379" s="2" t="str">
        <f t="shared" si="98"/>
        <v>Error?</v>
      </c>
      <c r="E6379" s="2" t="s">
        <v>190</v>
      </c>
    </row>
    <row r="6380" spans="1:6">
      <c r="A6380">
        <v>6319</v>
      </c>
      <c r="B6380" s="138">
        <f>'Revenues 9-14'!G152</f>
        <v>0</v>
      </c>
      <c r="D6380" s="2" t="str">
        <f t="shared" si="98"/>
        <v>Error?</v>
      </c>
      <c r="E6380" s="2" t="s">
        <v>190</v>
      </c>
    </row>
    <row r="6381" spans="1:6">
      <c r="A6381">
        <v>6320</v>
      </c>
      <c r="B6381" s="138">
        <f>'Revenues 9-14'!G153</f>
        <v>0</v>
      </c>
      <c r="D6381" s="2" t="str">
        <f t="shared" si="98"/>
        <v>Error?</v>
      </c>
      <c r="E6381" s="2" t="s">
        <v>190</v>
      </c>
    </row>
    <row r="6382" spans="1:6">
      <c r="A6382" s="129">
        <v>6321</v>
      </c>
      <c r="D6382" s="2" t="str">
        <f t="shared" si="98"/>
        <v>OK</v>
      </c>
      <c r="E6382" s="2" t="s">
        <v>190</v>
      </c>
      <c r="F6382" s="1" t="s">
        <v>1936</v>
      </c>
    </row>
    <row r="6383" spans="1:6">
      <c r="A6383" s="129">
        <v>6322</v>
      </c>
      <c r="D6383" s="2" t="str">
        <f t="shared" si="98"/>
        <v>OK</v>
      </c>
      <c r="E6383" s="2" t="s">
        <v>190</v>
      </c>
      <c r="F6383" s="1" t="s">
        <v>1936</v>
      </c>
    </row>
    <row r="6384" spans="1:6">
      <c r="A6384" s="129">
        <v>6323</v>
      </c>
      <c r="D6384" s="2" t="str">
        <f t="shared" si="98"/>
        <v>OK</v>
      </c>
      <c r="E6384" s="2" t="s">
        <v>190</v>
      </c>
      <c r="F6384" s="1" t="s">
        <v>1936</v>
      </c>
    </row>
    <row r="6385" spans="1:6">
      <c r="A6385" s="129">
        <v>6324</v>
      </c>
      <c r="D6385" s="2" t="str">
        <f t="shared" si="98"/>
        <v>OK</v>
      </c>
      <c r="E6385" s="2" t="s">
        <v>190</v>
      </c>
      <c r="F6385" s="1" t="s">
        <v>1936</v>
      </c>
    </row>
    <row r="6386" spans="1:6">
      <c r="A6386" s="129">
        <v>6325</v>
      </c>
      <c r="D6386" s="2" t="str">
        <f t="shared" si="98"/>
        <v>OK</v>
      </c>
      <c r="E6386" s="2" t="s">
        <v>190</v>
      </c>
      <c r="F6386" s="1" t="s">
        <v>1936</v>
      </c>
    </row>
    <row r="6387" spans="1:6">
      <c r="A6387" s="129">
        <v>6326</v>
      </c>
      <c r="D6387" s="2" t="str">
        <f t="shared" si="98"/>
        <v>OK</v>
      </c>
      <c r="E6387" s="2" t="s">
        <v>190</v>
      </c>
      <c r="F6387" s="1" t="s">
        <v>1936</v>
      </c>
    </row>
    <row r="6388" spans="1:6">
      <c r="A6388">
        <v>6327</v>
      </c>
      <c r="B6388" s="138">
        <f>'Revenues 9-14'!C163</f>
        <v>0</v>
      </c>
      <c r="D6388" s="2" t="str">
        <f t="shared" si="98"/>
        <v>Error?</v>
      </c>
      <c r="E6388" s="2" t="s">
        <v>190</v>
      </c>
    </row>
    <row r="6389" spans="1:6">
      <c r="A6389">
        <v>6328</v>
      </c>
      <c r="B6389" s="138">
        <f>'Revenues 9-14'!D163</f>
        <v>0</v>
      </c>
      <c r="D6389" s="2" t="str">
        <f t="shared" si="98"/>
        <v>Error?</v>
      </c>
      <c r="E6389" s="2" t="s">
        <v>190</v>
      </c>
    </row>
    <row r="6390" spans="1:6">
      <c r="A6390">
        <v>6329</v>
      </c>
      <c r="B6390" s="138">
        <f>'Revenues 9-14'!E163</f>
        <v>0</v>
      </c>
      <c r="D6390" s="2" t="str">
        <f t="shared" si="98"/>
        <v>Error?</v>
      </c>
      <c r="E6390" s="2" t="s">
        <v>190</v>
      </c>
    </row>
    <row r="6391" spans="1:6">
      <c r="A6391">
        <v>6330</v>
      </c>
      <c r="B6391" s="138">
        <f>'Revenues 9-14'!F163</f>
        <v>0</v>
      </c>
      <c r="D6391" s="2" t="str">
        <f t="shared" si="98"/>
        <v>Error?</v>
      </c>
      <c r="E6391" s="2" t="s">
        <v>190</v>
      </c>
    </row>
    <row r="6392" spans="1:6">
      <c r="A6392">
        <v>6331</v>
      </c>
      <c r="B6392" s="138">
        <f>'Revenues 9-14'!G163</f>
        <v>0</v>
      </c>
      <c r="D6392" s="2" t="str">
        <f t="shared" si="98"/>
        <v>Error?</v>
      </c>
      <c r="E6392" s="2" t="s">
        <v>190</v>
      </c>
    </row>
    <row r="6393" spans="1:6">
      <c r="A6393">
        <v>6332</v>
      </c>
      <c r="B6393" s="138">
        <f>'Revenues 9-14'!H163</f>
        <v>0</v>
      </c>
      <c r="D6393" s="2" t="str">
        <f t="shared" si="98"/>
        <v>Error?</v>
      </c>
      <c r="E6393" s="2" t="s">
        <v>190</v>
      </c>
    </row>
    <row r="6394" spans="1:6">
      <c r="A6394">
        <v>6333</v>
      </c>
      <c r="B6394" s="138">
        <f>'Revenues 9-14'!K163</f>
        <v>0</v>
      </c>
      <c r="D6394" s="2" t="str">
        <f t="shared" si="98"/>
        <v>Error?</v>
      </c>
      <c r="E6394" s="2" t="s">
        <v>190</v>
      </c>
    </row>
    <row r="6395" spans="1:6">
      <c r="A6395">
        <v>6334</v>
      </c>
      <c r="B6395" s="138">
        <f>'Revenues 9-14'!J168</f>
        <v>0</v>
      </c>
      <c r="D6395" s="2" t="str">
        <f t="shared" si="98"/>
        <v>Error?</v>
      </c>
      <c r="E6395" s="2" t="s">
        <v>190</v>
      </c>
    </row>
    <row r="6396" spans="1:6">
      <c r="A6396">
        <v>6335</v>
      </c>
      <c r="B6396" s="138">
        <f>'Revenues 9-14'!J169</f>
        <v>0</v>
      </c>
      <c r="D6396" s="2" t="str">
        <f t="shared" si="98"/>
        <v>Error?</v>
      </c>
      <c r="E6396" s="2" t="s">
        <v>190</v>
      </c>
    </row>
    <row r="6397" spans="1:6">
      <c r="A6397">
        <v>6336</v>
      </c>
      <c r="B6397" s="138">
        <f>'Revenues 9-14'!J170</f>
        <v>0</v>
      </c>
      <c r="D6397" s="2" t="str">
        <f t="shared" si="98"/>
        <v>Error?</v>
      </c>
      <c r="E6397" s="2" t="s">
        <v>190</v>
      </c>
    </row>
    <row r="6398" spans="1:6">
      <c r="A6398">
        <v>6337</v>
      </c>
      <c r="B6398" s="138">
        <f>'Revenues 9-14'!J173</f>
        <v>0</v>
      </c>
      <c r="D6398" s="2" t="str">
        <f t="shared" si="98"/>
        <v>Error?</v>
      </c>
      <c r="E6398" s="2" t="s">
        <v>190</v>
      </c>
    </row>
    <row r="6399" spans="1:6">
      <c r="A6399">
        <v>6338</v>
      </c>
      <c r="B6399" s="138">
        <f>'Revenues 9-14'!J174</f>
        <v>0</v>
      </c>
      <c r="D6399" s="2" t="str">
        <f t="shared" ref="D6399:D6462" si="99">IF(ISBLANK(B6399),"OK",IF(A6399-B6399=0,"OK","Error?"))</f>
        <v>Error?</v>
      </c>
      <c r="E6399" s="2" t="s">
        <v>190</v>
      </c>
    </row>
    <row r="6400" spans="1:6">
      <c r="A6400">
        <v>6339</v>
      </c>
      <c r="B6400" s="138">
        <f>'Revenues 9-14'!J175</f>
        <v>0</v>
      </c>
      <c r="D6400" s="2" t="str">
        <f t="shared" si="99"/>
        <v>Error?</v>
      </c>
      <c r="E6400" s="2" t="s">
        <v>190</v>
      </c>
    </row>
    <row r="6401" spans="1:6">
      <c r="A6401">
        <v>6340</v>
      </c>
      <c r="B6401" s="138">
        <f>'Revenues 9-14'!C190</f>
        <v>0</v>
      </c>
      <c r="D6401" s="2" t="str">
        <f t="shared" si="99"/>
        <v>Error?</v>
      </c>
      <c r="E6401" s="2" t="s">
        <v>190</v>
      </c>
    </row>
    <row r="6402" spans="1:6">
      <c r="A6402">
        <v>6341</v>
      </c>
      <c r="B6402" s="138">
        <f>'Revenues 9-14'!G190</f>
        <v>0</v>
      </c>
      <c r="D6402" s="2" t="str">
        <f t="shared" si="99"/>
        <v>Error?</v>
      </c>
      <c r="E6402" s="2" t="s">
        <v>190</v>
      </c>
    </row>
    <row r="6403" spans="1:6">
      <c r="A6403">
        <v>6342</v>
      </c>
      <c r="B6403" s="138">
        <f>'Revenues 9-14'!G191</f>
        <v>0</v>
      </c>
      <c r="D6403" s="2" t="str">
        <f t="shared" si="99"/>
        <v>Error?</v>
      </c>
      <c r="E6403" s="2" t="s">
        <v>190</v>
      </c>
    </row>
    <row r="6404" spans="1:6">
      <c r="A6404">
        <v>6343</v>
      </c>
      <c r="B6404" s="138">
        <f>'Revenues 9-14'!G192</f>
        <v>0</v>
      </c>
      <c r="D6404" s="2" t="str">
        <f t="shared" si="99"/>
        <v>Error?</v>
      </c>
      <c r="E6404" s="2" t="s">
        <v>190</v>
      </c>
    </row>
    <row r="6405" spans="1:6">
      <c r="A6405">
        <v>6344</v>
      </c>
      <c r="B6405" s="138">
        <f>'Revenues 9-14'!G193</f>
        <v>0</v>
      </c>
      <c r="D6405" s="2" t="str">
        <f t="shared" si="99"/>
        <v>Error?</v>
      </c>
      <c r="E6405" s="2" t="s">
        <v>190</v>
      </c>
    </row>
    <row r="6406" spans="1:6">
      <c r="A6406">
        <v>6345</v>
      </c>
      <c r="B6406" s="138">
        <f>'Revenues 9-14'!G194</f>
        <v>0</v>
      </c>
      <c r="D6406" s="2" t="str">
        <f t="shared" si="99"/>
        <v>Error?</v>
      </c>
      <c r="E6406" s="2" t="s">
        <v>190</v>
      </c>
    </row>
    <row r="6407" spans="1:6">
      <c r="A6407">
        <v>6346</v>
      </c>
      <c r="B6407" s="138">
        <f>'Revenues 9-14'!G195</f>
        <v>0</v>
      </c>
      <c r="D6407" s="2" t="str">
        <f t="shared" si="99"/>
        <v>Error?</v>
      </c>
      <c r="E6407" s="2" t="s">
        <v>190</v>
      </c>
    </row>
    <row r="6408" spans="1:6">
      <c r="A6408">
        <v>6347</v>
      </c>
      <c r="B6408" s="138">
        <f>'Revenues 9-14'!G197</f>
        <v>0</v>
      </c>
      <c r="D6408" s="2" t="str">
        <f t="shared" si="99"/>
        <v>Error?</v>
      </c>
      <c r="E6408" s="2" t="s">
        <v>190</v>
      </c>
    </row>
    <row r="6409" spans="1:6">
      <c r="A6409">
        <v>6348</v>
      </c>
      <c r="B6409" s="138">
        <f>'Revenues 9-14'!G198</f>
        <v>0</v>
      </c>
      <c r="D6409" s="2" t="str">
        <f t="shared" si="99"/>
        <v>Error?</v>
      </c>
      <c r="E6409" s="2" t="s">
        <v>190</v>
      </c>
    </row>
    <row r="6410" spans="1:6">
      <c r="A6410" s="129">
        <v>6349</v>
      </c>
      <c r="D6410" s="2" t="str">
        <f t="shared" si="99"/>
        <v>OK</v>
      </c>
      <c r="E6410" s="2" t="s">
        <v>190</v>
      </c>
      <c r="F6410" s="1" t="s">
        <v>1936</v>
      </c>
    </row>
    <row r="6411" spans="1:6">
      <c r="A6411" s="129">
        <v>6350</v>
      </c>
      <c r="D6411" s="2" t="str">
        <f t="shared" si="99"/>
        <v>OK</v>
      </c>
      <c r="E6411" s="2" t="s">
        <v>190</v>
      </c>
      <c r="F6411" s="1" t="s">
        <v>1936</v>
      </c>
    </row>
    <row r="6412" spans="1:6">
      <c r="A6412" s="129">
        <v>6351</v>
      </c>
      <c r="D6412" s="2" t="str">
        <f t="shared" si="99"/>
        <v>OK</v>
      </c>
      <c r="E6412" s="2" t="s">
        <v>190</v>
      </c>
      <c r="F6412" s="1" t="s">
        <v>1936</v>
      </c>
    </row>
    <row r="6413" spans="1:6">
      <c r="A6413" s="129">
        <v>6352</v>
      </c>
      <c r="D6413" s="2" t="str">
        <f t="shared" si="99"/>
        <v>OK</v>
      </c>
      <c r="E6413" s="2" t="s">
        <v>190</v>
      </c>
      <c r="F6413" s="1" t="s">
        <v>1936</v>
      </c>
    </row>
    <row r="6414" spans="1:6">
      <c r="A6414">
        <v>6353</v>
      </c>
      <c r="B6414" s="138">
        <f>'Cap Outlay Deprec 26'!C3</f>
        <v>0</v>
      </c>
      <c r="D6414" s="2" t="str">
        <f t="shared" si="99"/>
        <v>Error?</v>
      </c>
      <c r="E6414" s="2" t="s">
        <v>190</v>
      </c>
    </row>
    <row r="6415" spans="1:6">
      <c r="A6415">
        <v>6354</v>
      </c>
      <c r="B6415" s="138">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8">
        <f>'Revenues 9-14'!C223</f>
        <v>0</v>
      </c>
      <c r="D6614" s="2" t="str">
        <f t="shared" si="102"/>
        <v>Error?</v>
      </c>
      <c r="E6614" s="2" t="s">
        <v>190</v>
      </c>
    </row>
    <row r="6615" spans="1:5">
      <c r="A6615">
        <v>6554</v>
      </c>
      <c r="B6615" s="138">
        <f>'Revenues 9-14'!D223</f>
        <v>0</v>
      </c>
      <c r="D6615" s="2" t="str">
        <f t="shared" si="102"/>
        <v>Error?</v>
      </c>
      <c r="E6615" s="2" t="s">
        <v>190</v>
      </c>
    </row>
    <row r="6616" spans="1:5">
      <c r="A6616">
        <v>6555</v>
      </c>
      <c r="B6616" s="138">
        <f>'Revenues 9-14'!E223</f>
        <v>0</v>
      </c>
      <c r="D6616" s="2" t="str">
        <f t="shared" si="102"/>
        <v>Error?</v>
      </c>
      <c r="E6616" s="2" t="s">
        <v>190</v>
      </c>
    </row>
    <row r="6617" spans="1:5">
      <c r="A6617">
        <v>6556</v>
      </c>
      <c r="B6617" s="138">
        <f>'Revenues 9-14'!F223</f>
        <v>0</v>
      </c>
      <c r="D6617" s="2" t="str">
        <f t="shared" si="102"/>
        <v>Error?</v>
      </c>
      <c r="E6617" s="2" t="s">
        <v>190</v>
      </c>
    </row>
    <row r="6618" spans="1:5">
      <c r="A6618">
        <v>6557</v>
      </c>
      <c r="B6618" s="138">
        <f>'Revenues 9-14'!G223</f>
        <v>0</v>
      </c>
      <c r="D6618" s="2" t="str">
        <f t="shared" si="102"/>
        <v>Error?</v>
      </c>
      <c r="E6618" s="2" t="s">
        <v>190</v>
      </c>
    </row>
    <row r="6619" spans="1:5">
      <c r="A6619">
        <v>6558</v>
      </c>
      <c r="B6619" s="138">
        <f>'Revenues 9-14'!H223</f>
        <v>0</v>
      </c>
      <c r="D6619" s="2" t="str">
        <f t="shared" si="102"/>
        <v>Error?</v>
      </c>
      <c r="E6619" s="2" t="s">
        <v>190</v>
      </c>
    </row>
    <row r="6620" spans="1:5">
      <c r="A6620">
        <v>6559</v>
      </c>
      <c r="B6620" s="138">
        <f>'Revenues 9-14'!J223</f>
        <v>0</v>
      </c>
      <c r="D6620" s="2" t="str">
        <f t="shared" si="102"/>
        <v>Error?</v>
      </c>
      <c r="E6620" s="2" t="s">
        <v>190</v>
      </c>
    </row>
    <row r="6621" spans="1:5">
      <c r="A6621">
        <v>6560</v>
      </c>
      <c r="B6621" s="138">
        <f>'Revenues 9-14'!K223</f>
        <v>0</v>
      </c>
      <c r="D6621" s="2" t="str">
        <f t="shared" si="102"/>
        <v>Error?</v>
      </c>
      <c r="E6621" s="2" t="s">
        <v>190</v>
      </c>
    </row>
    <row r="6622" spans="1:5">
      <c r="A6622">
        <v>6561</v>
      </c>
      <c r="B6622" s="138">
        <f>'Revenues 9-14'!C224</f>
        <v>0</v>
      </c>
      <c r="D6622" s="2" t="str">
        <f t="shared" si="102"/>
        <v>Error?</v>
      </c>
      <c r="E6622" s="2" t="s">
        <v>190</v>
      </c>
    </row>
    <row r="6623" spans="1:5">
      <c r="A6623">
        <v>6562</v>
      </c>
      <c r="B6623" s="138">
        <f>'Revenues 9-14'!D224</f>
        <v>0</v>
      </c>
      <c r="D6623" s="2" t="str">
        <f t="shared" si="102"/>
        <v>Error?</v>
      </c>
      <c r="E6623" s="2" t="s">
        <v>190</v>
      </c>
    </row>
    <row r="6624" spans="1:5">
      <c r="A6624">
        <v>6563</v>
      </c>
      <c r="B6624" s="138">
        <f>'Revenues 9-14'!F224</f>
        <v>0</v>
      </c>
      <c r="D6624" s="2" t="str">
        <f t="shared" si="102"/>
        <v>Error?</v>
      </c>
      <c r="E6624" s="2" t="s">
        <v>190</v>
      </c>
    </row>
    <row r="6625" spans="1:5">
      <c r="A6625">
        <v>6564</v>
      </c>
      <c r="B6625" s="138">
        <f>'Revenues 9-14'!G224</f>
        <v>0</v>
      </c>
      <c r="D6625" s="2" t="str">
        <f t="shared" si="102"/>
        <v>Error?</v>
      </c>
      <c r="E6625" s="2" t="s">
        <v>190</v>
      </c>
    </row>
    <row r="6626" spans="1:5">
      <c r="A6626">
        <v>6565</v>
      </c>
      <c r="B6626" s="138">
        <f>'Revenues 9-14'!C225</f>
        <v>0</v>
      </c>
      <c r="D6626" s="2" t="str">
        <f t="shared" si="102"/>
        <v>Error?</v>
      </c>
      <c r="E6626" s="2" t="s">
        <v>190</v>
      </c>
    </row>
    <row r="6627" spans="1:5">
      <c r="A6627">
        <v>6566</v>
      </c>
      <c r="B6627" s="138">
        <f>'Revenues 9-14'!D225</f>
        <v>0</v>
      </c>
      <c r="D6627" s="2" t="str">
        <f t="shared" si="102"/>
        <v>Error?</v>
      </c>
      <c r="E6627" s="2" t="s">
        <v>190</v>
      </c>
    </row>
    <row r="6628" spans="1:5">
      <c r="A6628">
        <v>6567</v>
      </c>
      <c r="B6628" s="138">
        <f>'Revenues 9-14'!E225</f>
        <v>0</v>
      </c>
      <c r="D6628" s="2" t="str">
        <f t="shared" si="102"/>
        <v>Error?</v>
      </c>
      <c r="E6628" s="2" t="s">
        <v>190</v>
      </c>
    </row>
    <row r="6629" spans="1:5">
      <c r="A6629">
        <v>6568</v>
      </c>
      <c r="B6629" s="138">
        <f>'Revenues 9-14'!F225</f>
        <v>0</v>
      </c>
      <c r="D6629" s="2" t="str">
        <f t="shared" si="102"/>
        <v>Error?</v>
      </c>
      <c r="E6629" s="2" t="s">
        <v>190</v>
      </c>
    </row>
    <row r="6630" spans="1:5">
      <c r="A6630">
        <v>6569</v>
      </c>
      <c r="B6630" s="138">
        <f>'Revenues 9-14'!G225</f>
        <v>0</v>
      </c>
      <c r="D6630" s="2" t="str">
        <f t="shared" si="102"/>
        <v>Error?</v>
      </c>
      <c r="E6630" s="2" t="s">
        <v>190</v>
      </c>
    </row>
    <row r="6631" spans="1:5">
      <c r="A6631">
        <v>6570</v>
      </c>
      <c r="B6631" s="138">
        <f>'Revenues 9-14'!H225</f>
        <v>0</v>
      </c>
      <c r="D6631" s="2" t="str">
        <f t="shared" si="102"/>
        <v>Error?</v>
      </c>
      <c r="E6631" s="2" t="s">
        <v>190</v>
      </c>
    </row>
    <row r="6632" spans="1:5">
      <c r="A6632">
        <v>6571</v>
      </c>
      <c r="B6632" s="138">
        <f>'Revenues 9-14'!J225</f>
        <v>0</v>
      </c>
      <c r="D6632" s="2" t="str">
        <f t="shared" si="102"/>
        <v>Error?</v>
      </c>
      <c r="E6632" s="2" t="s">
        <v>190</v>
      </c>
    </row>
    <row r="6633" spans="1:5">
      <c r="A6633">
        <v>6572</v>
      </c>
      <c r="B6633" s="138">
        <f>'Revenues 9-14'!K225</f>
        <v>0</v>
      </c>
      <c r="D6633" s="2" t="str">
        <f t="shared" si="102"/>
        <v>Error?</v>
      </c>
      <c r="E6633" s="2" t="s">
        <v>190</v>
      </c>
    </row>
    <row r="6634" spans="1:5">
      <c r="A6634">
        <v>6573</v>
      </c>
      <c r="B6634" s="138">
        <f>'Revenues 9-14'!C226</f>
        <v>0</v>
      </c>
      <c r="D6634" s="2" t="str">
        <f t="shared" si="102"/>
        <v>Error?</v>
      </c>
      <c r="E6634" s="2" t="s">
        <v>190</v>
      </c>
    </row>
    <row r="6635" spans="1:5">
      <c r="A6635">
        <v>6574</v>
      </c>
      <c r="B6635" s="138">
        <f>'Revenues 9-14'!D226</f>
        <v>0</v>
      </c>
      <c r="D6635" s="2" t="str">
        <f t="shared" si="102"/>
        <v>Error?</v>
      </c>
      <c r="E6635" s="2" t="s">
        <v>190</v>
      </c>
    </row>
    <row r="6636" spans="1:5">
      <c r="A6636">
        <v>6575</v>
      </c>
      <c r="B6636" s="138">
        <f>'Revenues 9-14'!E226</f>
        <v>0</v>
      </c>
      <c r="D6636" s="2" t="str">
        <f t="shared" si="102"/>
        <v>Error?</v>
      </c>
      <c r="E6636" s="2" t="s">
        <v>190</v>
      </c>
    </row>
    <row r="6637" spans="1:5">
      <c r="A6637">
        <v>6576</v>
      </c>
      <c r="B6637" s="138">
        <f>'Revenues 9-14'!F226</f>
        <v>0</v>
      </c>
      <c r="D6637" s="2" t="str">
        <f t="shared" si="102"/>
        <v>Error?</v>
      </c>
      <c r="E6637" s="2" t="s">
        <v>190</v>
      </c>
    </row>
    <row r="6638" spans="1:5">
      <c r="A6638">
        <v>6577</v>
      </c>
      <c r="B6638" s="138">
        <f>'Revenues 9-14'!G226</f>
        <v>0</v>
      </c>
      <c r="D6638" s="2" t="str">
        <f t="shared" si="102"/>
        <v>Error?</v>
      </c>
      <c r="E6638" s="2" t="s">
        <v>190</v>
      </c>
    </row>
    <row r="6639" spans="1:5">
      <c r="A6639">
        <v>6578</v>
      </c>
      <c r="B6639" s="138">
        <f>'Revenues 9-14'!H226</f>
        <v>0</v>
      </c>
      <c r="D6639" s="2" t="str">
        <f t="shared" si="102"/>
        <v>Error?</v>
      </c>
      <c r="E6639" s="2" t="s">
        <v>190</v>
      </c>
    </row>
    <row r="6640" spans="1:5">
      <c r="A6640">
        <v>6579</v>
      </c>
      <c r="B6640" s="138">
        <f>'Revenues 9-14'!J226</f>
        <v>0</v>
      </c>
      <c r="D6640" s="2" t="str">
        <f t="shared" si="102"/>
        <v>Error?</v>
      </c>
      <c r="E6640" s="2" t="s">
        <v>190</v>
      </c>
    </row>
    <row r="6641" spans="1:5">
      <c r="A6641">
        <v>6580</v>
      </c>
      <c r="B6641" s="138">
        <f>'Revenues 9-14'!K226</f>
        <v>0</v>
      </c>
      <c r="D6641" s="2" t="str">
        <f t="shared" si="102"/>
        <v>Error?</v>
      </c>
      <c r="E6641" s="2" t="s">
        <v>190</v>
      </c>
    </row>
    <row r="6642" spans="1:5">
      <c r="A6642">
        <v>6581</v>
      </c>
      <c r="B6642" s="138">
        <f>'Revenues 9-14'!C227</f>
        <v>0</v>
      </c>
      <c r="D6642" s="2" t="str">
        <f t="shared" si="102"/>
        <v>Error?</v>
      </c>
      <c r="E6642" s="2" t="s">
        <v>190</v>
      </c>
    </row>
    <row r="6643" spans="1:5">
      <c r="A6643">
        <v>6582</v>
      </c>
      <c r="B6643" s="138">
        <f>'Revenues 9-14'!D227</f>
        <v>0</v>
      </c>
      <c r="D6643" s="2" t="str">
        <f t="shared" si="102"/>
        <v>Error?</v>
      </c>
      <c r="E6643" s="2" t="s">
        <v>190</v>
      </c>
    </row>
    <row r="6644" spans="1:5">
      <c r="A6644">
        <v>6583</v>
      </c>
      <c r="B6644" s="138">
        <f>'Revenues 9-14'!E227</f>
        <v>0</v>
      </c>
      <c r="D6644" s="2" t="str">
        <f t="shared" si="102"/>
        <v>Error?</v>
      </c>
      <c r="E6644" s="2" t="s">
        <v>190</v>
      </c>
    </row>
    <row r="6645" spans="1:5">
      <c r="A6645">
        <v>6584</v>
      </c>
      <c r="B6645" s="138">
        <f>'Revenues 9-14'!F227</f>
        <v>0</v>
      </c>
      <c r="D6645" s="2" t="str">
        <f t="shared" si="102"/>
        <v>Error?</v>
      </c>
      <c r="E6645" s="2" t="s">
        <v>190</v>
      </c>
    </row>
    <row r="6646" spans="1:5">
      <c r="A6646">
        <v>6585</v>
      </c>
      <c r="B6646" s="138">
        <f>'Revenues 9-14'!G227</f>
        <v>0</v>
      </c>
      <c r="D6646" s="2" t="str">
        <f t="shared" si="102"/>
        <v>Error?</v>
      </c>
      <c r="E6646" s="2" t="s">
        <v>190</v>
      </c>
    </row>
    <row r="6647" spans="1:5">
      <c r="A6647">
        <v>6586</v>
      </c>
      <c r="B6647" s="138">
        <f>'Revenues 9-14'!H227</f>
        <v>0</v>
      </c>
      <c r="D6647" s="2" t="str">
        <f t="shared" si="102"/>
        <v>Error?</v>
      </c>
      <c r="E6647" s="2" t="s">
        <v>190</v>
      </c>
    </row>
    <row r="6648" spans="1:5">
      <c r="A6648">
        <v>6587</v>
      </c>
      <c r="B6648" s="138">
        <f>'Revenues 9-14'!J227</f>
        <v>0</v>
      </c>
      <c r="D6648" s="2" t="str">
        <f t="shared" si="102"/>
        <v>Error?</v>
      </c>
      <c r="E6648" s="2" t="s">
        <v>190</v>
      </c>
    </row>
    <row r="6649" spans="1:5">
      <c r="A6649">
        <v>6588</v>
      </c>
      <c r="B6649" s="138">
        <f>'Revenues 9-14'!K227</f>
        <v>0</v>
      </c>
      <c r="D6649" s="2" t="str">
        <f t="shared" si="102"/>
        <v>Error?</v>
      </c>
      <c r="E6649" s="2" t="s">
        <v>190</v>
      </c>
    </row>
    <row r="6650" spans="1:5">
      <c r="A6650">
        <v>6589</v>
      </c>
      <c r="B6650" s="138">
        <f>'Revenues 9-14'!C228</f>
        <v>0</v>
      </c>
      <c r="D6650" s="2" t="str">
        <f t="shared" si="102"/>
        <v>Error?</v>
      </c>
      <c r="E6650" s="2" t="s">
        <v>190</v>
      </c>
    </row>
    <row r="6651" spans="1:5">
      <c r="A6651">
        <v>6590</v>
      </c>
      <c r="B6651" s="138">
        <f>'Revenues 9-14'!D228</f>
        <v>0</v>
      </c>
      <c r="D6651" s="2" t="str">
        <f t="shared" si="102"/>
        <v>Error?</v>
      </c>
      <c r="E6651" s="2" t="s">
        <v>190</v>
      </c>
    </row>
    <row r="6652" spans="1:5">
      <c r="A6652">
        <v>6591</v>
      </c>
      <c r="B6652" s="138">
        <f>'Revenues 9-14'!E228</f>
        <v>0</v>
      </c>
      <c r="D6652" s="2" t="str">
        <f t="shared" si="102"/>
        <v>Error?</v>
      </c>
      <c r="E6652" s="2" t="s">
        <v>190</v>
      </c>
    </row>
    <row r="6653" spans="1:5">
      <c r="A6653">
        <v>6592</v>
      </c>
      <c r="B6653" s="138">
        <f>'Revenues 9-14'!F228</f>
        <v>0</v>
      </c>
      <c r="D6653" s="2" t="str">
        <f t="shared" si="102"/>
        <v>Error?</v>
      </c>
      <c r="E6653" s="2" t="s">
        <v>190</v>
      </c>
    </row>
    <row r="6654" spans="1:5">
      <c r="A6654">
        <v>6593</v>
      </c>
      <c r="B6654" s="138">
        <f>'Revenues 9-14'!G228</f>
        <v>0</v>
      </c>
      <c r="D6654" s="2" t="str">
        <f t="shared" si="102"/>
        <v>Error?</v>
      </c>
      <c r="E6654" s="2" t="s">
        <v>190</v>
      </c>
    </row>
    <row r="6655" spans="1:5">
      <c r="A6655">
        <v>6594</v>
      </c>
      <c r="B6655" s="138">
        <f>'Revenues 9-14'!H228</f>
        <v>0</v>
      </c>
      <c r="D6655" s="2" t="str">
        <f t="shared" ref="D6655:D6718" si="103">IF(ISBLANK(B6655),"OK",IF(A6655-B6655=0,"OK","Error?"))</f>
        <v>Error?</v>
      </c>
      <c r="E6655" s="2" t="s">
        <v>190</v>
      </c>
    </row>
    <row r="6656" spans="1:5">
      <c r="A6656">
        <v>6595</v>
      </c>
      <c r="B6656" s="138">
        <f>'Revenues 9-14'!J228</f>
        <v>0</v>
      </c>
      <c r="D6656" s="2" t="str">
        <f t="shared" si="103"/>
        <v>Error?</v>
      </c>
      <c r="E6656" s="2" t="s">
        <v>190</v>
      </c>
    </row>
    <row r="6657" spans="1:5">
      <c r="A6657">
        <v>6596</v>
      </c>
      <c r="B6657" s="138">
        <f>'Revenues 9-14'!K228</f>
        <v>0</v>
      </c>
      <c r="D6657" s="2" t="str">
        <f t="shared" si="103"/>
        <v>Error?</v>
      </c>
      <c r="E6657" s="2" t="s">
        <v>190</v>
      </c>
    </row>
    <row r="6658" spans="1:5">
      <c r="A6658">
        <v>6597</v>
      </c>
      <c r="B6658" s="138">
        <f>'Revenues 9-14'!C229</f>
        <v>0</v>
      </c>
      <c r="D6658" s="2" t="str">
        <f t="shared" si="103"/>
        <v>Error?</v>
      </c>
      <c r="E6658" s="2" t="s">
        <v>190</v>
      </c>
    </row>
    <row r="6659" spans="1:5">
      <c r="A6659">
        <v>6598</v>
      </c>
      <c r="B6659" s="138">
        <f>'Revenues 9-14'!D229</f>
        <v>0</v>
      </c>
      <c r="D6659" s="2" t="str">
        <f t="shared" si="103"/>
        <v>Error?</v>
      </c>
      <c r="E6659" s="2" t="s">
        <v>190</v>
      </c>
    </row>
    <row r="6660" spans="1:5">
      <c r="A6660">
        <v>6599</v>
      </c>
      <c r="B6660" s="138">
        <f>'Revenues 9-14'!E229</f>
        <v>0</v>
      </c>
      <c r="D6660" s="2" t="str">
        <f t="shared" si="103"/>
        <v>Error?</v>
      </c>
      <c r="E6660" s="2" t="s">
        <v>190</v>
      </c>
    </row>
    <row r="6661" spans="1:5">
      <c r="A6661">
        <v>6600</v>
      </c>
      <c r="B6661" s="138">
        <f>'Revenues 9-14'!F229</f>
        <v>0</v>
      </c>
      <c r="D6661" s="2" t="str">
        <f t="shared" si="103"/>
        <v>Error?</v>
      </c>
      <c r="E6661" s="2" t="s">
        <v>190</v>
      </c>
    </row>
    <row r="6662" spans="1:5">
      <c r="A6662">
        <v>6601</v>
      </c>
      <c r="B6662" s="138">
        <f>'Revenues 9-14'!G229</f>
        <v>0</v>
      </c>
      <c r="D6662" s="2" t="str">
        <f t="shared" si="103"/>
        <v>Error?</v>
      </c>
      <c r="E6662" s="2" t="s">
        <v>190</v>
      </c>
    </row>
    <row r="6663" spans="1:5">
      <c r="A6663">
        <v>6602</v>
      </c>
      <c r="B6663" s="138">
        <f>'Revenues 9-14'!H229</f>
        <v>0</v>
      </c>
      <c r="D6663" s="2" t="str">
        <f t="shared" si="103"/>
        <v>Error?</v>
      </c>
      <c r="E6663" s="2" t="s">
        <v>190</v>
      </c>
    </row>
    <row r="6664" spans="1:5">
      <c r="A6664">
        <v>6603</v>
      </c>
      <c r="B6664" s="138">
        <f>'Revenues 9-14'!J229</f>
        <v>0</v>
      </c>
      <c r="D6664" s="2" t="str">
        <f t="shared" si="103"/>
        <v>Error?</v>
      </c>
      <c r="E6664" s="2" t="s">
        <v>190</v>
      </c>
    </row>
    <row r="6665" spans="1:5">
      <c r="A6665">
        <v>6604</v>
      </c>
      <c r="B6665" s="138">
        <f>'Revenues 9-14'!K229</f>
        <v>0</v>
      </c>
      <c r="D6665" s="2" t="str">
        <f t="shared" si="103"/>
        <v>Error?</v>
      </c>
      <c r="E6665" s="2" t="s">
        <v>190</v>
      </c>
    </row>
    <row r="6666" spans="1:5">
      <c r="A6666">
        <v>6605</v>
      </c>
      <c r="B6666" s="138">
        <f>'Revenues 9-14'!C230</f>
        <v>0</v>
      </c>
      <c r="D6666" s="2" t="str">
        <f t="shared" si="103"/>
        <v>Error?</v>
      </c>
      <c r="E6666" s="2" t="s">
        <v>190</v>
      </c>
    </row>
    <row r="6667" spans="1:5">
      <c r="A6667">
        <v>6606</v>
      </c>
      <c r="B6667" s="138">
        <f>'Revenues 9-14'!D230</f>
        <v>0</v>
      </c>
      <c r="D6667" s="2" t="str">
        <f t="shared" si="103"/>
        <v>Error?</v>
      </c>
      <c r="E6667" s="2" t="s">
        <v>190</v>
      </c>
    </row>
    <row r="6668" spans="1:5">
      <c r="A6668">
        <v>6607</v>
      </c>
      <c r="B6668" s="138">
        <f>'Revenues 9-14'!E230</f>
        <v>0</v>
      </c>
      <c r="D6668" s="2" t="str">
        <f t="shared" si="103"/>
        <v>Error?</v>
      </c>
      <c r="E6668" s="2" t="s">
        <v>190</v>
      </c>
    </row>
    <row r="6669" spans="1:5">
      <c r="A6669">
        <v>6608</v>
      </c>
      <c r="B6669" s="138">
        <f>'Revenues 9-14'!F230</f>
        <v>0</v>
      </c>
      <c r="D6669" s="2" t="str">
        <f t="shared" si="103"/>
        <v>Error?</v>
      </c>
      <c r="E6669" s="2" t="s">
        <v>190</v>
      </c>
    </row>
    <row r="6670" spans="1:5">
      <c r="A6670">
        <v>6609</v>
      </c>
      <c r="B6670" s="138">
        <f>'Revenues 9-14'!G230</f>
        <v>0</v>
      </c>
      <c r="D6670" s="2" t="str">
        <f t="shared" si="103"/>
        <v>Error?</v>
      </c>
      <c r="E6670" s="2" t="s">
        <v>190</v>
      </c>
    </row>
    <row r="6671" spans="1:5">
      <c r="A6671">
        <v>6610</v>
      </c>
      <c r="B6671" s="138">
        <f>'Revenues 9-14'!H230</f>
        <v>0</v>
      </c>
      <c r="D6671" s="2" t="str">
        <f t="shared" si="103"/>
        <v>Error?</v>
      </c>
      <c r="E6671" s="2" t="s">
        <v>190</v>
      </c>
    </row>
    <row r="6672" spans="1:5">
      <c r="A6672">
        <v>6611</v>
      </c>
      <c r="B6672" s="138">
        <f>'Revenues 9-14'!J230</f>
        <v>0</v>
      </c>
      <c r="D6672" s="2" t="str">
        <f t="shared" si="103"/>
        <v>Error?</v>
      </c>
      <c r="E6672" s="2" t="s">
        <v>190</v>
      </c>
    </row>
    <row r="6673" spans="1:5">
      <c r="A6673">
        <v>6612</v>
      </c>
      <c r="B6673" s="138">
        <f>'Revenues 9-14'!K230</f>
        <v>0</v>
      </c>
      <c r="D6673" s="2" t="str">
        <f t="shared" si="103"/>
        <v>Error?</v>
      </c>
      <c r="E6673" s="2" t="s">
        <v>190</v>
      </c>
    </row>
    <row r="6674" spans="1:5">
      <c r="A6674">
        <v>6613</v>
      </c>
      <c r="B6674" s="138">
        <f>'Revenues 9-14'!C231</f>
        <v>0</v>
      </c>
      <c r="D6674" s="2" t="str">
        <f t="shared" si="103"/>
        <v>Error?</v>
      </c>
      <c r="E6674" s="2" t="s">
        <v>190</v>
      </c>
    </row>
    <row r="6675" spans="1:5">
      <c r="A6675">
        <v>6614</v>
      </c>
      <c r="B6675" s="138">
        <f>'Revenues 9-14'!D231</f>
        <v>0</v>
      </c>
      <c r="D6675" s="2" t="str">
        <f t="shared" si="103"/>
        <v>Error?</v>
      </c>
      <c r="E6675" s="2" t="s">
        <v>190</v>
      </c>
    </row>
    <row r="6676" spans="1:5">
      <c r="A6676">
        <v>6615</v>
      </c>
      <c r="B6676" s="138">
        <f>'Revenues 9-14'!E231</f>
        <v>0</v>
      </c>
      <c r="D6676" s="2" t="str">
        <f t="shared" si="103"/>
        <v>Error?</v>
      </c>
      <c r="E6676" s="2" t="s">
        <v>190</v>
      </c>
    </row>
    <row r="6677" spans="1:5">
      <c r="A6677">
        <v>6616</v>
      </c>
      <c r="B6677" s="138">
        <f>'Revenues 9-14'!F231</f>
        <v>0</v>
      </c>
      <c r="D6677" s="2" t="str">
        <f t="shared" si="103"/>
        <v>Error?</v>
      </c>
      <c r="E6677" s="2" t="s">
        <v>190</v>
      </c>
    </row>
    <row r="6678" spans="1:5">
      <c r="A6678">
        <v>6617</v>
      </c>
      <c r="B6678" s="138">
        <f>'Revenues 9-14'!G231</f>
        <v>0</v>
      </c>
      <c r="D6678" s="2" t="str">
        <f t="shared" si="103"/>
        <v>Error?</v>
      </c>
      <c r="E6678" s="2" t="s">
        <v>190</v>
      </c>
    </row>
    <row r="6679" spans="1:5">
      <c r="A6679">
        <v>6618</v>
      </c>
      <c r="B6679" s="138">
        <f>'Revenues 9-14'!H231</f>
        <v>0</v>
      </c>
      <c r="D6679" s="2" t="str">
        <f t="shared" si="103"/>
        <v>Error?</v>
      </c>
      <c r="E6679" s="2" t="s">
        <v>190</v>
      </c>
    </row>
    <row r="6680" spans="1:5">
      <c r="A6680">
        <v>6619</v>
      </c>
      <c r="B6680" s="138">
        <f>'Revenues 9-14'!J231</f>
        <v>0</v>
      </c>
      <c r="D6680" s="2" t="str">
        <f t="shared" si="103"/>
        <v>Error?</v>
      </c>
      <c r="E6680" s="2" t="s">
        <v>190</v>
      </c>
    </row>
    <row r="6681" spans="1:5">
      <c r="A6681">
        <v>6620</v>
      </c>
      <c r="B6681" s="138">
        <f>'Revenues 9-14'!K231</f>
        <v>0</v>
      </c>
      <c r="D6681" s="2" t="str">
        <f t="shared" si="103"/>
        <v>Error?</v>
      </c>
      <c r="E6681" s="2" t="s">
        <v>190</v>
      </c>
    </row>
    <row r="6682" spans="1:5">
      <c r="A6682">
        <v>6621</v>
      </c>
      <c r="B6682" s="138">
        <f>'Revenues 9-14'!C232</f>
        <v>0</v>
      </c>
      <c r="D6682" s="2" t="str">
        <f t="shared" si="103"/>
        <v>Error?</v>
      </c>
      <c r="E6682" s="2" t="s">
        <v>190</v>
      </c>
    </row>
    <row r="6683" spans="1:5">
      <c r="A6683">
        <v>6622</v>
      </c>
      <c r="B6683" s="138">
        <f>'Revenues 9-14'!D232</f>
        <v>0</v>
      </c>
      <c r="D6683" s="2" t="str">
        <f t="shared" si="103"/>
        <v>Error?</v>
      </c>
      <c r="E6683" s="2" t="s">
        <v>190</v>
      </c>
    </row>
    <row r="6684" spans="1:5">
      <c r="A6684">
        <v>6623</v>
      </c>
      <c r="B6684" s="138">
        <f>'Revenues 9-14'!E232</f>
        <v>0</v>
      </c>
      <c r="D6684" s="2" t="str">
        <f t="shared" si="103"/>
        <v>Error?</v>
      </c>
      <c r="E6684" s="2" t="s">
        <v>190</v>
      </c>
    </row>
    <row r="6685" spans="1:5">
      <c r="A6685">
        <v>6624</v>
      </c>
      <c r="B6685" s="138">
        <f>'Revenues 9-14'!F232</f>
        <v>0</v>
      </c>
      <c r="D6685" s="2" t="str">
        <f t="shared" si="103"/>
        <v>Error?</v>
      </c>
      <c r="E6685" s="2" t="s">
        <v>190</v>
      </c>
    </row>
    <row r="6686" spans="1:5">
      <c r="A6686">
        <v>6625</v>
      </c>
      <c r="B6686" s="138">
        <f>'Revenues 9-14'!G232</f>
        <v>0</v>
      </c>
      <c r="D6686" s="2" t="str">
        <f t="shared" si="103"/>
        <v>Error?</v>
      </c>
      <c r="E6686" s="2" t="s">
        <v>190</v>
      </c>
    </row>
    <row r="6687" spans="1:5">
      <c r="A6687">
        <v>6626</v>
      </c>
      <c r="B6687" s="138">
        <f>'Revenues 9-14'!H232</f>
        <v>0</v>
      </c>
      <c r="D6687" s="2" t="str">
        <f t="shared" si="103"/>
        <v>Error?</v>
      </c>
      <c r="E6687" s="2" t="s">
        <v>190</v>
      </c>
    </row>
    <row r="6688" spans="1:5">
      <c r="A6688">
        <v>6627</v>
      </c>
      <c r="B6688" s="138">
        <f>'Revenues 9-14'!J232</f>
        <v>0</v>
      </c>
      <c r="D6688" s="2" t="str">
        <f t="shared" si="103"/>
        <v>Error?</v>
      </c>
      <c r="E6688" s="2" t="s">
        <v>190</v>
      </c>
    </row>
    <row r="6689" spans="1:5">
      <c r="A6689">
        <v>6628</v>
      </c>
      <c r="B6689" s="138">
        <f>'Revenues 9-14'!K232</f>
        <v>0</v>
      </c>
      <c r="D6689" s="2" t="str">
        <f t="shared" si="103"/>
        <v>Error?</v>
      </c>
      <c r="E6689" s="2" t="s">
        <v>190</v>
      </c>
    </row>
    <row r="6690" spans="1:5">
      <c r="A6690">
        <v>6629</v>
      </c>
      <c r="B6690" s="138">
        <f>'Revenues 9-14'!C233</f>
        <v>0</v>
      </c>
      <c r="D6690" s="2" t="str">
        <f t="shared" si="103"/>
        <v>Error?</v>
      </c>
      <c r="E6690" s="2" t="s">
        <v>190</v>
      </c>
    </row>
    <row r="6691" spans="1:5">
      <c r="A6691">
        <v>6630</v>
      </c>
      <c r="B6691" s="138">
        <f>'Revenues 9-14'!D233</f>
        <v>0</v>
      </c>
      <c r="D6691" s="2" t="str">
        <f t="shared" si="103"/>
        <v>Error?</v>
      </c>
      <c r="E6691" s="2" t="s">
        <v>190</v>
      </c>
    </row>
    <row r="6692" spans="1:5">
      <c r="A6692">
        <v>6631</v>
      </c>
      <c r="B6692" s="138">
        <f>'Revenues 9-14'!F233</f>
        <v>0</v>
      </c>
      <c r="D6692" s="2" t="str">
        <f t="shared" si="103"/>
        <v>Error?</v>
      </c>
      <c r="E6692" s="2" t="s">
        <v>190</v>
      </c>
    </row>
    <row r="6693" spans="1:5">
      <c r="A6693">
        <v>6632</v>
      </c>
      <c r="B6693" s="138">
        <f>'Revenues 9-14'!G233</f>
        <v>0</v>
      </c>
      <c r="D6693" s="2" t="str">
        <f t="shared" si="103"/>
        <v>Error?</v>
      </c>
      <c r="E6693" s="2" t="s">
        <v>190</v>
      </c>
    </row>
    <row r="6694" spans="1:5">
      <c r="A6694">
        <v>6633</v>
      </c>
      <c r="B6694" s="138">
        <f>'Revenues 9-14'!C234</f>
        <v>0</v>
      </c>
      <c r="D6694" s="2" t="str">
        <f t="shared" si="103"/>
        <v>Error?</v>
      </c>
      <c r="E6694" s="2" t="s">
        <v>190</v>
      </c>
    </row>
    <row r="6695" spans="1:5">
      <c r="A6695">
        <v>6634</v>
      </c>
      <c r="B6695" s="138">
        <f>'Revenues 9-14'!D234</f>
        <v>0</v>
      </c>
      <c r="D6695" s="2" t="str">
        <f t="shared" si="103"/>
        <v>Error?</v>
      </c>
      <c r="E6695" s="2" t="s">
        <v>190</v>
      </c>
    </row>
    <row r="6696" spans="1:5">
      <c r="A6696">
        <v>6635</v>
      </c>
      <c r="B6696" s="138">
        <f>'Revenues 9-14'!C235</f>
        <v>0</v>
      </c>
      <c r="D6696" s="2" t="str">
        <f t="shared" si="103"/>
        <v>Error?</v>
      </c>
      <c r="E6696" s="2" t="s">
        <v>190</v>
      </c>
    </row>
    <row r="6697" spans="1:5">
      <c r="A6697">
        <v>6636</v>
      </c>
      <c r="B6697" s="138">
        <f>'Revenues 9-14'!D235</f>
        <v>0</v>
      </c>
      <c r="D6697" s="2" t="str">
        <f t="shared" si="103"/>
        <v>Error?</v>
      </c>
      <c r="E6697" s="2" t="s">
        <v>190</v>
      </c>
    </row>
    <row r="6698" spans="1:5">
      <c r="A6698">
        <v>6637</v>
      </c>
      <c r="B6698" s="138">
        <f>'Revenues 9-14'!E235</f>
        <v>0</v>
      </c>
      <c r="D6698" s="2" t="str">
        <f t="shared" si="103"/>
        <v>Error?</v>
      </c>
      <c r="E6698" s="2" t="s">
        <v>190</v>
      </c>
    </row>
    <row r="6699" spans="1:5">
      <c r="A6699">
        <v>6638</v>
      </c>
      <c r="B6699" s="138">
        <f>'Revenues 9-14'!F235</f>
        <v>0</v>
      </c>
      <c r="D6699" s="2" t="str">
        <f t="shared" si="103"/>
        <v>Error?</v>
      </c>
      <c r="E6699" s="2" t="s">
        <v>190</v>
      </c>
    </row>
    <row r="6700" spans="1:5">
      <c r="A6700">
        <v>6639</v>
      </c>
      <c r="B6700" s="138">
        <f>'Revenues 9-14'!G235</f>
        <v>0</v>
      </c>
      <c r="D6700" s="2" t="str">
        <f t="shared" si="103"/>
        <v>Error?</v>
      </c>
      <c r="E6700" s="2" t="s">
        <v>190</v>
      </c>
    </row>
    <row r="6701" spans="1:5">
      <c r="A6701">
        <v>6640</v>
      </c>
      <c r="B6701" s="138">
        <f>'Revenues 9-14'!H235</f>
        <v>0</v>
      </c>
      <c r="D6701" s="2" t="str">
        <f t="shared" si="103"/>
        <v>Error?</v>
      </c>
      <c r="E6701" s="2" t="s">
        <v>190</v>
      </c>
    </row>
    <row r="6702" spans="1:5">
      <c r="A6702">
        <v>6641</v>
      </c>
      <c r="B6702" s="138">
        <f>'Revenues 9-14'!J235</f>
        <v>0</v>
      </c>
      <c r="D6702" s="2" t="str">
        <f t="shared" si="103"/>
        <v>Error?</v>
      </c>
      <c r="E6702" s="2" t="s">
        <v>190</v>
      </c>
    </row>
    <row r="6703" spans="1:5">
      <c r="A6703">
        <v>6642</v>
      </c>
      <c r="B6703" s="138">
        <f>'Revenues 9-14'!K235</f>
        <v>0</v>
      </c>
      <c r="D6703" s="2" t="str">
        <f t="shared" si="103"/>
        <v>Error?</v>
      </c>
      <c r="E6703" s="2" t="s">
        <v>190</v>
      </c>
    </row>
    <row r="6704" spans="1:5">
      <c r="A6704">
        <v>6643</v>
      </c>
      <c r="B6704" s="138">
        <f>'Revenues 9-14'!C236</f>
        <v>0</v>
      </c>
      <c r="D6704" s="2" t="str">
        <f t="shared" si="103"/>
        <v>Error?</v>
      </c>
      <c r="E6704" s="2" t="s">
        <v>190</v>
      </c>
    </row>
    <row r="6705" spans="1:5">
      <c r="A6705">
        <v>6644</v>
      </c>
      <c r="B6705" s="138">
        <f>'Revenues 9-14'!D236</f>
        <v>0</v>
      </c>
      <c r="D6705" s="2" t="str">
        <f t="shared" si="103"/>
        <v>Error?</v>
      </c>
      <c r="E6705" s="2" t="s">
        <v>190</v>
      </c>
    </row>
    <row r="6706" spans="1:5">
      <c r="A6706">
        <v>6645</v>
      </c>
      <c r="B6706" s="138">
        <f>'Revenues 9-14'!E236</f>
        <v>0</v>
      </c>
      <c r="D6706" s="2" t="str">
        <f t="shared" si="103"/>
        <v>Error?</v>
      </c>
      <c r="E6706" s="2" t="s">
        <v>190</v>
      </c>
    </row>
    <row r="6707" spans="1:5">
      <c r="A6707">
        <v>6646</v>
      </c>
      <c r="B6707" s="138">
        <f>'Revenues 9-14'!F236</f>
        <v>0</v>
      </c>
      <c r="D6707" s="2" t="str">
        <f t="shared" si="103"/>
        <v>Error?</v>
      </c>
      <c r="E6707" s="2" t="s">
        <v>190</v>
      </c>
    </row>
    <row r="6708" spans="1:5">
      <c r="A6708">
        <v>6647</v>
      </c>
      <c r="B6708" s="138">
        <f>'Revenues 9-14'!G236</f>
        <v>0</v>
      </c>
      <c r="D6708" s="2" t="str">
        <f t="shared" si="103"/>
        <v>Error?</v>
      </c>
      <c r="E6708" s="2" t="s">
        <v>190</v>
      </c>
    </row>
    <row r="6709" spans="1:5">
      <c r="A6709">
        <v>6648</v>
      </c>
      <c r="B6709" s="138">
        <f>'Revenues 9-14'!H236</f>
        <v>0</v>
      </c>
      <c r="D6709" s="2" t="str">
        <f t="shared" si="103"/>
        <v>Error?</v>
      </c>
      <c r="E6709" s="2" t="s">
        <v>190</v>
      </c>
    </row>
    <row r="6710" spans="1:5">
      <c r="A6710">
        <v>6649</v>
      </c>
      <c r="B6710" s="138">
        <f>'Revenues 9-14'!J236</f>
        <v>0</v>
      </c>
      <c r="D6710" s="2" t="str">
        <f t="shared" si="103"/>
        <v>Error?</v>
      </c>
      <c r="E6710" s="2" t="s">
        <v>190</v>
      </c>
    </row>
    <row r="6711" spans="1:5">
      <c r="A6711">
        <v>6650</v>
      </c>
      <c r="B6711" s="138">
        <f>'Revenues 9-14'!K236</f>
        <v>0</v>
      </c>
      <c r="D6711" s="2" t="str">
        <f t="shared" si="103"/>
        <v>Error?</v>
      </c>
      <c r="E6711" s="2" t="s">
        <v>190</v>
      </c>
    </row>
    <row r="6712" spans="1:5">
      <c r="A6712">
        <v>6651</v>
      </c>
      <c r="B6712" s="138">
        <f>'Revenues 9-14'!C237</f>
        <v>0</v>
      </c>
      <c r="D6712" s="2" t="str">
        <f t="shared" si="103"/>
        <v>Error?</v>
      </c>
      <c r="E6712" s="2" t="s">
        <v>190</v>
      </c>
    </row>
    <row r="6713" spans="1:5">
      <c r="A6713">
        <v>6652</v>
      </c>
      <c r="B6713" s="138">
        <f>'Revenues 9-14'!D237</f>
        <v>0</v>
      </c>
      <c r="D6713" s="2" t="str">
        <f t="shared" si="103"/>
        <v>Error?</v>
      </c>
      <c r="E6713" s="2" t="s">
        <v>190</v>
      </c>
    </row>
    <row r="6714" spans="1:5">
      <c r="A6714">
        <v>6653</v>
      </c>
      <c r="B6714" s="138">
        <f>'Revenues 9-14'!E237</f>
        <v>0</v>
      </c>
      <c r="D6714" s="2" t="str">
        <f t="shared" si="103"/>
        <v>Error?</v>
      </c>
      <c r="E6714" s="2" t="s">
        <v>190</v>
      </c>
    </row>
    <row r="6715" spans="1:5">
      <c r="A6715">
        <v>6654</v>
      </c>
      <c r="B6715" s="138">
        <f>'Revenues 9-14'!F237</f>
        <v>0</v>
      </c>
      <c r="D6715" s="2" t="str">
        <f t="shared" si="103"/>
        <v>Error?</v>
      </c>
      <c r="E6715" s="2" t="s">
        <v>190</v>
      </c>
    </row>
    <row r="6716" spans="1:5">
      <c r="A6716">
        <v>6655</v>
      </c>
      <c r="B6716" s="138">
        <f>'Revenues 9-14'!G237</f>
        <v>0</v>
      </c>
      <c r="D6716" s="2" t="str">
        <f t="shared" si="103"/>
        <v>Error?</v>
      </c>
      <c r="E6716" s="2" t="s">
        <v>190</v>
      </c>
    </row>
    <row r="6717" spans="1:5">
      <c r="A6717">
        <v>6656</v>
      </c>
      <c r="B6717" s="138">
        <f>'Revenues 9-14'!H237</f>
        <v>0</v>
      </c>
      <c r="D6717" s="2" t="str">
        <f t="shared" si="103"/>
        <v>Error?</v>
      </c>
      <c r="E6717" s="2" t="s">
        <v>190</v>
      </c>
    </row>
    <row r="6718" spans="1:5">
      <c r="A6718">
        <v>6657</v>
      </c>
      <c r="B6718" s="138">
        <f>'Revenues 9-14'!J237</f>
        <v>0</v>
      </c>
      <c r="D6718" s="2" t="str">
        <f t="shared" si="103"/>
        <v>Error?</v>
      </c>
      <c r="E6718" s="2" t="s">
        <v>190</v>
      </c>
    </row>
    <row r="6719" spans="1:5">
      <c r="A6719">
        <v>6658</v>
      </c>
      <c r="B6719" s="138">
        <f>'Revenues 9-14'!K237</f>
        <v>0</v>
      </c>
      <c r="D6719" s="2" t="str">
        <f t="shared" ref="D6719:D6782" si="104">IF(ISBLANK(B6719),"OK",IF(A6719-B6719=0,"OK","Error?"))</f>
        <v>Error?</v>
      </c>
      <c r="E6719" s="2" t="s">
        <v>190</v>
      </c>
    </row>
    <row r="6720" spans="1:5">
      <c r="A6720">
        <v>6659</v>
      </c>
      <c r="B6720" s="138">
        <f>'Revenues 9-14'!C238</f>
        <v>0</v>
      </c>
      <c r="D6720" s="2" t="str">
        <f t="shared" si="104"/>
        <v>Error?</v>
      </c>
      <c r="E6720" s="2" t="s">
        <v>190</v>
      </c>
    </row>
    <row r="6721" spans="1:5">
      <c r="A6721">
        <v>6660</v>
      </c>
      <c r="B6721" s="138">
        <f>'Revenues 9-14'!D238</f>
        <v>0</v>
      </c>
      <c r="D6721" s="2" t="str">
        <f t="shared" si="104"/>
        <v>Error?</v>
      </c>
      <c r="E6721" s="2" t="s">
        <v>190</v>
      </c>
    </row>
    <row r="6722" spans="1:5">
      <c r="A6722">
        <v>6661</v>
      </c>
      <c r="B6722" s="138">
        <f>'Revenues 9-14'!E238</f>
        <v>0</v>
      </c>
      <c r="D6722" s="2" t="str">
        <f t="shared" si="104"/>
        <v>Error?</v>
      </c>
      <c r="E6722" s="2" t="s">
        <v>190</v>
      </c>
    </row>
    <row r="6723" spans="1:5">
      <c r="A6723">
        <v>6662</v>
      </c>
      <c r="B6723" s="138">
        <f>'Revenues 9-14'!F238</f>
        <v>0</v>
      </c>
      <c r="D6723" s="2" t="str">
        <f t="shared" si="104"/>
        <v>Error?</v>
      </c>
      <c r="E6723" s="2" t="s">
        <v>190</v>
      </c>
    </row>
    <row r="6724" spans="1:5">
      <c r="A6724">
        <v>6663</v>
      </c>
      <c r="B6724" s="138">
        <f>'Revenues 9-14'!G238</f>
        <v>0</v>
      </c>
      <c r="D6724" s="2" t="str">
        <f t="shared" si="104"/>
        <v>Error?</v>
      </c>
      <c r="E6724" s="2" t="s">
        <v>190</v>
      </c>
    </row>
    <row r="6725" spans="1:5">
      <c r="A6725">
        <v>6664</v>
      </c>
      <c r="B6725" s="138">
        <f>'Revenues 9-14'!H238</f>
        <v>0</v>
      </c>
      <c r="D6725" s="2" t="str">
        <f t="shared" si="104"/>
        <v>Error?</v>
      </c>
      <c r="E6725" s="2" t="s">
        <v>190</v>
      </c>
    </row>
    <row r="6726" spans="1:5">
      <c r="A6726">
        <v>6665</v>
      </c>
      <c r="B6726" s="138">
        <f>'Revenues 9-14'!J238</f>
        <v>0</v>
      </c>
      <c r="D6726" s="2" t="str">
        <f t="shared" si="104"/>
        <v>Error?</v>
      </c>
      <c r="E6726" s="2" t="s">
        <v>190</v>
      </c>
    </row>
    <row r="6727" spans="1:5">
      <c r="A6727" s="8">
        <v>6666</v>
      </c>
      <c r="B6727" s="138">
        <f>'Expenditures 15-22'!C7</f>
        <v>361955</v>
      </c>
      <c r="D6727" s="2" t="str">
        <f t="shared" si="104"/>
        <v>Error?</v>
      </c>
      <c r="E6727" s="2" t="s">
        <v>191</v>
      </c>
    </row>
    <row r="6728" spans="1:5">
      <c r="A6728">
        <v>6667</v>
      </c>
      <c r="B6728" s="138">
        <f>'Revenues 9-14'!K238</f>
        <v>0</v>
      </c>
      <c r="D6728" s="2" t="str">
        <f t="shared" si="104"/>
        <v>Error?</v>
      </c>
      <c r="E6728" s="2" t="s">
        <v>190</v>
      </c>
    </row>
    <row r="6729" spans="1:5">
      <c r="A6729">
        <v>6668</v>
      </c>
      <c r="B6729" s="138">
        <f>'Revenues 9-14'!C239</f>
        <v>0</v>
      </c>
      <c r="D6729" s="2" t="str">
        <f t="shared" si="104"/>
        <v>Error?</v>
      </c>
      <c r="E6729" s="2" t="s">
        <v>190</v>
      </c>
    </row>
    <row r="6730" spans="1:5">
      <c r="A6730">
        <v>6669</v>
      </c>
      <c r="B6730" s="138">
        <f>'Revenues 9-14'!D239</f>
        <v>0</v>
      </c>
      <c r="D6730" s="2" t="str">
        <f t="shared" si="104"/>
        <v>Error?</v>
      </c>
      <c r="E6730" s="2" t="s">
        <v>190</v>
      </c>
    </row>
    <row r="6731" spans="1:5">
      <c r="A6731">
        <v>6670</v>
      </c>
      <c r="B6731" s="138">
        <f>'Revenues 9-14'!E239</f>
        <v>0</v>
      </c>
      <c r="D6731" s="2" t="str">
        <f t="shared" si="104"/>
        <v>Error?</v>
      </c>
      <c r="E6731" s="2" t="s">
        <v>190</v>
      </c>
    </row>
    <row r="6732" spans="1:5">
      <c r="A6732">
        <v>6671</v>
      </c>
      <c r="B6732" s="138">
        <f>'Revenues 9-14'!F239</f>
        <v>0</v>
      </c>
      <c r="D6732" s="2" t="str">
        <f t="shared" si="104"/>
        <v>Error?</v>
      </c>
      <c r="E6732" s="2" t="s">
        <v>190</v>
      </c>
    </row>
    <row r="6733" spans="1:5">
      <c r="A6733">
        <v>6672</v>
      </c>
      <c r="B6733" s="138">
        <f>'Revenues 9-14'!G239</f>
        <v>0</v>
      </c>
      <c r="D6733" s="2" t="str">
        <f t="shared" si="104"/>
        <v>Error?</v>
      </c>
      <c r="E6733" s="2" t="s">
        <v>190</v>
      </c>
    </row>
    <row r="6734" spans="1:5">
      <c r="A6734">
        <v>6673</v>
      </c>
      <c r="B6734" s="138">
        <f>'Revenues 9-14'!H239</f>
        <v>0</v>
      </c>
      <c r="D6734" s="2" t="str">
        <f t="shared" si="104"/>
        <v>Error?</v>
      </c>
      <c r="E6734" s="2" t="s">
        <v>190</v>
      </c>
    </row>
    <row r="6735" spans="1:5">
      <c r="A6735">
        <v>6674</v>
      </c>
      <c r="B6735" s="138">
        <f>'Revenues 9-14'!J239</f>
        <v>0</v>
      </c>
      <c r="D6735" s="2" t="str">
        <f t="shared" si="104"/>
        <v>Error?</v>
      </c>
      <c r="E6735" s="2" t="s">
        <v>190</v>
      </c>
    </row>
    <row r="6736" spans="1:5">
      <c r="A6736">
        <v>6675</v>
      </c>
      <c r="B6736" s="138">
        <f>'Revenues 9-14'!K239</f>
        <v>0</v>
      </c>
      <c r="D6736" s="2" t="str">
        <f t="shared" si="104"/>
        <v>Error?</v>
      </c>
      <c r="E6736" s="2" t="s">
        <v>190</v>
      </c>
    </row>
    <row r="6737" spans="1:5">
      <c r="A6737">
        <v>6676</v>
      </c>
      <c r="B6737" s="138">
        <f>'Revenues 9-14'!C240</f>
        <v>0</v>
      </c>
      <c r="D6737" s="2" t="str">
        <f t="shared" si="104"/>
        <v>Error?</v>
      </c>
      <c r="E6737" s="2" t="s">
        <v>190</v>
      </c>
    </row>
    <row r="6738" spans="1:5">
      <c r="A6738">
        <v>6677</v>
      </c>
      <c r="B6738" s="138">
        <f>'Revenues 9-14'!D240</f>
        <v>0</v>
      </c>
      <c r="D6738" s="2" t="str">
        <f t="shared" si="104"/>
        <v>Error?</v>
      </c>
      <c r="E6738" s="2" t="s">
        <v>190</v>
      </c>
    </row>
    <row r="6739" spans="1:5">
      <c r="A6739">
        <v>6678</v>
      </c>
      <c r="B6739" s="138">
        <f>'Revenues 9-14'!E240</f>
        <v>0</v>
      </c>
      <c r="D6739" s="2" t="str">
        <f t="shared" si="104"/>
        <v>Error?</v>
      </c>
      <c r="E6739" s="2" t="s">
        <v>190</v>
      </c>
    </row>
    <row r="6740" spans="1:5">
      <c r="A6740">
        <v>6679</v>
      </c>
      <c r="B6740" s="138">
        <f>'Revenues 9-14'!F240</f>
        <v>0</v>
      </c>
      <c r="D6740" s="2" t="str">
        <f t="shared" si="104"/>
        <v>Error?</v>
      </c>
      <c r="E6740" s="2" t="s">
        <v>190</v>
      </c>
    </row>
    <row r="6741" spans="1:5">
      <c r="A6741">
        <v>6680</v>
      </c>
      <c r="B6741" s="138">
        <f>'Revenues 9-14'!G240</f>
        <v>0</v>
      </c>
      <c r="D6741" s="2" t="str">
        <f t="shared" si="104"/>
        <v>Error?</v>
      </c>
      <c r="E6741" s="2" t="s">
        <v>190</v>
      </c>
    </row>
    <row r="6742" spans="1:5">
      <c r="A6742">
        <v>6681</v>
      </c>
      <c r="B6742" s="138">
        <f>'Revenues 9-14'!H240</f>
        <v>0</v>
      </c>
      <c r="D6742" s="2" t="str">
        <f t="shared" si="104"/>
        <v>Error?</v>
      </c>
      <c r="E6742" s="2" t="s">
        <v>190</v>
      </c>
    </row>
    <row r="6743" spans="1:5">
      <c r="A6743">
        <v>6682</v>
      </c>
      <c r="B6743" s="138">
        <f>'Revenues 9-14'!J240</f>
        <v>0</v>
      </c>
      <c r="D6743" s="2" t="str">
        <f t="shared" si="104"/>
        <v>Error?</v>
      </c>
      <c r="E6743" s="2" t="s">
        <v>190</v>
      </c>
    </row>
    <row r="6744" spans="1:5">
      <c r="A6744">
        <v>6683</v>
      </c>
      <c r="B6744" s="138">
        <f>'Revenues 9-14'!K240</f>
        <v>0</v>
      </c>
      <c r="D6744" s="2" t="str">
        <f t="shared" si="104"/>
        <v>Error?</v>
      </c>
      <c r="E6744" s="2" t="s">
        <v>190</v>
      </c>
    </row>
    <row r="6745" spans="1:5">
      <c r="A6745">
        <v>6684</v>
      </c>
      <c r="B6745" s="138">
        <f>'Revenues 9-14'!C241</f>
        <v>0</v>
      </c>
      <c r="D6745" s="2" t="str">
        <f t="shared" si="104"/>
        <v>Error?</v>
      </c>
      <c r="E6745" s="2" t="s">
        <v>190</v>
      </c>
    </row>
    <row r="6746" spans="1:5">
      <c r="A6746">
        <v>6685</v>
      </c>
      <c r="B6746" s="138">
        <f>'Revenues 9-14'!D241</f>
        <v>0</v>
      </c>
      <c r="D6746" s="2" t="str">
        <f t="shared" si="104"/>
        <v>Error?</v>
      </c>
      <c r="E6746" s="2" t="s">
        <v>190</v>
      </c>
    </row>
    <row r="6747" spans="1:5">
      <c r="A6747">
        <v>6686</v>
      </c>
      <c r="B6747" s="138">
        <f>'Revenues 9-14'!E241</f>
        <v>0</v>
      </c>
      <c r="D6747" s="2" t="str">
        <f t="shared" si="104"/>
        <v>Error?</v>
      </c>
      <c r="E6747" s="2" t="s">
        <v>190</v>
      </c>
    </row>
    <row r="6748" spans="1:5">
      <c r="A6748">
        <v>6687</v>
      </c>
      <c r="B6748" s="138">
        <f>'Revenues 9-14'!F241</f>
        <v>0</v>
      </c>
      <c r="D6748" s="2" t="str">
        <f t="shared" si="104"/>
        <v>Error?</v>
      </c>
      <c r="E6748" s="2" t="s">
        <v>190</v>
      </c>
    </row>
    <row r="6749" spans="1:5">
      <c r="A6749">
        <v>6688</v>
      </c>
      <c r="B6749" s="138">
        <f>'Revenues 9-14'!G241</f>
        <v>0</v>
      </c>
      <c r="D6749" s="2" t="str">
        <f t="shared" si="104"/>
        <v>Error?</v>
      </c>
      <c r="E6749" s="2" t="s">
        <v>190</v>
      </c>
    </row>
    <row r="6750" spans="1:5">
      <c r="A6750">
        <v>6689</v>
      </c>
      <c r="B6750" s="138">
        <f>'Revenues 9-14'!H241</f>
        <v>0</v>
      </c>
      <c r="D6750" s="2" t="str">
        <f t="shared" si="104"/>
        <v>Error?</v>
      </c>
      <c r="E6750" s="2" t="s">
        <v>190</v>
      </c>
    </row>
    <row r="6751" spans="1:5">
      <c r="A6751">
        <v>6690</v>
      </c>
      <c r="B6751" s="138">
        <f>'Revenues 9-14'!J241</f>
        <v>0</v>
      </c>
      <c r="D6751" s="2" t="str">
        <f t="shared" si="104"/>
        <v>Error?</v>
      </c>
      <c r="E6751" s="2" t="s">
        <v>190</v>
      </c>
    </row>
    <row r="6752" spans="1:5">
      <c r="A6752">
        <v>6691</v>
      </c>
      <c r="B6752" s="138">
        <f>'Revenues 9-14'!K241</f>
        <v>0</v>
      </c>
      <c r="D6752" s="2" t="str">
        <f t="shared" si="104"/>
        <v>Error?</v>
      </c>
      <c r="E6752" s="2" t="s">
        <v>190</v>
      </c>
    </row>
    <row r="6753" spans="1:5">
      <c r="A6753">
        <v>6692</v>
      </c>
      <c r="B6753" s="138">
        <f>'Revenues 9-14'!C242</f>
        <v>0</v>
      </c>
      <c r="D6753" s="2" t="str">
        <f t="shared" si="104"/>
        <v>Error?</v>
      </c>
      <c r="E6753" s="2" t="s">
        <v>190</v>
      </c>
    </row>
    <row r="6754" spans="1:5">
      <c r="A6754">
        <v>6693</v>
      </c>
      <c r="B6754" s="138">
        <f>'Revenues 9-14'!D242</f>
        <v>0</v>
      </c>
      <c r="D6754" s="2" t="str">
        <f t="shared" si="104"/>
        <v>Error?</v>
      </c>
      <c r="E6754" s="2" t="s">
        <v>190</v>
      </c>
    </row>
    <row r="6755" spans="1:5">
      <c r="A6755">
        <v>6694</v>
      </c>
      <c r="B6755" s="138">
        <f>'Revenues 9-14'!E242</f>
        <v>0</v>
      </c>
      <c r="D6755" s="2" t="str">
        <f t="shared" si="104"/>
        <v>Error?</v>
      </c>
      <c r="E6755" s="2" t="s">
        <v>190</v>
      </c>
    </row>
    <row r="6756" spans="1:5">
      <c r="A6756">
        <v>6695</v>
      </c>
      <c r="B6756" s="138">
        <f>'Revenues 9-14'!F242</f>
        <v>0</v>
      </c>
      <c r="D6756" s="2" t="str">
        <f t="shared" si="104"/>
        <v>Error?</v>
      </c>
      <c r="E6756" s="2" t="s">
        <v>190</v>
      </c>
    </row>
    <row r="6757" spans="1:5">
      <c r="A6757">
        <v>6696</v>
      </c>
      <c r="B6757" s="138">
        <f>'Revenues 9-14'!G242</f>
        <v>0</v>
      </c>
      <c r="D6757" s="2" t="str">
        <f t="shared" si="104"/>
        <v>Error?</v>
      </c>
      <c r="E6757" s="2" t="s">
        <v>190</v>
      </c>
    </row>
    <row r="6758" spans="1:5">
      <c r="A6758">
        <v>6697</v>
      </c>
      <c r="B6758" s="138">
        <f>'Revenues 9-14'!H242</f>
        <v>0</v>
      </c>
      <c r="D6758" s="2" t="str">
        <f t="shared" si="104"/>
        <v>Error?</v>
      </c>
      <c r="E6758" s="2" t="s">
        <v>190</v>
      </c>
    </row>
    <row r="6759" spans="1:5">
      <c r="A6759">
        <v>6698</v>
      </c>
      <c r="B6759" s="138">
        <f>'Revenues 9-14'!J242</f>
        <v>0</v>
      </c>
      <c r="D6759" s="2" t="str">
        <f t="shared" si="104"/>
        <v>Error?</v>
      </c>
      <c r="E6759" s="2" t="s">
        <v>190</v>
      </c>
    </row>
    <row r="6760" spans="1:5">
      <c r="A6760">
        <v>6699</v>
      </c>
      <c r="B6760" s="138">
        <f>'Revenues 9-14'!K242</f>
        <v>0</v>
      </c>
      <c r="D6760" s="2" t="str">
        <f t="shared" si="104"/>
        <v>Error?</v>
      </c>
      <c r="E6760" s="2" t="s">
        <v>190</v>
      </c>
    </row>
    <row r="6761" spans="1:5">
      <c r="A6761">
        <v>6700</v>
      </c>
      <c r="B6761" s="138">
        <f>'Revenues 9-14'!C243</f>
        <v>0</v>
      </c>
      <c r="D6761" s="2" t="str">
        <f t="shared" si="104"/>
        <v>Error?</v>
      </c>
      <c r="E6761" s="2" t="s">
        <v>190</v>
      </c>
    </row>
    <row r="6762" spans="1:5">
      <c r="A6762">
        <v>6701</v>
      </c>
      <c r="B6762" s="138">
        <f>'Revenues 9-14'!D243</f>
        <v>0</v>
      </c>
      <c r="D6762" s="2" t="str">
        <f t="shared" si="104"/>
        <v>Error?</v>
      </c>
      <c r="E6762" s="2" t="s">
        <v>190</v>
      </c>
    </row>
    <row r="6763" spans="1:5">
      <c r="A6763">
        <v>6702</v>
      </c>
      <c r="B6763" s="138">
        <f>'Revenues 9-14'!E243</f>
        <v>0</v>
      </c>
      <c r="D6763" s="2" t="str">
        <f t="shared" si="104"/>
        <v>Error?</v>
      </c>
      <c r="E6763" s="2" t="s">
        <v>190</v>
      </c>
    </row>
    <row r="6764" spans="1:5">
      <c r="A6764">
        <v>6703</v>
      </c>
      <c r="B6764" s="138">
        <f>'Revenues 9-14'!F243</f>
        <v>0</v>
      </c>
      <c r="D6764" s="2" t="str">
        <f t="shared" si="104"/>
        <v>Error?</v>
      </c>
      <c r="E6764" s="2" t="s">
        <v>190</v>
      </c>
    </row>
    <row r="6765" spans="1:5">
      <c r="A6765">
        <v>6704</v>
      </c>
      <c r="B6765" s="138">
        <f>'Revenues 9-14'!G243</f>
        <v>0</v>
      </c>
      <c r="D6765" s="2" t="str">
        <f t="shared" si="104"/>
        <v>Error?</v>
      </c>
      <c r="E6765" s="2" t="s">
        <v>190</v>
      </c>
    </row>
    <row r="6766" spans="1:5">
      <c r="A6766">
        <v>6705</v>
      </c>
      <c r="B6766" s="138">
        <f>'Revenues 9-14'!H243</f>
        <v>0</v>
      </c>
      <c r="D6766" s="2" t="str">
        <f t="shared" si="104"/>
        <v>Error?</v>
      </c>
      <c r="E6766" s="2" t="s">
        <v>190</v>
      </c>
    </row>
    <row r="6767" spans="1:5">
      <c r="A6767">
        <v>6706</v>
      </c>
      <c r="B6767" s="138">
        <f>'Revenues 9-14'!J243</f>
        <v>0</v>
      </c>
      <c r="D6767" s="2" t="str">
        <f t="shared" si="104"/>
        <v>Error?</v>
      </c>
      <c r="E6767" s="2" t="s">
        <v>190</v>
      </c>
    </row>
    <row r="6768" spans="1:5">
      <c r="A6768">
        <v>6707</v>
      </c>
      <c r="B6768" s="138">
        <f>'Revenues 9-14'!K243</f>
        <v>0</v>
      </c>
      <c r="D6768" s="2" t="str">
        <f t="shared" si="104"/>
        <v>Error?</v>
      </c>
      <c r="E6768" s="2" t="s">
        <v>190</v>
      </c>
    </row>
    <row r="6769" spans="1:5">
      <c r="A6769">
        <v>6708</v>
      </c>
      <c r="B6769" s="138">
        <f>'Revenues 9-14'!C244</f>
        <v>0</v>
      </c>
      <c r="D6769" s="2" t="str">
        <f t="shared" si="104"/>
        <v>Error?</v>
      </c>
      <c r="E6769" s="2" t="s">
        <v>190</v>
      </c>
    </row>
    <row r="6770" spans="1:5">
      <c r="A6770">
        <v>6709</v>
      </c>
      <c r="B6770" s="138">
        <f>'Revenues 9-14'!D244</f>
        <v>0</v>
      </c>
      <c r="D6770" s="2" t="str">
        <f t="shared" si="104"/>
        <v>Error?</v>
      </c>
      <c r="E6770" s="2" t="s">
        <v>190</v>
      </c>
    </row>
    <row r="6771" spans="1:5">
      <c r="A6771">
        <v>6710</v>
      </c>
      <c r="B6771" s="138">
        <f>'Revenues 9-14'!E244</f>
        <v>0</v>
      </c>
      <c r="D6771" s="2" t="str">
        <f t="shared" si="104"/>
        <v>Error?</v>
      </c>
      <c r="E6771" s="2" t="s">
        <v>190</v>
      </c>
    </row>
    <row r="6772" spans="1:5">
      <c r="A6772">
        <v>6711</v>
      </c>
      <c r="B6772" s="138">
        <f>'Revenues 9-14'!F244</f>
        <v>0</v>
      </c>
      <c r="D6772" s="2" t="str">
        <f t="shared" si="104"/>
        <v>Error?</v>
      </c>
      <c r="E6772" s="2" t="s">
        <v>190</v>
      </c>
    </row>
    <row r="6773" spans="1:5">
      <c r="A6773">
        <v>6712</v>
      </c>
      <c r="B6773" s="138">
        <f>'Revenues 9-14'!G244</f>
        <v>0</v>
      </c>
      <c r="D6773" s="2" t="str">
        <f t="shared" si="104"/>
        <v>Error?</v>
      </c>
      <c r="E6773" s="2" t="s">
        <v>190</v>
      </c>
    </row>
    <row r="6774" spans="1:5">
      <c r="A6774">
        <v>6713</v>
      </c>
      <c r="B6774" s="138">
        <f>'Revenues 9-14'!H244</f>
        <v>0</v>
      </c>
      <c r="D6774" s="2" t="str">
        <f t="shared" si="104"/>
        <v>Error?</v>
      </c>
      <c r="E6774" s="2" t="s">
        <v>190</v>
      </c>
    </row>
    <row r="6775" spans="1:5">
      <c r="A6775">
        <v>6714</v>
      </c>
      <c r="B6775" s="138">
        <f>'Revenues 9-14'!J244</f>
        <v>0</v>
      </c>
      <c r="D6775" s="2" t="str">
        <f t="shared" si="104"/>
        <v>Error?</v>
      </c>
      <c r="E6775" s="2" t="s">
        <v>190</v>
      </c>
    </row>
    <row r="6776" spans="1:5">
      <c r="A6776">
        <v>6715</v>
      </c>
      <c r="B6776" s="138">
        <f>'Revenues 9-14'!K244</f>
        <v>0</v>
      </c>
      <c r="D6776" s="2" t="str">
        <f t="shared" si="104"/>
        <v>Error?</v>
      </c>
      <c r="E6776" s="2" t="s">
        <v>190</v>
      </c>
    </row>
    <row r="6777" spans="1:5">
      <c r="A6777">
        <v>6716</v>
      </c>
      <c r="B6777" s="138">
        <f>'Revenues 9-14'!C245</f>
        <v>0</v>
      </c>
      <c r="D6777" s="2" t="str">
        <f t="shared" si="104"/>
        <v>Error?</v>
      </c>
      <c r="E6777" s="2" t="s">
        <v>190</v>
      </c>
    </row>
    <row r="6778" spans="1:5">
      <c r="A6778">
        <v>6717</v>
      </c>
      <c r="B6778" s="138">
        <f>'Revenues 9-14'!D245</f>
        <v>0</v>
      </c>
      <c r="D6778" s="2" t="str">
        <f t="shared" si="104"/>
        <v>Error?</v>
      </c>
      <c r="E6778" s="2" t="s">
        <v>190</v>
      </c>
    </row>
    <row r="6779" spans="1:5">
      <c r="A6779">
        <v>6718</v>
      </c>
      <c r="B6779" s="138">
        <f>'Revenues 9-14'!E245</f>
        <v>0</v>
      </c>
      <c r="D6779" s="2" t="str">
        <f t="shared" si="104"/>
        <v>Error?</v>
      </c>
      <c r="E6779" s="2" t="s">
        <v>190</v>
      </c>
    </row>
    <row r="6780" spans="1:5">
      <c r="A6780">
        <v>6719</v>
      </c>
      <c r="B6780" s="138">
        <f>'Revenues 9-14'!F245</f>
        <v>0</v>
      </c>
      <c r="D6780" s="2" t="str">
        <f t="shared" si="104"/>
        <v>Error?</v>
      </c>
      <c r="E6780" s="2" t="s">
        <v>190</v>
      </c>
    </row>
    <row r="6781" spans="1:5">
      <c r="A6781">
        <v>6720</v>
      </c>
      <c r="B6781" s="138">
        <f>'Revenues 9-14'!G245</f>
        <v>0</v>
      </c>
      <c r="D6781" s="2" t="str">
        <f t="shared" si="104"/>
        <v>Error?</v>
      </c>
      <c r="E6781" s="2" t="s">
        <v>190</v>
      </c>
    </row>
    <row r="6782" spans="1:5">
      <c r="A6782">
        <v>6721</v>
      </c>
      <c r="B6782" s="138">
        <f>'Revenues 9-14'!H245</f>
        <v>0</v>
      </c>
      <c r="D6782" s="2" t="str">
        <f t="shared" si="104"/>
        <v>Error?</v>
      </c>
      <c r="E6782" s="2" t="s">
        <v>190</v>
      </c>
    </row>
    <row r="6783" spans="1:5">
      <c r="A6783">
        <v>6722</v>
      </c>
      <c r="B6783" s="138">
        <f>'Revenues 9-14'!J245</f>
        <v>0</v>
      </c>
      <c r="D6783" s="2" t="str">
        <f t="shared" ref="D6783:D6846" si="105">IF(ISBLANK(B6783),"OK",IF(A6783-B6783=0,"OK","Error?"))</f>
        <v>Error?</v>
      </c>
      <c r="E6783" s="2" t="s">
        <v>190</v>
      </c>
    </row>
    <row r="6784" spans="1:5">
      <c r="A6784">
        <v>6723</v>
      </c>
      <c r="B6784" s="138">
        <f>'Revenues 9-14'!K245</f>
        <v>0</v>
      </c>
      <c r="D6784" s="2" t="str">
        <f t="shared" si="105"/>
        <v>Error?</v>
      </c>
      <c r="E6784" s="2" t="s">
        <v>190</v>
      </c>
    </row>
    <row r="6785" spans="1:5">
      <c r="A6785">
        <v>6724</v>
      </c>
      <c r="B6785" s="138">
        <f>'Revenues 9-14'!C246</f>
        <v>0</v>
      </c>
      <c r="D6785" s="2" t="str">
        <f t="shared" si="105"/>
        <v>Error?</v>
      </c>
      <c r="E6785" s="2" t="s">
        <v>190</v>
      </c>
    </row>
    <row r="6786" spans="1:5">
      <c r="A6786">
        <v>6725</v>
      </c>
      <c r="B6786" s="138">
        <f>'Revenues 9-14'!D246</f>
        <v>0</v>
      </c>
      <c r="D6786" s="2" t="str">
        <f t="shared" si="105"/>
        <v>Error?</v>
      </c>
      <c r="E6786" s="2" t="s">
        <v>190</v>
      </c>
    </row>
    <row r="6787" spans="1:5">
      <c r="A6787">
        <v>6726</v>
      </c>
      <c r="B6787" s="138">
        <f>'Revenues 9-14'!E246</f>
        <v>0</v>
      </c>
      <c r="D6787" s="2" t="str">
        <f t="shared" si="105"/>
        <v>Error?</v>
      </c>
      <c r="E6787" s="2" t="s">
        <v>190</v>
      </c>
    </row>
    <row r="6788" spans="1:5">
      <c r="A6788">
        <v>6727</v>
      </c>
      <c r="B6788" s="138">
        <f>'Revenues 9-14'!F246</f>
        <v>0</v>
      </c>
      <c r="D6788" s="2" t="str">
        <f t="shared" si="105"/>
        <v>Error?</v>
      </c>
      <c r="E6788" s="2" t="s">
        <v>190</v>
      </c>
    </row>
    <row r="6789" spans="1:5">
      <c r="A6789">
        <v>6728</v>
      </c>
      <c r="B6789" s="138">
        <f>'Revenues 9-14'!G246</f>
        <v>0</v>
      </c>
      <c r="D6789" s="2" t="str">
        <f t="shared" si="105"/>
        <v>Error?</v>
      </c>
      <c r="E6789" s="2" t="s">
        <v>190</v>
      </c>
    </row>
    <row r="6790" spans="1:5">
      <c r="A6790">
        <v>6729</v>
      </c>
      <c r="B6790" s="138">
        <f>'Revenues 9-14'!H246</f>
        <v>0</v>
      </c>
      <c r="D6790" s="2" t="str">
        <f t="shared" si="105"/>
        <v>Error?</v>
      </c>
      <c r="E6790" s="2" t="s">
        <v>190</v>
      </c>
    </row>
    <row r="6791" spans="1:5">
      <c r="A6791">
        <v>6730</v>
      </c>
      <c r="B6791" s="138">
        <f>'Revenues 9-14'!J246</f>
        <v>0</v>
      </c>
      <c r="D6791" s="2" t="str">
        <f t="shared" si="105"/>
        <v>Error?</v>
      </c>
      <c r="E6791" s="2" t="s">
        <v>190</v>
      </c>
    </row>
    <row r="6792" spans="1:5">
      <c r="A6792">
        <v>6731</v>
      </c>
      <c r="B6792" s="138">
        <f>'Revenues 9-14'!K246</f>
        <v>0</v>
      </c>
      <c r="D6792" s="2" t="str">
        <f t="shared" si="105"/>
        <v>Error?</v>
      </c>
      <c r="E6792" s="2" t="s">
        <v>190</v>
      </c>
    </row>
    <row r="6793" spans="1:5">
      <c r="A6793">
        <v>6732</v>
      </c>
      <c r="B6793" s="138">
        <f>'Revenues 9-14'!C247</f>
        <v>0</v>
      </c>
      <c r="D6793" s="2" t="str">
        <f t="shared" si="105"/>
        <v>Error?</v>
      </c>
      <c r="E6793" s="2" t="s">
        <v>190</v>
      </c>
    </row>
    <row r="6794" spans="1:5">
      <c r="A6794">
        <v>6733</v>
      </c>
      <c r="B6794" s="138">
        <f>'Revenues 9-14'!D247</f>
        <v>0</v>
      </c>
      <c r="D6794" s="2" t="str">
        <f t="shared" si="105"/>
        <v>Error?</v>
      </c>
      <c r="E6794" s="2" t="s">
        <v>190</v>
      </c>
    </row>
    <row r="6795" spans="1:5">
      <c r="A6795">
        <v>6734</v>
      </c>
      <c r="B6795" s="138">
        <f>'Revenues 9-14'!E247</f>
        <v>0</v>
      </c>
      <c r="D6795" s="2" t="str">
        <f t="shared" si="105"/>
        <v>Error?</v>
      </c>
      <c r="E6795" s="2" t="s">
        <v>190</v>
      </c>
    </row>
    <row r="6796" spans="1:5">
      <c r="A6796">
        <v>6735</v>
      </c>
      <c r="B6796" s="138">
        <f>'Revenues 9-14'!F247</f>
        <v>0</v>
      </c>
      <c r="D6796" s="2" t="str">
        <f t="shared" si="105"/>
        <v>Error?</v>
      </c>
      <c r="E6796" s="2" t="s">
        <v>190</v>
      </c>
    </row>
    <row r="6797" spans="1:5">
      <c r="A6797">
        <v>6736</v>
      </c>
      <c r="B6797" s="138">
        <f>'Revenues 9-14'!G247</f>
        <v>0</v>
      </c>
      <c r="D6797" s="2" t="str">
        <f t="shared" si="105"/>
        <v>Error?</v>
      </c>
      <c r="E6797" s="2" t="s">
        <v>190</v>
      </c>
    </row>
    <row r="6798" spans="1:5">
      <c r="A6798">
        <v>6737</v>
      </c>
      <c r="B6798" s="138">
        <f>'Revenues 9-14'!H247</f>
        <v>0</v>
      </c>
      <c r="D6798" s="2" t="str">
        <f t="shared" si="105"/>
        <v>Error?</v>
      </c>
      <c r="E6798" s="2" t="s">
        <v>190</v>
      </c>
    </row>
    <row r="6799" spans="1:5">
      <c r="A6799">
        <v>6738</v>
      </c>
      <c r="B6799" s="138">
        <f>'Revenues 9-14'!J247</f>
        <v>0</v>
      </c>
      <c r="D6799" s="2" t="str">
        <f t="shared" si="105"/>
        <v>Error?</v>
      </c>
      <c r="E6799" s="2" t="s">
        <v>190</v>
      </c>
    </row>
    <row r="6800" spans="1:5">
      <c r="A6800">
        <v>6739</v>
      </c>
      <c r="B6800" s="138">
        <f>'Revenues 9-14'!K247</f>
        <v>0</v>
      </c>
      <c r="D6800" s="2" t="str">
        <f t="shared" si="105"/>
        <v>Error?</v>
      </c>
      <c r="E6800" s="2" t="s">
        <v>190</v>
      </c>
    </row>
    <row r="6801" spans="1:5">
      <c r="A6801">
        <v>6740</v>
      </c>
      <c r="B6801" s="138">
        <f>'Revenues 9-14'!C248</f>
        <v>0</v>
      </c>
      <c r="D6801" s="2" t="str">
        <f t="shared" si="105"/>
        <v>Error?</v>
      </c>
      <c r="E6801" s="2" t="s">
        <v>190</v>
      </c>
    </row>
    <row r="6802" spans="1:5">
      <c r="A6802">
        <v>6741</v>
      </c>
      <c r="B6802" s="138">
        <f>'Revenues 9-14'!D248</f>
        <v>0</v>
      </c>
      <c r="D6802" s="2" t="str">
        <f t="shared" si="105"/>
        <v>Error?</v>
      </c>
      <c r="E6802" s="2" t="s">
        <v>190</v>
      </c>
    </row>
    <row r="6803" spans="1:5">
      <c r="A6803">
        <v>6742</v>
      </c>
      <c r="B6803" s="138">
        <f>'Revenues 9-14'!E248</f>
        <v>0</v>
      </c>
      <c r="D6803" s="2" t="str">
        <f t="shared" si="105"/>
        <v>Error?</v>
      </c>
      <c r="E6803" s="2" t="s">
        <v>190</v>
      </c>
    </row>
    <row r="6804" spans="1:5">
      <c r="A6804">
        <v>6743</v>
      </c>
      <c r="B6804" s="138">
        <f>'Revenues 9-14'!F248</f>
        <v>0</v>
      </c>
      <c r="D6804" s="2" t="str">
        <f t="shared" si="105"/>
        <v>Error?</v>
      </c>
      <c r="E6804" s="2" t="s">
        <v>190</v>
      </c>
    </row>
    <row r="6805" spans="1:5">
      <c r="A6805">
        <v>6744</v>
      </c>
      <c r="B6805" s="138">
        <f>'Revenues 9-14'!G248</f>
        <v>0</v>
      </c>
      <c r="D6805" s="2" t="str">
        <f t="shared" si="105"/>
        <v>Error?</v>
      </c>
      <c r="E6805" s="2" t="s">
        <v>190</v>
      </c>
    </row>
    <row r="6806" spans="1:5">
      <c r="A6806">
        <v>6745</v>
      </c>
      <c r="B6806" s="138">
        <f>'Revenues 9-14'!H248</f>
        <v>0</v>
      </c>
      <c r="D6806" s="2" t="str">
        <f t="shared" si="105"/>
        <v>Error?</v>
      </c>
      <c r="E6806" s="2" t="s">
        <v>190</v>
      </c>
    </row>
    <row r="6807" spans="1:5">
      <c r="A6807">
        <v>6746</v>
      </c>
      <c r="B6807" s="138">
        <f>'Revenues 9-14'!J248</f>
        <v>0</v>
      </c>
      <c r="D6807" s="2" t="str">
        <f t="shared" si="105"/>
        <v>Error?</v>
      </c>
      <c r="E6807" s="2" t="s">
        <v>190</v>
      </c>
    </row>
    <row r="6808" spans="1:5">
      <c r="A6808">
        <v>6747</v>
      </c>
      <c r="B6808" s="138">
        <f>'Revenues 9-14'!K248</f>
        <v>0</v>
      </c>
      <c r="D6808" s="2" t="str">
        <f t="shared" si="105"/>
        <v>Error?</v>
      </c>
      <c r="E6808" s="2" t="s">
        <v>190</v>
      </c>
    </row>
    <row r="6809" spans="1:5">
      <c r="A6809">
        <v>6748</v>
      </c>
      <c r="B6809" s="138">
        <f>'Revenues 9-14'!C249</f>
        <v>0</v>
      </c>
      <c r="D6809" s="2" t="str">
        <f t="shared" si="105"/>
        <v>Error?</v>
      </c>
      <c r="E6809" s="2" t="s">
        <v>190</v>
      </c>
    </row>
    <row r="6810" spans="1:5">
      <c r="A6810">
        <v>6749</v>
      </c>
      <c r="B6810" s="138">
        <f>'Revenues 9-14'!D249</f>
        <v>0</v>
      </c>
      <c r="D6810" s="2" t="str">
        <f t="shared" si="105"/>
        <v>Error?</v>
      </c>
      <c r="E6810" s="2" t="s">
        <v>190</v>
      </c>
    </row>
    <row r="6811" spans="1:5">
      <c r="A6811">
        <v>6750</v>
      </c>
      <c r="B6811" s="138">
        <f>'Revenues 9-14'!E249</f>
        <v>0</v>
      </c>
      <c r="D6811" s="2" t="str">
        <f t="shared" si="105"/>
        <v>Error?</v>
      </c>
      <c r="E6811" s="2" t="s">
        <v>190</v>
      </c>
    </row>
    <row r="6812" spans="1:5">
      <c r="A6812">
        <v>6751</v>
      </c>
      <c r="B6812" s="138">
        <f>'Revenues 9-14'!F249</f>
        <v>0</v>
      </c>
      <c r="D6812" s="2" t="str">
        <f t="shared" si="105"/>
        <v>Error?</v>
      </c>
      <c r="E6812" s="2" t="s">
        <v>190</v>
      </c>
    </row>
    <row r="6813" spans="1:5">
      <c r="A6813">
        <v>6752</v>
      </c>
      <c r="B6813" s="138">
        <f>'Revenues 9-14'!G249</f>
        <v>0</v>
      </c>
      <c r="D6813" s="2" t="str">
        <f t="shared" si="105"/>
        <v>Error?</v>
      </c>
      <c r="E6813" s="2" t="s">
        <v>190</v>
      </c>
    </row>
    <row r="6814" spans="1:5">
      <c r="A6814">
        <v>6753</v>
      </c>
      <c r="B6814" s="138">
        <f>'Revenues 9-14'!H249</f>
        <v>0</v>
      </c>
      <c r="D6814" s="2" t="str">
        <f t="shared" si="105"/>
        <v>Error?</v>
      </c>
      <c r="E6814" s="2" t="s">
        <v>190</v>
      </c>
    </row>
    <row r="6815" spans="1:5">
      <c r="A6815">
        <v>6754</v>
      </c>
      <c r="B6815" s="138">
        <f>'Revenues 9-14'!J249</f>
        <v>0</v>
      </c>
      <c r="D6815" s="2" t="str">
        <f t="shared" si="105"/>
        <v>Error?</v>
      </c>
      <c r="E6815" s="2" t="s">
        <v>190</v>
      </c>
    </row>
    <row r="6816" spans="1:5">
      <c r="A6816">
        <v>6755</v>
      </c>
      <c r="B6816" s="138">
        <f>'Revenues 9-14'!K249</f>
        <v>0</v>
      </c>
      <c r="D6816" s="2" t="str">
        <f t="shared" si="105"/>
        <v>Error?</v>
      </c>
      <c r="E6816" s="2" t="s">
        <v>190</v>
      </c>
    </row>
    <row r="6817" spans="1:5">
      <c r="A6817">
        <v>6756</v>
      </c>
      <c r="B6817" s="138">
        <f>'Revenues 9-14'!C250</f>
        <v>0</v>
      </c>
      <c r="D6817" s="2" t="str">
        <f t="shared" si="105"/>
        <v>Error?</v>
      </c>
      <c r="E6817" s="2" t="s">
        <v>190</v>
      </c>
    </row>
    <row r="6818" spans="1:5">
      <c r="A6818">
        <v>6757</v>
      </c>
      <c r="B6818" s="138">
        <f>'Revenues 9-14'!D250</f>
        <v>0</v>
      </c>
      <c r="D6818" s="2" t="str">
        <f t="shared" si="105"/>
        <v>Error?</v>
      </c>
      <c r="E6818" s="2" t="s">
        <v>190</v>
      </c>
    </row>
    <row r="6819" spans="1:5">
      <c r="A6819">
        <v>6758</v>
      </c>
      <c r="B6819" s="138">
        <f>'Revenues 9-14'!E250</f>
        <v>0</v>
      </c>
      <c r="D6819" s="2" t="str">
        <f t="shared" si="105"/>
        <v>Error?</v>
      </c>
      <c r="E6819" s="2" t="s">
        <v>190</v>
      </c>
    </row>
    <row r="6820" spans="1:5">
      <c r="A6820">
        <v>6759</v>
      </c>
      <c r="B6820" s="138">
        <f>'Revenues 9-14'!F250</f>
        <v>0</v>
      </c>
      <c r="D6820" s="2" t="str">
        <f t="shared" si="105"/>
        <v>Error?</v>
      </c>
      <c r="E6820" s="2" t="s">
        <v>190</v>
      </c>
    </row>
    <row r="6821" spans="1:5">
      <c r="A6821">
        <v>6760</v>
      </c>
      <c r="B6821" s="138">
        <f>'Revenues 9-14'!G250</f>
        <v>0</v>
      </c>
      <c r="D6821" s="2" t="str">
        <f t="shared" si="105"/>
        <v>Error?</v>
      </c>
      <c r="E6821" s="2" t="s">
        <v>190</v>
      </c>
    </row>
    <row r="6822" spans="1:5">
      <c r="A6822">
        <v>6761</v>
      </c>
      <c r="B6822" s="138">
        <f>'Revenues 9-14'!H250</f>
        <v>0</v>
      </c>
      <c r="D6822" s="2" t="str">
        <f t="shared" si="105"/>
        <v>Error?</v>
      </c>
      <c r="E6822" s="2" t="s">
        <v>190</v>
      </c>
    </row>
    <row r="6823" spans="1:5">
      <c r="A6823">
        <v>6762</v>
      </c>
      <c r="B6823" s="138">
        <f>'Revenues 9-14'!J250</f>
        <v>0</v>
      </c>
      <c r="D6823" s="2" t="str">
        <f t="shared" si="105"/>
        <v>Error?</v>
      </c>
      <c r="E6823" s="2" t="s">
        <v>190</v>
      </c>
    </row>
    <row r="6824" spans="1:5">
      <c r="A6824">
        <v>6763</v>
      </c>
      <c r="B6824" s="138">
        <f>'Revenues 9-14'!K250</f>
        <v>0</v>
      </c>
      <c r="D6824" s="2" t="str">
        <f t="shared" si="105"/>
        <v>Error?</v>
      </c>
      <c r="E6824" s="2" t="s">
        <v>190</v>
      </c>
    </row>
    <row r="6825" spans="1:5">
      <c r="A6825">
        <v>6764</v>
      </c>
      <c r="B6825" s="138">
        <f>'Revenues 9-14'!C251</f>
        <v>0</v>
      </c>
      <c r="D6825" s="2" t="str">
        <f t="shared" si="105"/>
        <v>Error?</v>
      </c>
      <c r="E6825" s="2" t="s">
        <v>190</v>
      </c>
    </row>
    <row r="6826" spans="1:5">
      <c r="A6826">
        <v>6765</v>
      </c>
      <c r="B6826" s="138">
        <f>'Revenues 9-14'!D251</f>
        <v>0</v>
      </c>
      <c r="D6826" s="2" t="str">
        <f t="shared" si="105"/>
        <v>Error?</v>
      </c>
      <c r="E6826" s="2" t="s">
        <v>190</v>
      </c>
    </row>
    <row r="6827" spans="1:5">
      <c r="A6827">
        <v>6766</v>
      </c>
      <c r="B6827" s="138">
        <f>'Revenues 9-14'!E251</f>
        <v>0</v>
      </c>
      <c r="D6827" s="2" t="str">
        <f t="shared" si="105"/>
        <v>Error?</v>
      </c>
      <c r="E6827" s="2" t="s">
        <v>190</v>
      </c>
    </row>
    <row r="6828" spans="1:5">
      <c r="A6828">
        <v>6767</v>
      </c>
      <c r="B6828" s="138">
        <f>'Revenues 9-14'!F251</f>
        <v>0</v>
      </c>
      <c r="D6828" s="2" t="str">
        <f t="shared" si="105"/>
        <v>Error?</v>
      </c>
      <c r="E6828" s="2" t="s">
        <v>190</v>
      </c>
    </row>
    <row r="6829" spans="1:5">
      <c r="A6829">
        <v>6768</v>
      </c>
      <c r="B6829" s="138">
        <f>'Revenues 9-14'!G251</f>
        <v>0</v>
      </c>
      <c r="D6829" s="2" t="str">
        <f t="shared" si="105"/>
        <v>Error?</v>
      </c>
      <c r="E6829" s="2" t="s">
        <v>190</v>
      </c>
    </row>
    <row r="6830" spans="1:5">
      <c r="A6830">
        <v>6769</v>
      </c>
      <c r="B6830" s="138">
        <f>'Revenues 9-14'!H251</f>
        <v>0</v>
      </c>
      <c r="D6830" s="2" t="str">
        <f t="shared" si="105"/>
        <v>Error?</v>
      </c>
      <c r="E6830" s="2" t="s">
        <v>190</v>
      </c>
    </row>
    <row r="6831" spans="1:5">
      <c r="A6831">
        <v>6770</v>
      </c>
      <c r="B6831" s="138">
        <f>'Revenues 9-14'!J251</f>
        <v>0</v>
      </c>
      <c r="D6831" s="2" t="str">
        <f t="shared" si="105"/>
        <v>Error?</v>
      </c>
      <c r="E6831" s="2" t="s">
        <v>190</v>
      </c>
    </row>
    <row r="6832" spans="1:5">
      <c r="A6832">
        <v>6771</v>
      </c>
      <c r="B6832" s="138">
        <f>'Revenues 9-14'!K251</f>
        <v>0</v>
      </c>
      <c r="D6832" s="2" t="str">
        <f t="shared" si="105"/>
        <v>Error?</v>
      </c>
    </row>
    <row r="6833" spans="1:5">
      <c r="A6833">
        <v>6772</v>
      </c>
      <c r="B6833" s="138">
        <f>'Revenues 9-14'!C252</f>
        <v>0</v>
      </c>
      <c r="D6833" s="2" t="str">
        <f t="shared" si="105"/>
        <v>Error?</v>
      </c>
    </row>
    <row r="6834" spans="1:5">
      <c r="A6834">
        <v>6773</v>
      </c>
      <c r="B6834" s="138">
        <f>'Revenues 9-14'!D252</f>
        <v>0</v>
      </c>
      <c r="D6834" s="2" t="str">
        <f t="shared" si="105"/>
        <v>Error?</v>
      </c>
    </row>
    <row r="6835" spans="1:5">
      <c r="A6835">
        <v>6774</v>
      </c>
      <c r="B6835" s="138">
        <f>'Revenues 9-14'!E252</f>
        <v>0</v>
      </c>
      <c r="D6835" s="2" t="str">
        <f t="shared" si="105"/>
        <v>Error?</v>
      </c>
    </row>
    <row r="6836" spans="1:5">
      <c r="A6836">
        <v>6775</v>
      </c>
      <c r="B6836" s="138">
        <f>'Revenues 9-14'!F252</f>
        <v>0</v>
      </c>
      <c r="D6836" s="2" t="str">
        <f t="shared" si="105"/>
        <v>Error?</v>
      </c>
    </row>
    <row r="6837" spans="1:5">
      <c r="A6837">
        <v>6776</v>
      </c>
      <c r="B6837" s="138">
        <f>'Revenues 9-14'!G252</f>
        <v>0</v>
      </c>
      <c r="D6837" s="2" t="str">
        <f t="shared" si="105"/>
        <v>Error?</v>
      </c>
    </row>
    <row r="6838" spans="1:5">
      <c r="A6838">
        <v>6777</v>
      </c>
      <c r="B6838" s="138">
        <f>'Revenues 9-14'!H252</f>
        <v>0</v>
      </c>
      <c r="D6838" s="2" t="str">
        <f t="shared" si="105"/>
        <v>Error?</v>
      </c>
    </row>
    <row r="6839" spans="1:5">
      <c r="A6839">
        <v>6778</v>
      </c>
      <c r="B6839" s="138">
        <f>'Revenues 9-14'!J252</f>
        <v>0</v>
      </c>
      <c r="D6839" s="2" t="str">
        <f t="shared" si="105"/>
        <v>Error?</v>
      </c>
    </row>
    <row r="6840" spans="1:5">
      <c r="A6840">
        <v>6779</v>
      </c>
      <c r="B6840" s="138">
        <f>'Revenues 9-14'!K252</f>
        <v>0</v>
      </c>
      <c r="D6840" s="2" t="str">
        <f t="shared" si="105"/>
        <v>Error?</v>
      </c>
    </row>
    <row r="6841" spans="1:5">
      <c r="A6841" s="129">
        <v>6780</v>
      </c>
      <c r="D6841" s="2" t="str">
        <f t="shared" si="105"/>
        <v>OK</v>
      </c>
      <c r="E6841" s="1" t="s">
        <v>1936</v>
      </c>
    </row>
    <row r="6842" spans="1:5">
      <c r="A6842" s="129">
        <v>6781</v>
      </c>
      <c r="D6842" s="2" t="str">
        <f t="shared" si="105"/>
        <v>OK</v>
      </c>
      <c r="E6842" s="1" t="s">
        <v>1936</v>
      </c>
    </row>
    <row r="6843" spans="1:5">
      <c r="A6843" s="129">
        <v>6782</v>
      </c>
      <c r="D6843" s="2" t="str">
        <f t="shared" si="105"/>
        <v>OK</v>
      </c>
      <c r="E6843" s="1" t="s">
        <v>1936</v>
      </c>
    </row>
    <row r="6844" spans="1:5">
      <c r="A6844">
        <v>6783</v>
      </c>
      <c r="B6844" s="138">
        <f>'Expenditures 15-22'!I5</f>
        <v>0</v>
      </c>
      <c r="D6844" s="2" t="str">
        <f t="shared" si="105"/>
        <v>Error?</v>
      </c>
    </row>
    <row r="6845" spans="1:5">
      <c r="A6845">
        <v>6784</v>
      </c>
      <c r="B6845" s="138">
        <f>'Expenditures 15-22'!J5</f>
        <v>0</v>
      </c>
      <c r="D6845" s="2" t="str">
        <f t="shared" si="105"/>
        <v>Error?</v>
      </c>
    </row>
    <row r="6846" spans="1:5">
      <c r="A6846">
        <v>6785</v>
      </c>
      <c r="B6846" s="138">
        <f>'Expenditures 15-22'!I7</f>
        <v>0</v>
      </c>
      <c r="D6846" s="2" t="str">
        <f t="shared" si="105"/>
        <v>Error?</v>
      </c>
    </row>
    <row r="6847" spans="1:5">
      <c r="A6847">
        <v>6786</v>
      </c>
      <c r="B6847" s="138">
        <f>'Expenditures 15-22'!J7</f>
        <v>0</v>
      </c>
      <c r="D6847" s="2" t="str">
        <f t="shared" ref="D6847:D6910" si="106">IF(ISBLANK(B6847),"OK",IF(A6847-B6847=0,"OK","Error?"))</f>
        <v>Error?</v>
      </c>
    </row>
    <row r="6848" spans="1:5">
      <c r="A6848">
        <v>6787</v>
      </c>
      <c r="B6848" s="138">
        <f>'Expenditures 15-22'!K7</f>
        <v>466215</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58024</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58024</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58024</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998311</v>
      </c>
      <c r="D6983" s="2" t="str">
        <f t="shared" si="108"/>
        <v>Error?</v>
      </c>
    </row>
    <row r="6984" spans="1:4">
      <c r="A6984">
        <v>6923</v>
      </c>
      <c r="B6984" s="138">
        <f>'Expenditures 15-22'!K86</f>
        <v>998311</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998311</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37571</v>
      </c>
      <c r="D7018" s="2" t="str">
        <f t="shared" si="108"/>
        <v>Error?</v>
      </c>
    </row>
    <row r="7019" spans="1:4">
      <c r="A7019">
        <v>6958</v>
      </c>
      <c r="B7019" s="138">
        <f>'Expenditures 15-22'!K112</f>
        <v>37571</v>
      </c>
      <c r="D7019" s="2" t="str">
        <f t="shared" si="108"/>
        <v>Error?</v>
      </c>
    </row>
    <row r="7020" spans="1:4">
      <c r="A7020">
        <v>6959</v>
      </c>
      <c r="B7020" s="138">
        <f>'Expenditures 15-22'!I114</f>
        <v>58024</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9-14'!J266</f>
        <v>0</v>
      </c>
      <c r="D7041" s="2" t="str">
        <f t="shared" si="109"/>
        <v>Error?</v>
      </c>
    </row>
    <row r="7042" spans="1:5">
      <c r="A7042">
        <v>6981</v>
      </c>
      <c r="B7042" s="138">
        <f>'Acct Summary 7-8'!J13</f>
        <v>798154</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9-14'!J267</f>
        <v>0</v>
      </c>
      <c r="D7054" s="2" t="str">
        <f t="shared" si="109"/>
        <v>Error?</v>
      </c>
      <c r="E7054" s="2" t="s">
        <v>114</v>
      </c>
    </row>
    <row r="7055" spans="1:5">
      <c r="A7055">
        <v>6994</v>
      </c>
      <c r="B7055" s="138">
        <f>'Revenues 9-14'!J268</f>
        <v>912007</v>
      </c>
      <c r="D7055" s="2" t="str">
        <f t="shared" si="109"/>
        <v>Error?</v>
      </c>
      <c r="E7055" s="2" t="s">
        <v>114</v>
      </c>
    </row>
    <row r="7056" spans="1:5">
      <c r="A7056">
        <v>6995</v>
      </c>
      <c r="D7056" s="2" t="str">
        <f t="shared" si="109"/>
        <v>OK</v>
      </c>
      <c r="E7056" s="2" t="s">
        <v>114</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22268</v>
      </c>
      <c r="D7073" s="2" t="str">
        <f t="shared" si="109"/>
        <v>Error?</v>
      </c>
    </row>
    <row r="7074" spans="1:4">
      <c r="A7074">
        <v>7013</v>
      </c>
      <c r="B7074" s="138">
        <f>'Expenditures 15-22'!K216</f>
        <v>22268</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343325</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343325</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1665</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1665</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133164</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133164</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280000</v>
      </c>
      <c r="D7172" s="2" t="str">
        <f t="shared" si="111"/>
        <v>Error?</v>
      </c>
    </row>
    <row r="7173" spans="1:4">
      <c r="A7173">
        <v>7112</v>
      </c>
      <c r="B7173" s="138">
        <f>'Expenditures 15-22'!D325</f>
        <v>0</v>
      </c>
      <c r="D7173" s="2" t="str">
        <f t="shared" si="111"/>
        <v>Error?</v>
      </c>
    </row>
    <row r="7174" spans="1:4">
      <c r="A7174">
        <v>7113</v>
      </c>
      <c r="B7174" s="138">
        <f>'Expenditures 15-22'!E325</f>
        <v>40000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320000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280000</v>
      </c>
      <c r="D7199" s="2" t="str">
        <f t="shared" si="111"/>
        <v>Error?</v>
      </c>
    </row>
    <row r="7200" spans="1:4">
      <c r="A7200">
        <v>7139</v>
      </c>
      <c r="B7200" s="138">
        <f>'Expenditures 15-22'!D330</f>
        <v>0</v>
      </c>
      <c r="D7200" s="2" t="str">
        <f t="shared" si="111"/>
        <v>Error?</v>
      </c>
    </row>
    <row r="7201" spans="1:4">
      <c r="A7201">
        <v>7140</v>
      </c>
      <c r="B7201" s="138">
        <f>'Expenditures 15-22'!E330</f>
        <v>518154</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798154</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280000</v>
      </c>
      <c r="D7216" s="2" t="str">
        <f t="shared" si="111"/>
        <v>Error?</v>
      </c>
    </row>
    <row r="7217" spans="1:4">
      <c r="A7217">
        <v>7156</v>
      </c>
      <c r="B7217" s="138">
        <f>'Expenditures 15-22'!D342</f>
        <v>0</v>
      </c>
      <c r="D7217" s="2" t="str">
        <f t="shared" si="111"/>
        <v>Error?</v>
      </c>
    </row>
    <row r="7218" spans="1:4">
      <c r="A7218">
        <v>7157</v>
      </c>
      <c r="B7218" s="138">
        <f>'Expenditures 15-22'!E342</f>
        <v>518154</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798154</v>
      </c>
      <c r="D7224" s="2" t="str">
        <f t="shared" si="111"/>
        <v>Error?</v>
      </c>
    </row>
    <row r="7225" spans="1:4">
      <c r="A7225">
        <v>7164</v>
      </c>
      <c r="B7225" s="138">
        <f>'Expenditures 15-22'!K343</f>
        <v>113853</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53113</v>
      </c>
      <c r="D7246" s="2" t="str">
        <f t="shared" si="112"/>
        <v>Error?</v>
      </c>
    </row>
    <row r="7247" spans="1:4">
      <c r="A7247">
        <f t="shared" si="113"/>
        <v>7186</v>
      </c>
      <c r="B7247" s="138">
        <f>'Expenditures 15-22'!E7</f>
        <v>7765</v>
      </c>
      <c r="D7247" s="2" t="str">
        <f t="shared" si="112"/>
        <v>Error?</v>
      </c>
    </row>
    <row r="7248" spans="1:4">
      <c r="A7248">
        <f t="shared" si="113"/>
        <v>7187</v>
      </c>
      <c r="B7248" s="138">
        <f>'Expenditures 15-22'!F7</f>
        <v>43382</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79</v>
      </c>
    </row>
    <row r="7270" spans="1:5">
      <c r="A7270">
        <f t="shared" si="113"/>
        <v>7209</v>
      </c>
      <c r="B7270" s="138" t="e">
        <f>#REF!</f>
        <v>#REF!</v>
      </c>
      <c r="D7270" s="2" t="e">
        <f t="shared" si="112"/>
        <v>#REF!</v>
      </c>
      <c r="E7270" s="2" t="s">
        <v>79</v>
      </c>
    </row>
    <row r="7271" spans="1:5">
      <c r="A7271">
        <f t="shared" si="113"/>
        <v>7210</v>
      </c>
      <c r="B7271" s="138" t="e">
        <f>#REF!</f>
        <v>#REF!</v>
      </c>
      <c r="D7271" s="2" t="e">
        <f t="shared" si="112"/>
        <v>#REF!</v>
      </c>
      <c r="E7271" s="2" t="s">
        <v>79</v>
      </c>
    </row>
    <row r="7272" spans="1:5">
      <c r="A7272">
        <f t="shared" si="113"/>
        <v>7211</v>
      </c>
      <c r="B7272" s="138" t="e">
        <f>#REF!</f>
        <v>#REF!</v>
      </c>
      <c r="D7272" s="2" t="e">
        <f t="shared" si="112"/>
        <v>#REF!</v>
      </c>
      <c r="E7272" s="2" t="s">
        <v>79</v>
      </c>
    </row>
    <row r="7273" spans="1:5">
      <c r="A7273">
        <f t="shared" si="113"/>
        <v>7212</v>
      </c>
      <c r="B7273" s="138" t="e">
        <f>#REF!</f>
        <v>#REF!</v>
      </c>
      <c r="D7273" s="2" t="e">
        <f t="shared" si="112"/>
        <v>#REF!</v>
      </c>
      <c r="E7273" s="2" t="s">
        <v>79</v>
      </c>
    </row>
    <row r="7274" spans="1:5">
      <c r="A7274">
        <f t="shared" si="113"/>
        <v>7213</v>
      </c>
      <c r="B7274" s="138" t="e">
        <f>#REF!</f>
        <v>#REF!</v>
      </c>
      <c r="D7274" s="2" t="e">
        <f t="shared" si="112"/>
        <v>#REF!</v>
      </c>
      <c r="E7274" s="2" t="s">
        <v>79</v>
      </c>
    </row>
    <row r="7275" spans="1:5">
      <c r="A7275">
        <f t="shared" si="113"/>
        <v>7214</v>
      </c>
      <c r="B7275" s="138" t="e">
        <f>#REF!</f>
        <v>#REF!</v>
      </c>
      <c r="D7275" s="2" t="e">
        <f t="shared" si="112"/>
        <v>#REF!</v>
      </c>
      <c r="E7275" s="2" t="s">
        <v>79</v>
      </c>
    </row>
    <row r="7276" spans="1:5">
      <c r="A7276">
        <f t="shared" si="113"/>
        <v>7215</v>
      </c>
      <c r="B7276" s="138" t="e">
        <f>#REF!</f>
        <v>#REF!</v>
      </c>
      <c r="D7276" s="2" t="e">
        <f t="shared" si="112"/>
        <v>#REF!</v>
      </c>
      <c r="E7276" s="2" t="s">
        <v>79</v>
      </c>
    </row>
    <row r="7277" spans="1:5">
      <c r="A7277">
        <f t="shared" si="113"/>
        <v>7216</v>
      </c>
      <c r="B7277" s="138" t="e">
        <f>#REF!</f>
        <v>#REF!</v>
      </c>
      <c r="D7277" s="2" t="e">
        <f t="shared" si="112"/>
        <v>#REF!</v>
      </c>
      <c r="E7277" s="2" t="s">
        <v>79</v>
      </c>
    </row>
    <row r="7278" spans="1:5">
      <c r="A7278">
        <f t="shared" si="113"/>
        <v>7217</v>
      </c>
      <c r="B7278" s="138" t="e">
        <f>#REF!</f>
        <v>#REF!</v>
      </c>
      <c r="D7278" s="2" t="e">
        <f t="shared" si="112"/>
        <v>#REF!</v>
      </c>
      <c r="E7278" s="2" t="s">
        <v>79</v>
      </c>
    </row>
    <row r="7279" spans="1:5">
      <c r="A7279">
        <f t="shared" si="113"/>
        <v>7218</v>
      </c>
      <c r="B7279" s="138" t="e">
        <f>#REF!</f>
        <v>#REF!</v>
      </c>
      <c r="D7279" s="2" t="e">
        <f t="shared" si="112"/>
        <v>#REF!</v>
      </c>
      <c r="E7279" s="2" t="s">
        <v>79</v>
      </c>
    </row>
    <row r="7280" spans="1:5">
      <c r="A7280">
        <f t="shared" si="113"/>
        <v>7219</v>
      </c>
      <c r="B7280" s="138" t="e">
        <f>#REF!</f>
        <v>#REF!</v>
      </c>
      <c r="D7280" s="2" t="e">
        <f t="shared" si="112"/>
        <v>#REF!</v>
      </c>
      <c r="E7280" s="2" t="s">
        <v>79</v>
      </c>
    </row>
    <row r="7281" spans="1:5">
      <c r="A7281">
        <f t="shared" si="113"/>
        <v>7220</v>
      </c>
      <c r="B7281" s="138" t="e">
        <f>#REF!</f>
        <v>#REF!</v>
      </c>
      <c r="D7281" s="2" t="e">
        <f t="shared" si="112"/>
        <v>#REF!</v>
      </c>
      <c r="E7281" s="2" t="s">
        <v>79</v>
      </c>
    </row>
    <row r="7282" spans="1:5">
      <c r="A7282">
        <f t="shared" si="113"/>
        <v>7221</v>
      </c>
      <c r="B7282" s="138" t="e">
        <f>#REF!</f>
        <v>#REF!</v>
      </c>
      <c r="D7282" s="2" t="e">
        <f t="shared" si="112"/>
        <v>#REF!</v>
      </c>
      <c r="E7282" s="2" t="s">
        <v>79</v>
      </c>
    </row>
    <row r="7283" spans="1:5">
      <c r="A7283">
        <f t="shared" si="113"/>
        <v>7222</v>
      </c>
      <c r="B7283" s="138" t="e">
        <f>#REF!</f>
        <v>#REF!</v>
      </c>
      <c r="D7283" s="2" t="e">
        <f t="shared" si="112"/>
        <v>#REF!</v>
      </c>
      <c r="E7283" s="2" t="s">
        <v>79</v>
      </c>
    </row>
    <row r="7284" spans="1:5">
      <c r="A7284">
        <f t="shared" si="113"/>
        <v>7223</v>
      </c>
      <c r="B7284" s="138" t="e">
        <f>#REF!</f>
        <v>#REF!</v>
      </c>
      <c r="D7284" s="2" t="e">
        <f t="shared" si="112"/>
        <v>#REF!</v>
      </c>
      <c r="E7284" s="2" t="s">
        <v>79</v>
      </c>
    </row>
    <row r="7285" spans="1:5">
      <c r="A7285">
        <f t="shared" si="113"/>
        <v>7224</v>
      </c>
      <c r="B7285" s="138" t="e">
        <f>#REF!</f>
        <v>#REF!</v>
      </c>
      <c r="D7285" s="2" t="e">
        <f t="shared" si="112"/>
        <v>#REF!</v>
      </c>
      <c r="E7285" s="2" t="s">
        <v>79</v>
      </c>
    </row>
    <row r="7286" spans="1:5">
      <c r="A7286">
        <f t="shared" si="113"/>
        <v>7225</v>
      </c>
      <c r="B7286" s="138" t="e">
        <f>#REF!</f>
        <v>#REF!</v>
      </c>
      <c r="D7286" s="2" t="e">
        <f t="shared" si="112"/>
        <v>#REF!</v>
      </c>
      <c r="E7286" s="2" t="s">
        <v>79</v>
      </c>
    </row>
    <row r="7287" spans="1:5">
      <c r="A7287">
        <f t="shared" si="113"/>
        <v>7226</v>
      </c>
      <c r="B7287" s="138" t="e">
        <f>#REF!</f>
        <v>#REF!</v>
      </c>
      <c r="D7287" s="2" t="e">
        <f t="shared" si="112"/>
        <v>#REF!</v>
      </c>
      <c r="E7287" s="2" t="s">
        <v>79</v>
      </c>
    </row>
    <row r="7288" spans="1:5">
      <c r="A7288">
        <f t="shared" si="113"/>
        <v>7227</v>
      </c>
      <c r="B7288" s="138" t="e">
        <f>#REF!</f>
        <v>#REF!</v>
      </c>
      <c r="D7288" s="2" t="e">
        <f t="shared" si="112"/>
        <v>#REF!</v>
      </c>
      <c r="E7288" s="2" t="s">
        <v>79</v>
      </c>
    </row>
    <row r="7289" spans="1:5">
      <c r="A7289">
        <f t="shared" si="113"/>
        <v>7228</v>
      </c>
      <c r="B7289" s="138" t="e">
        <f>#REF!</f>
        <v>#REF!</v>
      </c>
      <c r="D7289" s="2" t="e">
        <f t="shared" si="112"/>
        <v>#REF!</v>
      </c>
      <c r="E7289" s="2" t="s">
        <v>79</v>
      </c>
    </row>
    <row r="7290" spans="1:5">
      <c r="A7290">
        <f t="shared" si="113"/>
        <v>7229</v>
      </c>
      <c r="B7290" s="138" t="e">
        <f>#REF!</f>
        <v>#REF!</v>
      </c>
      <c r="D7290" s="2" t="e">
        <f t="shared" si="112"/>
        <v>#REF!</v>
      </c>
      <c r="E7290" s="2" t="s">
        <v>79</v>
      </c>
    </row>
    <row r="7291" spans="1:5">
      <c r="A7291">
        <f t="shared" si="113"/>
        <v>7230</v>
      </c>
      <c r="B7291" s="138" t="e">
        <f>#REF!</f>
        <v>#REF!</v>
      </c>
      <c r="D7291" s="2" t="e">
        <f t="shared" si="112"/>
        <v>#REF!</v>
      </c>
      <c r="E7291" s="2" t="s">
        <v>79</v>
      </c>
    </row>
    <row r="7292" spans="1:5">
      <c r="A7292">
        <f t="shared" si="113"/>
        <v>7231</v>
      </c>
      <c r="B7292" s="138" t="e">
        <f>#REF!</f>
        <v>#REF!</v>
      </c>
      <c r="D7292" s="2" t="e">
        <f t="shared" si="112"/>
        <v>#REF!</v>
      </c>
      <c r="E7292" s="2" t="s">
        <v>79</v>
      </c>
    </row>
    <row r="7293" spans="1:5">
      <c r="A7293">
        <f t="shared" si="113"/>
        <v>7232</v>
      </c>
      <c r="B7293" s="138" t="e">
        <f>#REF!</f>
        <v>#REF!</v>
      </c>
      <c r="D7293" s="2" t="e">
        <f t="shared" si="112"/>
        <v>#REF!</v>
      </c>
      <c r="E7293" s="2" t="s">
        <v>79</v>
      </c>
    </row>
    <row r="7294" spans="1:5">
      <c r="A7294">
        <f t="shared" si="113"/>
        <v>7233</v>
      </c>
      <c r="B7294" s="138" t="e">
        <f>#REF!</f>
        <v>#REF!</v>
      </c>
      <c r="D7294" s="2" t="e">
        <f t="shared" si="112"/>
        <v>#REF!</v>
      </c>
      <c r="E7294" s="2" t="s">
        <v>79</v>
      </c>
    </row>
    <row r="7295" spans="1:5">
      <c r="A7295">
        <f t="shared" si="113"/>
        <v>7234</v>
      </c>
      <c r="B7295" s="138" t="e">
        <f>#REF!</f>
        <v>#REF!</v>
      </c>
      <c r="D7295" s="2" t="e">
        <f t="shared" ref="D7295:D7358" si="114">IF(ISBLANK(B7295),"OK",IF(A7295-B7295=0,"OK","Error?"))</f>
        <v>#REF!</v>
      </c>
      <c r="E7295" s="2" t="s">
        <v>79</v>
      </c>
    </row>
    <row r="7296" spans="1:5">
      <c r="A7296">
        <f t="shared" si="113"/>
        <v>7235</v>
      </c>
      <c r="B7296" s="138" t="e">
        <f>#REF!</f>
        <v>#REF!</v>
      </c>
      <c r="D7296" s="2" t="e">
        <f t="shared" si="114"/>
        <v>#REF!</v>
      </c>
      <c r="E7296" s="2" t="s">
        <v>79</v>
      </c>
    </row>
    <row r="7297" spans="1:5">
      <c r="A7297">
        <f t="shared" si="113"/>
        <v>7236</v>
      </c>
      <c r="B7297" s="138" t="e">
        <f>#REF!</f>
        <v>#REF!</v>
      </c>
      <c r="D7297" s="2" t="e">
        <f t="shared" si="114"/>
        <v>#REF!</v>
      </c>
      <c r="E7297" s="2" t="s">
        <v>79</v>
      </c>
    </row>
    <row r="7298" spans="1:5">
      <c r="A7298">
        <f t="shared" si="113"/>
        <v>7237</v>
      </c>
      <c r="B7298" s="138" t="e">
        <f>#REF!</f>
        <v>#REF!</v>
      </c>
      <c r="D7298" s="2" t="e">
        <f t="shared" si="114"/>
        <v>#REF!</v>
      </c>
      <c r="E7298" s="2" t="s">
        <v>79</v>
      </c>
    </row>
    <row r="7299" spans="1:5">
      <c r="A7299">
        <f t="shared" si="113"/>
        <v>7238</v>
      </c>
      <c r="B7299" s="138" t="e">
        <f>#REF!</f>
        <v>#REF!</v>
      </c>
      <c r="D7299" s="2" t="e">
        <f t="shared" si="114"/>
        <v>#REF!</v>
      </c>
      <c r="E7299" s="2" t="s">
        <v>79</v>
      </c>
    </row>
    <row r="7300" spans="1:5">
      <c r="A7300">
        <f t="shared" si="113"/>
        <v>7239</v>
      </c>
      <c r="B7300" s="138" t="e">
        <f>#REF!</f>
        <v>#REF!</v>
      </c>
      <c r="D7300" s="2" t="e">
        <f t="shared" si="114"/>
        <v>#REF!</v>
      </c>
      <c r="E7300" s="2" t="s">
        <v>79</v>
      </c>
    </row>
    <row r="7301" spans="1:5">
      <c r="A7301">
        <f t="shared" si="113"/>
        <v>7240</v>
      </c>
      <c r="B7301" s="138" t="e">
        <f>#REF!</f>
        <v>#REF!</v>
      </c>
      <c r="D7301" s="2" t="e">
        <f t="shared" si="114"/>
        <v>#REF!</v>
      </c>
      <c r="E7301" s="2" t="s">
        <v>79</v>
      </c>
    </row>
    <row r="7302" spans="1:5">
      <c r="A7302">
        <f t="shared" si="113"/>
        <v>7241</v>
      </c>
      <c r="B7302" s="138" t="e">
        <f>#REF!</f>
        <v>#REF!</v>
      </c>
      <c r="D7302" s="2" t="e">
        <f t="shared" si="114"/>
        <v>#REF!</v>
      </c>
      <c r="E7302" s="2" t="s">
        <v>79</v>
      </c>
    </row>
    <row r="7303" spans="1:5">
      <c r="A7303">
        <f t="shared" si="113"/>
        <v>7242</v>
      </c>
      <c r="B7303" s="138" t="e">
        <f>#REF!</f>
        <v>#REF!</v>
      </c>
      <c r="D7303" s="2" t="e">
        <f t="shared" si="114"/>
        <v>#REF!</v>
      </c>
      <c r="E7303" s="2" t="s">
        <v>79</v>
      </c>
    </row>
    <row r="7304" spans="1:5">
      <c r="A7304">
        <f t="shared" si="113"/>
        <v>7243</v>
      </c>
      <c r="B7304" s="138" t="e">
        <f>#REF!</f>
        <v>#REF!</v>
      </c>
      <c r="D7304" s="2" t="e">
        <f t="shared" si="114"/>
        <v>#REF!</v>
      </c>
      <c r="E7304" s="2" t="s">
        <v>79</v>
      </c>
    </row>
    <row r="7305" spans="1:5">
      <c r="A7305">
        <f t="shared" si="113"/>
        <v>7244</v>
      </c>
      <c r="B7305" s="138" t="e">
        <f>#REF!</f>
        <v>#REF!</v>
      </c>
      <c r="D7305" s="2" t="e">
        <f t="shared" si="114"/>
        <v>#REF!</v>
      </c>
      <c r="E7305" s="2" t="s">
        <v>79</v>
      </c>
    </row>
    <row r="7306" spans="1:5">
      <c r="A7306">
        <f t="shared" si="113"/>
        <v>7245</v>
      </c>
      <c r="B7306" s="138" t="e">
        <f>#REF!</f>
        <v>#REF!</v>
      </c>
      <c r="D7306" s="2" t="e">
        <f t="shared" si="114"/>
        <v>#REF!</v>
      </c>
      <c r="E7306" s="2" t="s">
        <v>79</v>
      </c>
    </row>
    <row r="7307" spans="1:5">
      <c r="A7307">
        <f t="shared" si="113"/>
        <v>7246</v>
      </c>
      <c r="B7307" s="138" t="e">
        <f>#REF!</f>
        <v>#REF!</v>
      </c>
      <c r="D7307" s="2" t="e">
        <f t="shared" si="114"/>
        <v>#REF!</v>
      </c>
      <c r="E7307" s="2" t="s">
        <v>79</v>
      </c>
    </row>
    <row r="7308" spans="1:5">
      <c r="A7308">
        <f t="shared" si="113"/>
        <v>7247</v>
      </c>
      <c r="B7308" s="138" t="e">
        <f>#REF!</f>
        <v>#REF!</v>
      </c>
      <c r="D7308" s="2" t="e">
        <f t="shared" si="114"/>
        <v>#REF!</v>
      </c>
      <c r="E7308" s="2" t="s">
        <v>79</v>
      </c>
    </row>
    <row r="7309" spans="1:5">
      <c r="A7309">
        <f t="shared" si="113"/>
        <v>7248</v>
      </c>
      <c r="B7309" s="138" t="e">
        <f>#REF!</f>
        <v>#REF!</v>
      </c>
      <c r="D7309" s="2" t="e">
        <f t="shared" si="114"/>
        <v>#REF!</v>
      </c>
      <c r="E7309" s="2" t="s">
        <v>79</v>
      </c>
    </row>
    <row r="7310" spans="1:5">
      <c r="A7310">
        <f t="shared" ref="A7310:A7373" si="115">A7309+1</f>
        <v>7249</v>
      </c>
      <c r="B7310" s="138" t="e">
        <f>#REF!</f>
        <v>#REF!</v>
      </c>
      <c r="D7310" s="2" t="e">
        <f t="shared" si="114"/>
        <v>#REF!</v>
      </c>
      <c r="E7310" s="2" t="s">
        <v>79</v>
      </c>
    </row>
    <row r="7311" spans="1:5">
      <c r="A7311">
        <f t="shared" si="115"/>
        <v>7250</v>
      </c>
      <c r="B7311" s="138" t="e">
        <f>#REF!</f>
        <v>#REF!</v>
      </c>
      <c r="D7311" s="2" t="e">
        <f t="shared" si="114"/>
        <v>#REF!</v>
      </c>
      <c r="E7311" s="2" t="s">
        <v>79</v>
      </c>
    </row>
    <row r="7312" spans="1:5">
      <c r="A7312">
        <f t="shared" si="115"/>
        <v>7251</v>
      </c>
      <c r="B7312" s="138" t="e">
        <f>#REF!</f>
        <v>#REF!</v>
      </c>
      <c r="D7312" s="2" t="e">
        <f t="shared" si="114"/>
        <v>#REF!</v>
      </c>
      <c r="E7312" s="2" t="s">
        <v>79</v>
      </c>
    </row>
    <row r="7313" spans="1:5">
      <c r="A7313">
        <f t="shared" si="115"/>
        <v>7252</v>
      </c>
      <c r="B7313" s="138" t="e">
        <f>#REF!</f>
        <v>#REF!</v>
      </c>
      <c r="D7313" s="2" t="e">
        <f t="shared" si="114"/>
        <v>#REF!</v>
      </c>
      <c r="E7313" s="2" t="s">
        <v>79</v>
      </c>
    </row>
    <row r="7314" spans="1:5">
      <c r="A7314">
        <f t="shared" si="115"/>
        <v>7253</v>
      </c>
      <c r="B7314" s="138" t="e">
        <f>#REF!</f>
        <v>#REF!</v>
      </c>
      <c r="D7314" s="2" t="e">
        <f t="shared" si="114"/>
        <v>#REF!</v>
      </c>
      <c r="E7314" s="2" t="s">
        <v>79</v>
      </c>
    </row>
    <row r="7315" spans="1:5">
      <c r="A7315">
        <f t="shared" si="115"/>
        <v>7254</v>
      </c>
      <c r="B7315" s="138" t="e">
        <f>#REF!</f>
        <v>#REF!</v>
      </c>
      <c r="D7315" s="2" t="e">
        <f t="shared" si="114"/>
        <v>#REF!</v>
      </c>
      <c r="E7315" s="2" t="s">
        <v>79</v>
      </c>
    </row>
    <row r="7316" spans="1:5">
      <c r="A7316">
        <f t="shared" si="115"/>
        <v>7255</v>
      </c>
      <c r="B7316" s="138" t="e">
        <f>#REF!</f>
        <v>#REF!</v>
      </c>
      <c r="D7316" s="2" t="e">
        <f t="shared" si="114"/>
        <v>#REF!</v>
      </c>
      <c r="E7316" s="2" t="s">
        <v>79</v>
      </c>
    </row>
    <row r="7317" spans="1:5">
      <c r="A7317">
        <f t="shared" si="115"/>
        <v>7256</v>
      </c>
      <c r="B7317" s="138" t="e">
        <f>#REF!</f>
        <v>#REF!</v>
      </c>
      <c r="D7317" s="2" t="e">
        <f t="shared" si="114"/>
        <v>#REF!</v>
      </c>
      <c r="E7317" s="2" t="s">
        <v>79</v>
      </c>
    </row>
    <row r="7318" spans="1:5">
      <c r="A7318">
        <f t="shared" si="115"/>
        <v>7257</v>
      </c>
      <c r="B7318" s="138" t="e">
        <f>#REF!</f>
        <v>#REF!</v>
      </c>
      <c r="D7318" s="2" t="e">
        <f t="shared" si="114"/>
        <v>#REF!</v>
      </c>
      <c r="E7318" s="2" t="s">
        <v>79</v>
      </c>
    </row>
    <row r="7319" spans="1:5">
      <c r="A7319">
        <f t="shared" si="115"/>
        <v>7258</v>
      </c>
      <c r="B7319" s="138" t="e">
        <f>#REF!</f>
        <v>#REF!</v>
      </c>
      <c r="D7319" s="2" t="e">
        <f t="shared" si="114"/>
        <v>#REF!</v>
      </c>
      <c r="E7319" s="2" t="s">
        <v>79</v>
      </c>
    </row>
    <row r="7320" spans="1:5">
      <c r="A7320">
        <f t="shared" si="115"/>
        <v>7259</v>
      </c>
      <c r="B7320" s="138" t="e">
        <f>#REF!</f>
        <v>#REF!</v>
      </c>
      <c r="D7320" s="2" t="e">
        <f t="shared" si="114"/>
        <v>#REF!</v>
      </c>
      <c r="E7320" s="2" t="s">
        <v>79</v>
      </c>
    </row>
    <row r="7321" spans="1:5">
      <c r="A7321">
        <f t="shared" si="115"/>
        <v>7260</v>
      </c>
      <c r="B7321" s="138" t="e">
        <f>#REF!</f>
        <v>#REF!</v>
      </c>
      <c r="D7321" s="2" t="e">
        <f t="shared" si="114"/>
        <v>#REF!</v>
      </c>
      <c r="E7321" s="2" t="s">
        <v>79</v>
      </c>
    </row>
    <row r="7322" spans="1:5">
      <c r="A7322">
        <f t="shared" si="115"/>
        <v>7261</v>
      </c>
      <c r="B7322" s="138" t="e">
        <f>#REF!</f>
        <v>#REF!</v>
      </c>
      <c r="D7322" s="2" t="e">
        <f t="shared" si="114"/>
        <v>#REF!</v>
      </c>
      <c r="E7322" s="2" t="s">
        <v>79</v>
      </c>
    </row>
    <row r="7323" spans="1:5">
      <c r="A7323">
        <f t="shared" si="115"/>
        <v>7262</v>
      </c>
      <c r="B7323" s="138" t="e">
        <f>#REF!</f>
        <v>#REF!</v>
      </c>
      <c r="D7323" s="2" t="e">
        <f t="shared" si="114"/>
        <v>#REF!</v>
      </c>
      <c r="E7323" s="2" t="s">
        <v>79</v>
      </c>
    </row>
    <row r="7324" spans="1:5">
      <c r="A7324">
        <f t="shared" si="115"/>
        <v>7263</v>
      </c>
      <c r="B7324" s="138" t="e">
        <f>#REF!</f>
        <v>#REF!</v>
      </c>
      <c r="D7324" s="2" t="e">
        <f t="shared" si="114"/>
        <v>#REF!</v>
      </c>
      <c r="E7324" s="2" t="s">
        <v>79</v>
      </c>
    </row>
    <row r="7325" spans="1:5">
      <c r="A7325">
        <f t="shared" si="115"/>
        <v>7264</v>
      </c>
      <c r="B7325" s="138" t="e">
        <f>#REF!</f>
        <v>#REF!</v>
      </c>
      <c r="D7325" s="2" t="e">
        <f t="shared" si="114"/>
        <v>#REF!</v>
      </c>
      <c r="E7325" s="2" t="s">
        <v>79</v>
      </c>
    </row>
    <row r="7326" spans="1:5">
      <c r="A7326">
        <f t="shared" si="115"/>
        <v>7265</v>
      </c>
      <c r="B7326" s="138" t="e">
        <f>#REF!</f>
        <v>#REF!</v>
      </c>
      <c r="D7326" s="2" t="e">
        <f t="shared" si="114"/>
        <v>#REF!</v>
      </c>
      <c r="E7326" s="2" t="s">
        <v>79</v>
      </c>
    </row>
    <row r="7327" spans="1:5">
      <c r="A7327">
        <f t="shared" si="115"/>
        <v>7266</v>
      </c>
      <c r="B7327" s="138" t="e">
        <f>#REF!</f>
        <v>#REF!</v>
      </c>
      <c r="D7327" s="2" t="e">
        <f t="shared" si="114"/>
        <v>#REF!</v>
      </c>
      <c r="E7327" s="2" t="s">
        <v>79</v>
      </c>
    </row>
    <row r="7328" spans="1:5">
      <c r="A7328">
        <f t="shared" si="115"/>
        <v>7267</v>
      </c>
      <c r="B7328" s="138" t="e">
        <f>#REF!</f>
        <v>#REF!</v>
      </c>
      <c r="D7328" s="2" t="e">
        <f t="shared" si="114"/>
        <v>#REF!</v>
      </c>
      <c r="E7328" s="2" t="s">
        <v>79</v>
      </c>
    </row>
    <row r="7329" spans="1:5">
      <c r="A7329">
        <f t="shared" si="115"/>
        <v>7268</v>
      </c>
      <c r="B7329" s="138" t="e">
        <f>#REF!</f>
        <v>#REF!</v>
      </c>
      <c r="D7329" s="2" t="e">
        <f t="shared" si="114"/>
        <v>#REF!</v>
      </c>
      <c r="E7329" s="2" t="s">
        <v>79</v>
      </c>
    </row>
    <row r="7330" spans="1:5">
      <c r="A7330">
        <f t="shared" si="115"/>
        <v>7269</v>
      </c>
      <c r="B7330" s="138" t="e">
        <f>#REF!</f>
        <v>#REF!</v>
      </c>
      <c r="D7330" s="2" t="e">
        <f t="shared" si="114"/>
        <v>#REF!</v>
      </c>
      <c r="E7330" s="2" t="s">
        <v>79</v>
      </c>
    </row>
    <row r="7331" spans="1:5">
      <c r="A7331">
        <f t="shared" si="115"/>
        <v>7270</v>
      </c>
      <c r="B7331" s="138" t="e">
        <f>#REF!</f>
        <v>#REF!</v>
      </c>
      <c r="D7331" s="2" t="e">
        <f t="shared" si="114"/>
        <v>#REF!</v>
      </c>
      <c r="E7331" s="2" t="s">
        <v>79</v>
      </c>
    </row>
    <row r="7332" spans="1:5">
      <c r="A7332">
        <f t="shared" si="115"/>
        <v>7271</v>
      </c>
      <c r="B7332" s="138" t="e">
        <f>#REF!</f>
        <v>#REF!</v>
      </c>
      <c r="D7332" s="2" t="e">
        <f t="shared" si="114"/>
        <v>#REF!</v>
      </c>
      <c r="E7332" s="2" t="s">
        <v>79</v>
      </c>
    </row>
    <row r="7333" spans="1:5">
      <c r="A7333">
        <f t="shared" si="115"/>
        <v>7272</v>
      </c>
      <c r="B7333" s="138" t="e">
        <f>#REF!</f>
        <v>#REF!</v>
      </c>
      <c r="D7333" s="2" t="e">
        <f t="shared" si="114"/>
        <v>#REF!</v>
      </c>
      <c r="E7333" s="2" t="s">
        <v>79</v>
      </c>
    </row>
    <row r="7334" spans="1:5">
      <c r="A7334">
        <f t="shared" si="115"/>
        <v>7273</v>
      </c>
      <c r="B7334" s="138" t="e">
        <f>#REF!</f>
        <v>#REF!</v>
      </c>
      <c r="D7334" s="2" t="e">
        <f t="shared" si="114"/>
        <v>#REF!</v>
      </c>
      <c r="E7334" s="2" t="s">
        <v>79</v>
      </c>
    </row>
    <row r="7335" spans="1:5">
      <c r="A7335">
        <f t="shared" si="115"/>
        <v>7274</v>
      </c>
      <c r="B7335" s="138" t="e">
        <f>#REF!</f>
        <v>#REF!</v>
      </c>
      <c r="D7335" s="2" t="e">
        <f t="shared" si="114"/>
        <v>#REF!</v>
      </c>
      <c r="E7335" s="2" t="s">
        <v>79</v>
      </c>
    </row>
    <row r="7336" spans="1:5">
      <c r="A7336">
        <f t="shared" si="115"/>
        <v>7275</v>
      </c>
      <c r="B7336" s="138" t="e">
        <f>#REF!</f>
        <v>#REF!</v>
      </c>
      <c r="D7336" s="2" t="e">
        <f t="shared" si="114"/>
        <v>#REF!</v>
      </c>
      <c r="E7336" s="2" t="s">
        <v>79</v>
      </c>
    </row>
    <row r="7337" spans="1:5">
      <c r="A7337">
        <f t="shared" si="115"/>
        <v>7276</v>
      </c>
      <c r="B7337" s="138" t="e">
        <f>#REF!</f>
        <v>#REF!</v>
      </c>
      <c r="D7337" s="2" t="e">
        <f t="shared" si="114"/>
        <v>#REF!</v>
      </c>
      <c r="E7337" s="2" t="s">
        <v>79</v>
      </c>
    </row>
    <row r="7338" spans="1:5">
      <c r="A7338">
        <f t="shared" si="115"/>
        <v>7277</v>
      </c>
      <c r="B7338" s="138" t="e">
        <f>#REF!</f>
        <v>#REF!</v>
      </c>
      <c r="D7338" s="2" t="e">
        <f t="shared" si="114"/>
        <v>#REF!</v>
      </c>
      <c r="E7338" s="2" t="s">
        <v>79</v>
      </c>
    </row>
    <row r="7339" spans="1:5">
      <c r="A7339">
        <f t="shared" si="115"/>
        <v>7278</v>
      </c>
      <c r="B7339" s="138" t="e">
        <f>#REF!</f>
        <v>#REF!</v>
      </c>
      <c r="D7339" s="2" t="e">
        <f t="shared" si="114"/>
        <v>#REF!</v>
      </c>
      <c r="E7339" s="2" t="s">
        <v>79</v>
      </c>
    </row>
    <row r="7340" spans="1:5">
      <c r="A7340">
        <f t="shared" si="115"/>
        <v>7279</v>
      </c>
      <c r="B7340" s="138" t="e">
        <f>#REF!</f>
        <v>#REF!</v>
      </c>
      <c r="D7340" s="2" t="e">
        <f t="shared" si="114"/>
        <v>#REF!</v>
      </c>
      <c r="E7340" s="2" t="s">
        <v>79</v>
      </c>
    </row>
    <row r="7341" spans="1:5">
      <c r="A7341">
        <f t="shared" si="115"/>
        <v>7280</v>
      </c>
      <c r="B7341" s="138" t="e">
        <f>#REF!</f>
        <v>#REF!</v>
      </c>
      <c r="D7341" s="2" t="e">
        <f t="shared" si="114"/>
        <v>#REF!</v>
      </c>
      <c r="E7341" s="2" t="s">
        <v>79</v>
      </c>
    </row>
    <row r="7342" spans="1:5">
      <c r="A7342">
        <f t="shared" si="115"/>
        <v>7281</v>
      </c>
      <c r="B7342" s="138" t="e">
        <f>#REF!</f>
        <v>#REF!</v>
      </c>
      <c r="D7342" s="2" t="e">
        <f t="shared" si="114"/>
        <v>#REF!</v>
      </c>
      <c r="E7342" s="2" t="s">
        <v>79</v>
      </c>
    </row>
    <row r="7343" spans="1:5">
      <c r="A7343">
        <f t="shared" si="115"/>
        <v>7282</v>
      </c>
      <c r="B7343" s="138" t="e">
        <f>#REF!</f>
        <v>#REF!</v>
      </c>
      <c r="D7343" s="2" t="e">
        <f t="shared" si="114"/>
        <v>#REF!</v>
      </c>
      <c r="E7343" s="2" t="s">
        <v>79</v>
      </c>
    </row>
    <row r="7344" spans="1:5">
      <c r="A7344">
        <f t="shared" si="115"/>
        <v>7283</v>
      </c>
      <c r="B7344" s="138" t="e">
        <f>#REF!</f>
        <v>#REF!</v>
      </c>
      <c r="D7344" s="2" t="e">
        <f t="shared" si="114"/>
        <v>#REF!</v>
      </c>
      <c r="E7344" s="2" t="s">
        <v>79</v>
      </c>
    </row>
    <row r="7345" spans="1:5">
      <c r="A7345">
        <f t="shared" si="115"/>
        <v>7284</v>
      </c>
      <c r="B7345" s="138" t="e">
        <f>#REF!</f>
        <v>#REF!</v>
      </c>
      <c r="D7345" s="2" t="e">
        <f t="shared" si="114"/>
        <v>#REF!</v>
      </c>
      <c r="E7345" s="2" t="s">
        <v>79</v>
      </c>
    </row>
    <row r="7346" spans="1:5">
      <c r="A7346">
        <f t="shared" si="115"/>
        <v>7285</v>
      </c>
      <c r="B7346" s="138" t="e">
        <f>#REF!</f>
        <v>#REF!</v>
      </c>
      <c r="D7346" s="2" t="e">
        <f t="shared" si="114"/>
        <v>#REF!</v>
      </c>
      <c r="E7346" s="2" t="s">
        <v>79</v>
      </c>
    </row>
    <row r="7347" spans="1:5">
      <c r="A7347">
        <f t="shared" si="115"/>
        <v>7286</v>
      </c>
      <c r="B7347" s="138" t="e">
        <f>#REF!</f>
        <v>#REF!</v>
      </c>
      <c r="D7347" s="2" t="e">
        <f t="shared" si="114"/>
        <v>#REF!</v>
      </c>
      <c r="E7347" s="2" t="s">
        <v>79</v>
      </c>
    </row>
    <row r="7348" spans="1:5">
      <c r="A7348">
        <f t="shared" si="115"/>
        <v>7287</v>
      </c>
      <c r="B7348" s="138" t="e">
        <f>#REF!</f>
        <v>#REF!</v>
      </c>
      <c r="D7348" s="2" t="e">
        <f t="shared" si="114"/>
        <v>#REF!</v>
      </c>
      <c r="E7348" s="2" t="s">
        <v>79</v>
      </c>
    </row>
    <row r="7349" spans="1:5">
      <c r="A7349">
        <f t="shared" si="115"/>
        <v>7288</v>
      </c>
      <c r="B7349" s="138" t="e">
        <f>#REF!</f>
        <v>#REF!</v>
      </c>
      <c r="D7349" s="2" t="e">
        <f t="shared" si="114"/>
        <v>#REF!</v>
      </c>
      <c r="E7349" s="2" t="s">
        <v>79</v>
      </c>
    </row>
    <row r="7350" spans="1:5">
      <c r="A7350">
        <f t="shared" si="115"/>
        <v>7289</v>
      </c>
      <c r="B7350" s="138" t="e">
        <f>#REF!</f>
        <v>#REF!</v>
      </c>
      <c r="D7350" s="2" t="e">
        <f t="shared" si="114"/>
        <v>#REF!</v>
      </c>
      <c r="E7350" s="2" t="s">
        <v>79</v>
      </c>
    </row>
    <row r="7351" spans="1:5">
      <c r="A7351">
        <f t="shared" si="115"/>
        <v>7290</v>
      </c>
      <c r="B7351" s="138" t="e">
        <f>#REF!</f>
        <v>#REF!</v>
      </c>
      <c r="D7351" s="2" t="e">
        <f t="shared" si="114"/>
        <v>#REF!</v>
      </c>
      <c r="E7351" s="2" t="s">
        <v>79</v>
      </c>
    </row>
    <row r="7352" spans="1:5">
      <c r="A7352">
        <f t="shared" si="115"/>
        <v>7291</v>
      </c>
      <c r="B7352" s="138" t="e">
        <f>#REF!</f>
        <v>#REF!</v>
      </c>
      <c r="D7352" s="2" t="e">
        <f t="shared" si="114"/>
        <v>#REF!</v>
      </c>
      <c r="E7352" s="2" t="s">
        <v>79</v>
      </c>
    </row>
    <row r="7353" spans="1:5">
      <c r="A7353">
        <f t="shared" si="115"/>
        <v>7292</v>
      </c>
      <c r="B7353" s="138" t="e">
        <f>#REF!</f>
        <v>#REF!</v>
      </c>
      <c r="D7353" s="2" t="e">
        <f t="shared" si="114"/>
        <v>#REF!</v>
      </c>
      <c r="E7353" s="2" t="s">
        <v>79</v>
      </c>
    </row>
    <row r="7354" spans="1:5">
      <c r="A7354">
        <f t="shared" si="115"/>
        <v>7293</v>
      </c>
      <c r="B7354" s="138" t="e">
        <f>#REF!</f>
        <v>#REF!</v>
      </c>
      <c r="D7354" s="2" t="e">
        <f t="shared" si="114"/>
        <v>#REF!</v>
      </c>
      <c r="E7354" s="2" t="s">
        <v>79</v>
      </c>
    </row>
    <row r="7355" spans="1:5">
      <c r="A7355">
        <f t="shared" si="115"/>
        <v>7294</v>
      </c>
      <c r="B7355" s="138" t="e">
        <f>#REF!</f>
        <v>#REF!</v>
      </c>
      <c r="D7355" s="2" t="e">
        <f t="shared" si="114"/>
        <v>#REF!</v>
      </c>
      <c r="E7355" s="2" t="s">
        <v>79</v>
      </c>
    </row>
    <row r="7356" spans="1:5">
      <c r="A7356">
        <f t="shared" si="115"/>
        <v>7295</v>
      </c>
      <c r="B7356" s="138" t="e">
        <f>#REF!</f>
        <v>#REF!</v>
      </c>
      <c r="D7356" s="2" t="e">
        <f t="shared" si="114"/>
        <v>#REF!</v>
      </c>
      <c r="E7356" s="2" t="s">
        <v>79</v>
      </c>
    </row>
    <row r="7357" spans="1:5">
      <c r="A7357">
        <f t="shared" si="115"/>
        <v>7296</v>
      </c>
      <c r="B7357" s="138" t="e">
        <f>#REF!</f>
        <v>#REF!</v>
      </c>
      <c r="D7357" s="2" t="e">
        <f t="shared" si="114"/>
        <v>#REF!</v>
      </c>
      <c r="E7357" s="2" t="s">
        <v>79</v>
      </c>
    </row>
    <row r="7358" spans="1:5">
      <c r="A7358">
        <f t="shared" si="115"/>
        <v>7297</v>
      </c>
      <c r="B7358" s="138" t="e">
        <f>#REF!</f>
        <v>#REF!</v>
      </c>
      <c r="D7358" s="2" t="e">
        <f t="shared" si="114"/>
        <v>#REF!</v>
      </c>
      <c r="E7358" s="2" t="s">
        <v>79</v>
      </c>
    </row>
    <row r="7359" spans="1:5">
      <c r="A7359">
        <f t="shared" si="115"/>
        <v>7298</v>
      </c>
      <c r="B7359" s="138" t="e">
        <f>#REF!</f>
        <v>#REF!</v>
      </c>
      <c r="D7359" s="2" t="e">
        <f t="shared" ref="D7359:D7422" si="116">IF(ISBLANK(B7359),"OK",IF(A7359-B7359=0,"OK","Error?"))</f>
        <v>#REF!</v>
      </c>
      <c r="E7359" s="2" t="s">
        <v>79</v>
      </c>
    </row>
    <row r="7360" spans="1:5">
      <c r="A7360">
        <f t="shared" si="115"/>
        <v>7299</v>
      </c>
      <c r="B7360" s="138" t="e">
        <f>#REF!</f>
        <v>#REF!</v>
      </c>
      <c r="D7360" s="2" t="e">
        <f t="shared" si="116"/>
        <v>#REF!</v>
      </c>
      <c r="E7360" s="2" t="s">
        <v>79</v>
      </c>
    </row>
    <row r="7361" spans="1:5">
      <c r="A7361">
        <f t="shared" si="115"/>
        <v>7300</v>
      </c>
      <c r="B7361" s="138" t="e">
        <f>#REF!</f>
        <v>#REF!</v>
      </c>
      <c r="D7361" s="2" t="e">
        <f t="shared" si="116"/>
        <v>#REF!</v>
      </c>
      <c r="E7361" s="2" t="s">
        <v>79</v>
      </c>
    </row>
    <row r="7362" spans="1:5">
      <c r="A7362">
        <f t="shared" si="115"/>
        <v>7301</v>
      </c>
      <c r="B7362" s="138" t="e">
        <f>#REF!</f>
        <v>#REF!</v>
      </c>
      <c r="D7362" s="2" t="e">
        <f t="shared" si="116"/>
        <v>#REF!</v>
      </c>
      <c r="E7362" s="2" t="s">
        <v>79</v>
      </c>
    </row>
    <row r="7363" spans="1:5">
      <c r="A7363">
        <f t="shared" si="115"/>
        <v>7302</v>
      </c>
      <c r="B7363" s="138" t="e">
        <f>#REF!</f>
        <v>#REF!</v>
      </c>
      <c r="D7363" s="2" t="e">
        <f t="shared" si="116"/>
        <v>#REF!</v>
      </c>
      <c r="E7363" s="2" t="s">
        <v>79</v>
      </c>
    </row>
    <row r="7364" spans="1:5">
      <c r="A7364">
        <f t="shared" si="115"/>
        <v>7303</v>
      </c>
      <c r="B7364" s="138" t="e">
        <f>#REF!</f>
        <v>#REF!</v>
      </c>
      <c r="D7364" s="2" t="e">
        <f t="shared" si="116"/>
        <v>#REF!</v>
      </c>
      <c r="E7364" s="2" t="s">
        <v>79</v>
      </c>
    </row>
    <row r="7365" spans="1:5">
      <c r="A7365">
        <f t="shared" si="115"/>
        <v>7304</v>
      </c>
      <c r="B7365" s="138" t="e">
        <f>#REF!</f>
        <v>#REF!</v>
      </c>
      <c r="D7365" s="2" t="e">
        <f t="shared" si="116"/>
        <v>#REF!</v>
      </c>
      <c r="E7365" s="2" t="s">
        <v>79</v>
      </c>
    </row>
    <row r="7366" spans="1:5">
      <c r="A7366">
        <f t="shared" si="115"/>
        <v>7305</v>
      </c>
      <c r="B7366" s="138" t="e">
        <f>#REF!</f>
        <v>#REF!</v>
      </c>
      <c r="D7366" s="2" t="e">
        <f t="shared" si="116"/>
        <v>#REF!</v>
      </c>
      <c r="E7366" s="2" t="s">
        <v>79</v>
      </c>
    </row>
    <row r="7367" spans="1:5">
      <c r="A7367">
        <f t="shared" si="115"/>
        <v>7306</v>
      </c>
      <c r="B7367" s="138" t="e">
        <f>#REF!</f>
        <v>#REF!</v>
      </c>
      <c r="D7367" s="2" t="e">
        <f t="shared" si="116"/>
        <v>#REF!</v>
      </c>
      <c r="E7367" s="2" t="s">
        <v>79</v>
      </c>
    </row>
    <row r="7368" spans="1:5">
      <c r="A7368">
        <f t="shared" si="115"/>
        <v>7307</v>
      </c>
      <c r="B7368" s="138" t="e">
        <f>#REF!</f>
        <v>#REF!</v>
      </c>
      <c r="D7368" s="2" t="e">
        <f t="shared" si="116"/>
        <v>#REF!</v>
      </c>
      <c r="E7368" s="2" t="s">
        <v>79</v>
      </c>
    </row>
    <row r="7369" spans="1:5">
      <c r="A7369">
        <f t="shared" si="115"/>
        <v>7308</v>
      </c>
      <c r="B7369" s="138" t="e">
        <f>#REF!</f>
        <v>#REF!</v>
      </c>
      <c r="D7369" s="2" t="e">
        <f t="shared" si="116"/>
        <v>#REF!</v>
      </c>
      <c r="E7369" s="2" t="s">
        <v>79</v>
      </c>
    </row>
    <row r="7370" spans="1:5">
      <c r="A7370">
        <f t="shared" si="115"/>
        <v>7309</v>
      </c>
      <c r="B7370" s="138" t="e">
        <f>#REF!</f>
        <v>#REF!</v>
      </c>
      <c r="D7370" s="2" t="e">
        <f t="shared" si="116"/>
        <v>#REF!</v>
      </c>
      <c r="E7370" s="2" t="s">
        <v>79</v>
      </c>
    </row>
    <row r="7371" spans="1:5">
      <c r="A7371">
        <f t="shared" si="115"/>
        <v>7310</v>
      </c>
      <c r="B7371" s="138" t="e">
        <f>#REF!</f>
        <v>#REF!</v>
      </c>
      <c r="D7371" s="2" t="e">
        <f t="shared" si="116"/>
        <v>#REF!</v>
      </c>
      <c r="E7371" s="2" t="s">
        <v>79</v>
      </c>
    </row>
    <row r="7372" spans="1:5">
      <c r="A7372">
        <f t="shared" si="115"/>
        <v>7311</v>
      </c>
      <c r="B7372" s="138" t="e">
        <f>#REF!</f>
        <v>#REF!</v>
      </c>
      <c r="D7372" s="2" t="e">
        <f t="shared" si="116"/>
        <v>#REF!</v>
      </c>
      <c r="E7372" s="2" t="s">
        <v>79</v>
      </c>
    </row>
    <row r="7373" spans="1:5">
      <c r="A7373">
        <f t="shared" si="115"/>
        <v>7312</v>
      </c>
      <c r="B7373" s="138" t="e">
        <f>#REF!</f>
        <v>#REF!</v>
      </c>
      <c r="D7373" s="2" t="e">
        <f t="shared" si="116"/>
        <v>#REF!</v>
      </c>
      <c r="E7373" s="2" t="s">
        <v>79</v>
      </c>
    </row>
    <row r="7374" spans="1:5">
      <c r="A7374">
        <f t="shared" ref="A7374:A7437" si="117">A7373+1</f>
        <v>7313</v>
      </c>
      <c r="B7374" s="138" t="e">
        <f>#REF!</f>
        <v>#REF!</v>
      </c>
      <c r="D7374" s="2" t="e">
        <f t="shared" si="116"/>
        <v>#REF!</v>
      </c>
      <c r="E7374" s="2" t="s">
        <v>79</v>
      </c>
    </row>
    <row r="7375" spans="1:5">
      <c r="A7375">
        <f t="shared" si="117"/>
        <v>7314</v>
      </c>
      <c r="B7375" s="138" t="e">
        <f>#REF!</f>
        <v>#REF!</v>
      </c>
      <c r="D7375" s="2" t="e">
        <f t="shared" si="116"/>
        <v>#REF!</v>
      </c>
      <c r="E7375" s="2" t="s">
        <v>79</v>
      </c>
    </row>
    <row r="7376" spans="1:5">
      <c r="A7376">
        <f t="shared" si="117"/>
        <v>7315</v>
      </c>
      <c r="B7376" s="138" t="e">
        <f>#REF!</f>
        <v>#REF!</v>
      </c>
      <c r="D7376" s="2" t="e">
        <f t="shared" si="116"/>
        <v>#REF!</v>
      </c>
      <c r="E7376" s="2" t="s">
        <v>79</v>
      </c>
    </row>
    <row r="7377" spans="1:5">
      <c r="A7377">
        <f t="shared" si="117"/>
        <v>7316</v>
      </c>
      <c r="B7377" s="138" t="e">
        <f>#REF!</f>
        <v>#REF!</v>
      </c>
      <c r="D7377" s="2" t="e">
        <f t="shared" si="116"/>
        <v>#REF!</v>
      </c>
      <c r="E7377" s="2" t="s">
        <v>79</v>
      </c>
    </row>
    <row r="7378" spans="1:5">
      <c r="A7378">
        <f t="shared" si="117"/>
        <v>7317</v>
      </c>
      <c r="B7378" s="138" t="e">
        <f>#REF!</f>
        <v>#REF!</v>
      </c>
      <c r="D7378" s="2" t="e">
        <f t="shared" si="116"/>
        <v>#REF!</v>
      </c>
      <c r="E7378" s="2" t="s">
        <v>79</v>
      </c>
    </row>
    <row r="7379" spans="1:5">
      <c r="A7379">
        <f t="shared" si="117"/>
        <v>7318</v>
      </c>
      <c r="B7379" s="138" t="e">
        <f>#REF!</f>
        <v>#REF!</v>
      </c>
      <c r="D7379" s="2" t="e">
        <f t="shared" si="116"/>
        <v>#REF!</v>
      </c>
      <c r="E7379" s="2" t="s">
        <v>79</v>
      </c>
    </row>
    <row r="7380" spans="1:5">
      <c r="A7380">
        <f t="shared" si="117"/>
        <v>7319</v>
      </c>
      <c r="B7380" s="138" t="e">
        <f>#REF!</f>
        <v>#REF!</v>
      </c>
      <c r="D7380" s="2" t="e">
        <f t="shared" si="116"/>
        <v>#REF!</v>
      </c>
      <c r="E7380" s="2" t="s">
        <v>79</v>
      </c>
    </row>
    <row r="7381" spans="1:5">
      <c r="A7381">
        <f t="shared" si="117"/>
        <v>7320</v>
      </c>
      <c r="B7381" s="138" t="e">
        <f>#REF!</f>
        <v>#REF!</v>
      </c>
      <c r="D7381" s="2" t="e">
        <f t="shared" si="116"/>
        <v>#REF!</v>
      </c>
      <c r="E7381" s="2" t="s">
        <v>79</v>
      </c>
    </row>
    <row r="7382" spans="1:5">
      <c r="A7382">
        <f t="shared" si="117"/>
        <v>7321</v>
      </c>
      <c r="B7382" s="138" t="e">
        <f>#REF!</f>
        <v>#REF!</v>
      </c>
      <c r="D7382" s="2" t="e">
        <f t="shared" si="116"/>
        <v>#REF!</v>
      </c>
      <c r="E7382" s="2" t="s">
        <v>79</v>
      </c>
    </row>
    <row r="7383" spans="1:5">
      <c r="A7383">
        <f t="shared" si="117"/>
        <v>7322</v>
      </c>
      <c r="B7383" s="138" t="e">
        <f>#REF!</f>
        <v>#REF!</v>
      </c>
      <c r="D7383" s="2" t="e">
        <f t="shared" si="116"/>
        <v>#REF!</v>
      </c>
      <c r="E7383" s="2" t="s">
        <v>79</v>
      </c>
    </row>
    <row r="7384" spans="1:5">
      <c r="A7384">
        <f t="shared" si="117"/>
        <v>7323</v>
      </c>
      <c r="B7384" s="138" t="e">
        <f>#REF!</f>
        <v>#REF!</v>
      </c>
      <c r="D7384" s="2" t="e">
        <f t="shared" si="116"/>
        <v>#REF!</v>
      </c>
      <c r="E7384" s="2" t="s">
        <v>79</v>
      </c>
    </row>
    <row r="7385" spans="1:5">
      <c r="A7385">
        <f t="shared" si="117"/>
        <v>7324</v>
      </c>
      <c r="B7385" s="138" t="e">
        <f>#REF!</f>
        <v>#REF!</v>
      </c>
      <c r="D7385" s="2" t="e">
        <f t="shared" si="116"/>
        <v>#REF!</v>
      </c>
      <c r="E7385" s="2" t="s">
        <v>79</v>
      </c>
    </row>
    <row r="7386" spans="1:5">
      <c r="A7386">
        <f t="shared" si="117"/>
        <v>7325</v>
      </c>
      <c r="B7386" s="138" t="e">
        <f>#REF!</f>
        <v>#REF!</v>
      </c>
      <c r="D7386" s="2" t="e">
        <f t="shared" si="116"/>
        <v>#REF!</v>
      </c>
      <c r="E7386" s="2" t="s">
        <v>79</v>
      </c>
    </row>
    <row r="7387" spans="1:5">
      <c r="A7387">
        <f t="shared" si="117"/>
        <v>7326</v>
      </c>
      <c r="B7387" s="138" t="e">
        <f>#REF!</f>
        <v>#REF!</v>
      </c>
      <c r="D7387" s="2" t="e">
        <f t="shared" si="116"/>
        <v>#REF!</v>
      </c>
      <c r="E7387" s="2" t="s">
        <v>79</v>
      </c>
    </row>
    <row r="7388" spans="1:5">
      <c r="A7388">
        <f t="shared" si="117"/>
        <v>7327</v>
      </c>
      <c r="B7388" s="138" t="e">
        <f>#REF!</f>
        <v>#REF!</v>
      </c>
      <c r="D7388" s="2" t="e">
        <f t="shared" si="116"/>
        <v>#REF!</v>
      </c>
      <c r="E7388" s="2" t="s">
        <v>79</v>
      </c>
    </row>
    <row r="7389" spans="1:5">
      <c r="A7389">
        <f t="shared" si="117"/>
        <v>7328</v>
      </c>
      <c r="B7389" s="138" t="e">
        <f>#REF!</f>
        <v>#REF!</v>
      </c>
      <c r="D7389" s="2" t="e">
        <f t="shared" si="116"/>
        <v>#REF!</v>
      </c>
      <c r="E7389" s="2" t="s">
        <v>79</v>
      </c>
    </row>
    <row r="7390" spans="1:5">
      <c r="A7390">
        <f t="shared" si="117"/>
        <v>7329</v>
      </c>
      <c r="B7390" s="138" t="e">
        <f>#REF!</f>
        <v>#REF!</v>
      </c>
      <c r="D7390" s="2" t="e">
        <f t="shared" si="116"/>
        <v>#REF!</v>
      </c>
      <c r="E7390" s="2" t="s">
        <v>79</v>
      </c>
    </row>
    <row r="7391" spans="1:5">
      <c r="A7391">
        <f t="shared" si="117"/>
        <v>7330</v>
      </c>
      <c r="B7391" s="138" t="e">
        <f>#REF!</f>
        <v>#REF!</v>
      </c>
      <c r="D7391" s="2" t="e">
        <f t="shared" si="116"/>
        <v>#REF!</v>
      </c>
      <c r="E7391" s="2" t="s">
        <v>79</v>
      </c>
    </row>
    <row r="7392" spans="1:5">
      <c r="A7392">
        <f t="shared" si="117"/>
        <v>7331</v>
      </c>
      <c r="B7392" s="138" t="e">
        <f>#REF!</f>
        <v>#REF!</v>
      </c>
      <c r="D7392" s="2" t="e">
        <f t="shared" si="116"/>
        <v>#REF!</v>
      </c>
      <c r="E7392" s="2" t="s">
        <v>79</v>
      </c>
    </row>
    <row r="7393" spans="1:5">
      <c r="A7393">
        <f t="shared" si="117"/>
        <v>7332</v>
      </c>
      <c r="B7393" s="138" t="e">
        <f>#REF!</f>
        <v>#REF!</v>
      </c>
      <c r="D7393" s="2" t="e">
        <f t="shared" si="116"/>
        <v>#REF!</v>
      </c>
      <c r="E7393" s="2" t="s">
        <v>79</v>
      </c>
    </row>
    <row r="7394" spans="1:5">
      <c r="A7394">
        <f t="shared" si="117"/>
        <v>7333</v>
      </c>
      <c r="B7394" s="138" t="e">
        <f>#REF!</f>
        <v>#REF!</v>
      </c>
      <c r="D7394" s="2" t="e">
        <f t="shared" si="116"/>
        <v>#REF!</v>
      </c>
      <c r="E7394" s="2" t="s">
        <v>79</v>
      </c>
    </row>
    <row r="7395" spans="1:5">
      <c r="A7395">
        <f t="shared" si="117"/>
        <v>7334</v>
      </c>
      <c r="B7395" s="138" t="e">
        <f>#REF!</f>
        <v>#REF!</v>
      </c>
      <c r="D7395" s="2" t="e">
        <f t="shared" si="116"/>
        <v>#REF!</v>
      </c>
      <c r="E7395" s="2" t="s">
        <v>79</v>
      </c>
    </row>
    <row r="7396" spans="1:5">
      <c r="A7396">
        <f t="shared" si="117"/>
        <v>7335</v>
      </c>
      <c r="B7396" s="138" t="e">
        <f>#REF!</f>
        <v>#REF!</v>
      </c>
      <c r="D7396" s="2" t="e">
        <f t="shared" si="116"/>
        <v>#REF!</v>
      </c>
      <c r="E7396" s="2" t="s">
        <v>79</v>
      </c>
    </row>
    <row r="7397" spans="1:5">
      <c r="A7397">
        <f t="shared" si="117"/>
        <v>7336</v>
      </c>
      <c r="B7397" s="138" t="e">
        <f>#REF!</f>
        <v>#REF!</v>
      </c>
      <c r="D7397" s="2" t="e">
        <f t="shared" si="116"/>
        <v>#REF!</v>
      </c>
      <c r="E7397" s="2" t="s">
        <v>79</v>
      </c>
    </row>
    <row r="7398" spans="1:5">
      <c r="A7398">
        <f t="shared" si="117"/>
        <v>7337</v>
      </c>
      <c r="B7398" s="138" t="e">
        <f>#REF!</f>
        <v>#REF!</v>
      </c>
      <c r="D7398" s="2" t="e">
        <f t="shared" si="116"/>
        <v>#REF!</v>
      </c>
      <c r="E7398" s="2" t="s">
        <v>79</v>
      </c>
    </row>
    <row r="7399" spans="1:5">
      <c r="A7399">
        <f t="shared" si="117"/>
        <v>7338</v>
      </c>
      <c r="B7399" s="138" t="e">
        <f>#REF!</f>
        <v>#REF!</v>
      </c>
      <c r="D7399" s="2" t="e">
        <f t="shared" si="116"/>
        <v>#REF!</v>
      </c>
      <c r="E7399" s="2" t="s">
        <v>79</v>
      </c>
    </row>
    <row r="7400" spans="1:5">
      <c r="A7400">
        <f t="shared" si="117"/>
        <v>7339</v>
      </c>
      <c r="B7400" s="138" t="e">
        <f>#REF!</f>
        <v>#REF!</v>
      </c>
      <c r="D7400" s="2" t="e">
        <f t="shared" si="116"/>
        <v>#REF!</v>
      </c>
      <c r="E7400" s="2" t="s">
        <v>79</v>
      </c>
    </row>
    <row r="7401" spans="1:5">
      <c r="A7401">
        <f t="shared" si="117"/>
        <v>7340</v>
      </c>
      <c r="B7401" s="138" t="e">
        <f>#REF!</f>
        <v>#REF!</v>
      </c>
      <c r="D7401" s="2" t="e">
        <f t="shared" si="116"/>
        <v>#REF!</v>
      </c>
      <c r="E7401" s="2" t="s">
        <v>79</v>
      </c>
    </row>
    <row r="7402" spans="1:5">
      <c r="A7402">
        <f t="shared" si="117"/>
        <v>7341</v>
      </c>
      <c r="B7402" s="138" t="e">
        <f>#REF!</f>
        <v>#REF!</v>
      </c>
      <c r="D7402" s="2" t="e">
        <f t="shared" si="116"/>
        <v>#REF!</v>
      </c>
      <c r="E7402" s="2" t="s">
        <v>79</v>
      </c>
    </row>
    <row r="7403" spans="1:5">
      <c r="A7403">
        <f t="shared" si="117"/>
        <v>7342</v>
      </c>
      <c r="B7403" s="138" t="e">
        <f>#REF!</f>
        <v>#REF!</v>
      </c>
      <c r="D7403" s="2" t="e">
        <f t="shared" si="116"/>
        <v>#REF!</v>
      </c>
      <c r="E7403" s="2" t="s">
        <v>79</v>
      </c>
    </row>
    <row r="7404" spans="1:5">
      <c r="A7404">
        <f t="shared" si="117"/>
        <v>7343</v>
      </c>
      <c r="B7404" s="138" t="e">
        <f>#REF!</f>
        <v>#REF!</v>
      </c>
      <c r="D7404" s="2" t="e">
        <f t="shared" si="116"/>
        <v>#REF!</v>
      </c>
      <c r="E7404" s="2" t="s">
        <v>79</v>
      </c>
    </row>
    <row r="7405" spans="1:5">
      <c r="A7405">
        <f t="shared" si="117"/>
        <v>7344</v>
      </c>
      <c r="B7405" s="138" t="e">
        <f>#REF!</f>
        <v>#REF!</v>
      </c>
      <c r="D7405" s="2" t="e">
        <f t="shared" si="116"/>
        <v>#REF!</v>
      </c>
      <c r="E7405" s="2" t="s">
        <v>79</v>
      </c>
    </row>
    <row r="7406" spans="1:5">
      <c r="A7406">
        <f t="shared" si="117"/>
        <v>7345</v>
      </c>
      <c r="B7406" s="138" t="e">
        <f>#REF!</f>
        <v>#REF!</v>
      </c>
      <c r="D7406" s="2" t="e">
        <f t="shared" si="116"/>
        <v>#REF!</v>
      </c>
      <c r="E7406" s="2" t="s">
        <v>79</v>
      </c>
    </row>
    <row r="7407" spans="1:5">
      <c r="A7407">
        <f t="shared" si="117"/>
        <v>7346</v>
      </c>
      <c r="B7407" s="138" t="e">
        <f>#REF!</f>
        <v>#REF!</v>
      </c>
      <c r="D7407" s="2" t="e">
        <f t="shared" si="116"/>
        <v>#REF!</v>
      </c>
      <c r="E7407" s="2" t="s">
        <v>79</v>
      </c>
    </row>
    <row r="7408" spans="1:5">
      <c r="A7408">
        <f t="shared" si="117"/>
        <v>7347</v>
      </c>
      <c r="B7408" s="138" t="e">
        <f>#REF!</f>
        <v>#REF!</v>
      </c>
      <c r="D7408" s="2" t="e">
        <f t="shared" si="116"/>
        <v>#REF!</v>
      </c>
      <c r="E7408" s="2" t="s">
        <v>79</v>
      </c>
    </row>
    <row r="7409" spans="1:5">
      <c r="A7409">
        <f t="shared" si="117"/>
        <v>7348</v>
      </c>
      <c r="B7409" s="138" t="e">
        <f>#REF!</f>
        <v>#REF!</v>
      </c>
      <c r="D7409" s="2" t="e">
        <f t="shared" si="116"/>
        <v>#REF!</v>
      </c>
      <c r="E7409" s="2" t="s">
        <v>79</v>
      </c>
    </row>
    <row r="7410" spans="1:5">
      <c r="A7410">
        <f t="shared" si="117"/>
        <v>7349</v>
      </c>
      <c r="B7410" s="138" t="e">
        <f>#REF!</f>
        <v>#REF!</v>
      </c>
      <c r="D7410" s="2" t="e">
        <f t="shared" si="116"/>
        <v>#REF!</v>
      </c>
      <c r="E7410" s="2" t="s">
        <v>79</v>
      </c>
    </row>
    <row r="7411" spans="1:5">
      <c r="A7411">
        <f t="shared" si="117"/>
        <v>7350</v>
      </c>
      <c r="B7411" s="138" t="e">
        <f>#REF!</f>
        <v>#REF!</v>
      </c>
      <c r="D7411" s="2" t="e">
        <f t="shared" si="116"/>
        <v>#REF!</v>
      </c>
      <c r="E7411" s="2" t="s">
        <v>79</v>
      </c>
    </row>
    <row r="7412" spans="1:5">
      <c r="A7412">
        <f t="shared" si="117"/>
        <v>7351</v>
      </c>
      <c r="B7412" s="138" t="e">
        <f>#REF!</f>
        <v>#REF!</v>
      </c>
      <c r="D7412" s="2" t="e">
        <f t="shared" si="116"/>
        <v>#REF!</v>
      </c>
      <c r="E7412" s="2" t="s">
        <v>79</v>
      </c>
    </row>
    <row r="7413" spans="1:5">
      <c r="A7413">
        <f t="shared" si="117"/>
        <v>7352</v>
      </c>
      <c r="B7413" s="138" t="e">
        <f>#REF!</f>
        <v>#REF!</v>
      </c>
      <c r="D7413" s="2" t="e">
        <f t="shared" si="116"/>
        <v>#REF!</v>
      </c>
      <c r="E7413" s="2" t="s">
        <v>79</v>
      </c>
    </row>
    <row r="7414" spans="1:5">
      <c r="A7414">
        <f t="shared" si="117"/>
        <v>7353</v>
      </c>
      <c r="B7414" s="138" t="e">
        <f>#REF!</f>
        <v>#REF!</v>
      </c>
      <c r="D7414" s="2" t="e">
        <f t="shared" si="116"/>
        <v>#REF!</v>
      </c>
      <c r="E7414" s="2" t="s">
        <v>79</v>
      </c>
    </row>
    <row r="7415" spans="1:5">
      <c r="A7415">
        <f t="shared" si="117"/>
        <v>7354</v>
      </c>
      <c r="B7415" s="138" t="e">
        <f>#REF!</f>
        <v>#REF!</v>
      </c>
      <c r="D7415" s="2" t="e">
        <f t="shared" si="116"/>
        <v>#REF!</v>
      </c>
      <c r="E7415" s="2" t="s">
        <v>79</v>
      </c>
    </row>
    <row r="7416" spans="1:5">
      <c r="A7416">
        <f t="shared" si="117"/>
        <v>7355</v>
      </c>
      <c r="B7416" s="138" t="e">
        <f>#REF!</f>
        <v>#REF!</v>
      </c>
      <c r="D7416" s="2" t="e">
        <f t="shared" si="116"/>
        <v>#REF!</v>
      </c>
      <c r="E7416" s="2" t="s">
        <v>79</v>
      </c>
    </row>
    <row r="7417" spans="1:5">
      <c r="A7417">
        <f t="shared" si="117"/>
        <v>7356</v>
      </c>
      <c r="B7417" s="138" t="e">
        <f>#REF!</f>
        <v>#REF!</v>
      </c>
      <c r="D7417" s="2" t="e">
        <f t="shared" si="116"/>
        <v>#REF!</v>
      </c>
      <c r="E7417" s="2" t="s">
        <v>79</v>
      </c>
    </row>
    <row r="7418" spans="1:5">
      <c r="A7418">
        <f t="shared" si="117"/>
        <v>7357</v>
      </c>
      <c r="B7418" s="138" t="e">
        <f>#REF!</f>
        <v>#REF!</v>
      </c>
      <c r="D7418" s="2" t="e">
        <f t="shared" si="116"/>
        <v>#REF!</v>
      </c>
      <c r="E7418" s="2" t="s">
        <v>79</v>
      </c>
    </row>
    <row r="7419" spans="1:5">
      <c r="A7419">
        <f t="shared" si="117"/>
        <v>7358</v>
      </c>
      <c r="B7419" s="138" t="e">
        <f>#REF!</f>
        <v>#REF!</v>
      </c>
      <c r="D7419" s="2" t="e">
        <f t="shared" si="116"/>
        <v>#REF!</v>
      </c>
      <c r="E7419" s="2" t="s">
        <v>79</v>
      </c>
    </row>
    <row r="7420" spans="1:5">
      <c r="A7420">
        <f t="shared" si="117"/>
        <v>7359</v>
      </c>
      <c r="B7420" s="138" t="e">
        <f>#REF!</f>
        <v>#REF!</v>
      </c>
      <c r="D7420" s="2" t="e">
        <f t="shared" si="116"/>
        <v>#REF!</v>
      </c>
      <c r="E7420" s="2" t="s">
        <v>79</v>
      </c>
    </row>
    <row r="7421" spans="1:5">
      <c r="A7421">
        <f t="shared" si="117"/>
        <v>7360</v>
      </c>
      <c r="B7421" s="138" t="e">
        <f>#REF!</f>
        <v>#REF!</v>
      </c>
      <c r="D7421" s="2" t="e">
        <f t="shared" si="116"/>
        <v>#REF!</v>
      </c>
      <c r="E7421" s="2" t="s">
        <v>79</v>
      </c>
    </row>
    <row r="7422" spans="1:5">
      <c r="A7422">
        <f t="shared" si="117"/>
        <v>7361</v>
      </c>
      <c r="B7422" s="138" t="e">
        <f>#REF!</f>
        <v>#REF!</v>
      </c>
      <c r="D7422" s="2" t="e">
        <f t="shared" si="116"/>
        <v>#REF!</v>
      </c>
      <c r="E7422" s="2" t="s">
        <v>79</v>
      </c>
    </row>
    <row r="7423" spans="1:5">
      <c r="A7423">
        <f t="shared" si="117"/>
        <v>7362</v>
      </c>
      <c r="B7423" s="138" t="e">
        <f>#REF!</f>
        <v>#REF!</v>
      </c>
      <c r="D7423" s="2" t="e">
        <f t="shared" ref="D7423:D7486" si="118">IF(ISBLANK(B7423),"OK",IF(A7423-B7423=0,"OK","Error?"))</f>
        <v>#REF!</v>
      </c>
      <c r="E7423" s="2" t="s">
        <v>79</v>
      </c>
    </row>
    <row r="7424" spans="1:5">
      <c r="A7424">
        <f t="shared" si="117"/>
        <v>7363</v>
      </c>
      <c r="B7424" s="138" t="e">
        <f>#REF!</f>
        <v>#REF!</v>
      </c>
      <c r="D7424" s="2" t="e">
        <f t="shared" si="118"/>
        <v>#REF!</v>
      </c>
      <c r="E7424" s="2" t="s">
        <v>79</v>
      </c>
    </row>
    <row r="7425" spans="1:5">
      <c r="A7425">
        <f t="shared" si="117"/>
        <v>7364</v>
      </c>
      <c r="B7425" s="138" t="e">
        <f>#REF!</f>
        <v>#REF!</v>
      </c>
      <c r="D7425" s="2" t="e">
        <f t="shared" si="118"/>
        <v>#REF!</v>
      </c>
      <c r="E7425" s="2" t="s">
        <v>79</v>
      </c>
    </row>
    <row r="7426" spans="1:5">
      <c r="A7426">
        <f t="shared" si="117"/>
        <v>7365</v>
      </c>
      <c r="B7426" s="138" t="e">
        <f>#REF!</f>
        <v>#REF!</v>
      </c>
      <c r="D7426" s="2" t="e">
        <f t="shared" si="118"/>
        <v>#REF!</v>
      </c>
      <c r="E7426" s="2" t="s">
        <v>79</v>
      </c>
    </row>
    <row r="7427" spans="1:5">
      <c r="A7427">
        <f t="shared" si="117"/>
        <v>7366</v>
      </c>
      <c r="B7427" s="138" t="e">
        <f>#REF!</f>
        <v>#REF!</v>
      </c>
      <c r="D7427" s="2" t="e">
        <f t="shared" si="118"/>
        <v>#REF!</v>
      </c>
      <c r="E7427" s="2" t="s">
        <v>79</v>
      </c>
    </row>
    <row r="7428" spans="1:5">
      <c r="A7428">
        <f t="shared" si="117"/>
        <v>7367</v>
      </c>
      <c r="B7428" s="138" t="e">
        <f>#REF!</f>
        <v>#REF!</v>
      </c>
      <c r="D7428" s="2" t="e">
        <f t="shared" si="118"/>
        <v>#REF!</v>
      </c>
      <c r="E7428" s="2" t="s">
        <v>79</v>
      </c>
    </row>
    <row r="7429" spans="1:5">
      <c r="A7429">
        <f t="shared" si="117"/>
        <v>7368</v>
      </c>
      <c r="B7429" s="138" t="e">
        <f>#REF!</f>
        <v>#REF!</v>
      </c>
      <c r="D7429" s="2" t="e">
        <f t="shared" si="118"/>
        <v>#REF!</v>
      </c>
      <c r="E7429" s="2" t="s">
        <v>79</v>
      </c>
    </row>
    <row r="7430" spans="1:5">
      <c r="A7430">
        <f t="shared" si="117"/>
        <v>7369</v>
      </c>
      <c r="B7430" s="138" t="e">
        <f>#REF!</f>
        <v>#REF!</v>
      </c>
      <c r="D7430" s="2" t="e">
        <f t="shared" si="118"/>
        <v>#REF!</v>
      </c>
      <c r="E7430" s="2" t="s">
        <v>79</v>
      </c>
    </row>
    <row r="7431" spans="1:5">
      <c r="A7431">
        <f t="shared" si="117"/>
        <v>7370</v>
      </c>
      <c r="B7431" s="138" t="e">
        <f>#REF!</f>
        <v>#REF!</v>
      </c>
      <c r="D7431" s="2" t="e">
        <f t="shared" si="118"/>
        <v>#REF!</v>
      </c>
      <c r="E7431" s="2" t="s">
        <v>79</v>
      </c>
    </row>
    <row r="7432" spans="1:5">
      <c r="A7432">
        <f t="shared" si="117"/>
        <v>7371</v>
      </c>
      <c r="B7432" s="138" t="e">
        <f>#REF!</f>
        <v>#REF!</v>
      </c>
      <c r="D7432" s="2" t="e">
        <f t="shared" si="118"/>
        <v>#REF!</v>
      </c>
      <c r="E7432" s="2" t="s">
        <v>79</v>
      </c>
    </row>
    <row r="7433" spans="1:5">
      <c r="A7433">
        <f t="shared" si="117"/>
        <v>7372</v>
      </c>
      <c r="B7433" s="138" t="e">
        <f>#REF!</f>
        <v>#REF!</v>
      </c>
      <c r="D7433" s="2" t="e">
        <f t="shared" si="118"/>
        <v>#REF!</v>
      </c>
      <c r="E7433" s="2" t="s">
        <v>79</v>
      </c>
    </row>
    <row r="7434" spans="1:5">
      <c r="A7434">
        <f t="shared" si="117"/>
        <v>7373</v>
      </c>
      <c r="B7434" s="138" t="e">
        <f>#REF!</f>
        <v>#REF!</v>
      </c>
      <c r="D7434" s="2" t="e">
        <f t="shared" si="118"/>
        <v>#REF!</v>
      </c>
      <c r="E7434" s="2" t="s">
        <v>79</v>
      </c>
    </row>
    <row r="7435" spans="1:5">
      <c r="A7435">
        <f t="shared" si="117"/>
        <v>7374</v>
      </c>
      <c r="B7435" s="138" t="e">
        <f>#REF!</f>
        <v>#REF!</v>
      </c>
      <c r="D7435" s="2" t="e">
        <f t="shared" si="118"/>
        <v>#REF!</v>
      </c>
      <c r="E7435" s="2" t="s">
        <v>79</v>
      </c>
    </row>
    <row r="7436" spans="1:5">
      <c r="A7436">
        <f t="shared" si="117"/>
        <v>7375</v>
      </c>
      <c r="B7436" s="138" t="e">
        <f>#REF!</f>
        <v>#REF!</v>
      </c>
      <c r="D7436" s="2" t="e">
        <f t="shared" si="118"/>
        <v>#REF!</v>
      </c>
      <c r="E7436" s="2" t="s">
        <v>79</v>
      </c>
    </row>
    <row r="7437" spans="1:5">
      <c r="A7437">
        <f t="shared" si="117"/>
        <v>7376</v>
      </c>
      <c r="B7437" s="138" t="e">
        <f>#REF!</f>
        <v>#REF!</v>
      </c>
      <c r="D7437" s="2" t="e">
        <f t="shared" si="118"/>
        <v>#REF!</v>
      </c>
      <c r="E7437" s="2" t="s">
        <v>79</v>
      </c>
    </row>
    <row r="7438" spans="1:5">
      <c r="A7438">
        <f t="shared" ref="A7438:A7501" si="119">A7437+1</f>
        <v>7377</v>
      </c>
      <c r="B7438" s="138" t="e">
        <f>#REF!</f>
        <v>#REF!</v>
      </c>
      <c r="D7438" s="2" t="e">
        <f t="shared" si="118"/>
        <v>#REF!</v>
      </c>
      <c r="E7438" s="2" t="s">
        <v>79</v>
      </c>
    </row>
    <row r="7439" spans="1:5">
      <c r="A7439">
        <f t="shared" si="119"/>
        <v>7378</v>
      </c>
      <c r="B7439" s="138" t="e">
        <f>#REF!</f>
        <v>#REF!</v>
      </c>
      <c r="D7439" s="2" t="e">
        <f t="shared" si="118"/>
        <v>#REF!</v>
      </c>
      <c r="E7439" s="2" t="s">
        <v>79</v>
      </c>
    </row>
    <row r="7440" spans="1:5">
      <c r="A7440">
        <f t="shared" si="119"/>
        <v>7379</v>
      </c>
      <c r="B7440" s="138" t="e">
        <f>#REF!</f>
        <v>#REF!</v>
      </c>
      <c r="D7440" s="2" t="e">
        <f t="shared" si="118"/>
        <v>#REF!</v>
      </c>
      <c r="E7440" s="2" t="s">
        <v>79</v>
      </c>
    </row>
    <row r="7441" spans="1:5">
      <c r="A7441">
        <f t="shared" si="119"/>
        <v>7380</v>
      </c>
      <c r="B7441" s="138" t="e">
        <f>#REF!</f>
        <v>#REF!</v>
      </c>
      <c r="D7441" s="2" t="e">
        <f t="shared" si="118"/>
        <v>#REF!</v>
      </c>
      <c r="E7441" s="2" t="s">
        <v>79</v>
      </c>
    </row>
    <row r="7442" spans="1:5">
      <c r="A7442">
        <f t="shared" si="119"/>
        <v>7381</v>
      </c>
      <c r="B7442" s="138" t="e">
        <f>#REF!</f>
        <v>#REF!</v>
      </c>
      <c r="D7442" s="2" t="e">
        <f t="shared" si="118"/>
        <v>#REF!</v>
      </c>
      <c r="E7442" s="2" t="s">
        <v>79</v>
      </c>
    </row>
    <row r="7443" spans="1:5">
      <c r="A7443">
        <f t="shared" si="119"/>
        <v>7382</v>
      </c>
      <c r="B7443" s="138" t="e">
        <f>#REF!</f>
        <v>#REF!</v>
      </c>
      <c r="D7443" s="2" t="e">
        <f t="shared" si="118"/>
        <v>#REF!</v>
      </c>
      <c r="E7443" s="2" t="s">
        <v>79</v>
      </c>
    </row>
    <row r="7444" spans="1:5">
      <c r="A7444">
        <f t="shared" si="119"/>
        <v>7383</v>
      </c>
      <c r="B7444" s="138" t="e">
        <f>#REF!</f>
        <v>#REF!</v>
      </c>
      <c r="D7444" s="2" t="e">
        <f t="shared" si="118"/>
        <v>#REF!</v>
      </c>
      <c r="E7444" s="2" t="s">
        <v>79</v>
      </c>
    </row>
    <row r="7445" spans="1:5">
      <c r="A7445">
        <f t="shared" si="119"/>
        <v>7384</v>
      </c>
      <c r="B7445" s="138" t="e">
        <f>#REF!</f>
        <v>#REF!</v>
      </c>
      <c r="D7445" s="2" t="e">
        <f t="shared" si="118"/>
        <v>#REF!</v>
      </c>
      <c r="E7445" s="2" t="s">
        <v>79</v>
      </c>
    </row>
    <row r="7446" spans="1:5">
      <c r="A7446">
        <f t="shared" si="119"/>
        <v>7385</v>
      </c>
      <c r="B7446" s="138" t="e">
        <f>#REF!</f>
        <v>#REF!</v>
      </c>
      <c r="D7446" s="2" t="e">
        <f t="shared" si="118"/>
        <v>#REF!</v>
      </c>
      <c r="E7446" s="2" t="s">
        <v>79</v>
      </c>
    </row>
    <row r="7447" spans="1:5">
      <c r="A7447">
        <f t="shared" si="119"/>
        <v>7386</v>
      </c>
      <c r="B7447" s="138" t="e">
        <f>#REF!</f>
        <v>#REF!</v>
      </c>
      <c r="D7447" s="2" t="e">
        <f t="shared" si="118"/>
        <v>#REF!</v>
      </c>
      <c r="E7447" s="2" t="s">
        <v>79</v>
      </c>
    </row>
    <row r="7448" spans="1:5">
      <c r="A7448">
        <f t="shared" si="119"/>
        <v>7387</v>
      </c>
      <c r="B7448" s="138" t="e">
        <f>#REF!</f>
        <v>#REF!</v>
      </c>
      <c r="D7448" s="2" t="e">
        <f t="shared" si="118"/>
        <v>#REF!</v>
      </c>
      <c r="E7448" s="2" t="s">
        <v>79</v>
      </c>
    </row>
    <row r="7449" spans="1:5">
      <c r="A7449">
        <f t="shared" si="119"/>
        <v>7388</v>
      </c>
      <c r="B7449" s="138" t="e">
        <f>#REF!</f>
        <v>#REF!</v>
      </c>
      <c r="D7449" s="2" t="e">
        <f t="shared" si="118"/>
        <v>#REF!</v>
      </c>
      <c r="E7449" s="2" t="s">
        <v>79</v>
      </c>
    </row>
    <row r="7450" spans="1:5">
      <c r="A7450">
        <f t="shared" si="119"/>
        <v>7389</v>
      </c>
      <c r="B7450" s="138" t="e">
        <f>#REF!</f>
        <v>#REF!</v>
      </c>
      <c r="D7450" s="2" t="e">
        <f t="shared" si="118"/>
        <v>#REF!</v>
      </c>
      <c r="E7450" s="2" t="s">
        <v>79</v>
      </c>
    </row>
    <row r="7451" spans="1:5">
      <c r="A7451">
        <f t="shared" si="119"/>
        <v>7390</v>
      </c>
      <c r="B7451" s="138" t="e">
        <f>#REF!</f>
        <v>#REF!</v>
      </c>
      <c r="D7451" s="2" t="e">
        <f t="shared" si="118"/>
        <v>#REF!</v>
      </c>
      <c r="E7451" s="2" t="s">
        <v>79</v>
      </c>
    </row>
    <row r="7452" spans="1:5">
      <c r="A7452">
        <f t="shared" si="119"/>
        <v>7391</v>
      </c>
      <c r="B7452" s="138" t="e">
        <f>#REF!</f>
        <v>#REF!</v>
      </c>
      <c r="D7452" s="2" t="e">
        <f t="shared" si="118"/>
        <v>#REF!</v>
      </c>
      <c r="E7452" s="2" t="s">
        <v>79</v>
      </c>
    </row>
    <row r="7453" spans="1:5">
      <c r="A7453">
        <f t="shared" si="119"/>
        <v>7392</v>
      </c>
      <c r="B7453" s="138" t="e">
        <f>#REF!</f>
        <v>#REF!</v>
      </c>
      <c r="D7453" s="2" t="e">
        <f t="shared" si="118"/>
        <v>#REF!</v>
      </c>
      <c r="E7453" s="2" t="s">
        <v>79</v>
      </c>
    </row>
    <row r="7454" spans="1:5">
      <c r="A7454">
        <f t="shared" si="119"/>
        <v>7393</v>
      </c>
      <c r="B7454" s="138" t="e">
        <f>#REF!</f>
        <v>#REF!</v>
      </c>
      <c r="D7454" s="2" t="e">
        <f t="shared" si="118"/>
        <v>#REF!</v>
      </c>
      <c r="E7454" s="2" t="s">
        <v>79</v>
      </c>
    </row>
    <row r="7455" spans="1:5">
      <c r="A7455">
        <f t="shared" si="119"/>
        <v>7394</v>
      </c>
      <c r="B7455" s="138" t="e">
        <f>#REF!</f>
        <v>#REF!</v>
      </c>
      <c r="D7455" s="2" t="e">
        <f t="shared" si="118"/>
        <v>#REF!</v>
      </c>
      <c r="E7455" s="2" t="s">
        <v>79</v>
      </c>
    </row>
    <row r="7456" spans="1:5">
      <c r="A7456">
        <f t="shared" si="119"/>
        <v>7395</v>
      </c>
      <c r="B7456" s="138" t="e">
        <f>#REF!</f>
        <v>#REF!</v>
      </c>
      <c r="D7456" s="2" t="e">
        <f t="shared" si="118"/>
        <v>#REF!</v>
      </c>
      <c r="E7456" s="2" t="s">
        <v>79</v>
      </c>
    </row>
    <row r="7457" spans="1:5">
      <c r="A7457">
        <f t="shared" si="119"/>
        <v>7396</v>
      </c>
      <c r="B7457" s="138" t="e">
        <f>#REF!</f>
        <v>#REF!</v>
      </c>
      <c r="D7457" s="2" t="e">
        <f t="shared" si="118"/>
        <v>#REF!</v>
      </c>
      <c r="E7457" s="2" t="s">
        <v>79</v>
      </c>
    </row>
    <row r="7458" spans="1:5">
      <c r="A7458">
        <f t="shared" si="119"/>
        <v>7397</v>
      </c>
      <c r="B7458" s="138" t="e">
        <f>#REF!</f>
        <v>#REF!</v>
      </c>
      <c r="D7458" s="2" t="e">
        <f t="shared" si="118"/>
        <v>#REF!</v>
      </c>
      <c r="E7458" s="2" t="s">
        <v>79</v>
      </c>
    </row>
    <row r="7459" spans="1:5">
      <c r="A7459">
        <f t="shared" si="119"/>
        <v>7398</v>
      </c>
      <c r="B7459" s="138" t="e">
        <f>#REF!</f>
        <v>#REF!</v>
      </c>
      <c r="D7459" s="2" t="e">
        <f t="shared" si="118"/>
        <v>#REF!</v>
      </c>
      <c r="E7459" s="2" t="s">
        <v>79</v>
      </c>
    </row>
    <row r="7460" spans="1:5">
      <c r="A7460">
        <f t="shared" si="119"/>
        <v>7399</v>
      </c>
      <c r="B7460" s="138" t="e">
        <f>#REF!</f>
        <v>#REF!</v>
      </c>
      <c r="D7460" s="2" t="e">
        <f t="shared" si="118"/>
        <v>#REF!</v>
      </c>
      <c r="E7460" s="2" t="s">
        <v>79</v>
      </c>
    </row>
    <row r="7461" spans="1:5">
      <c r="A7461">
        <f t="shared" si="119"/>
        <v>7400</v>
      </c>
      <c r="B7461" s="138" t="e">
        <f>#REF!</f>
        <v>#REF!</v>
      </c>
      <c r="D7461" s="2" t="e">
        <f t="shared" si="118"/>
        <v>#REF!</v>
      </c>
      <c r="E7461" s="2" t="s">
        <v>79</v>
      </c>
    </row>
    <row r="7462" spans="1:5">
      <c r="A7462">
        <f t="shared" si="119"/>
        <v>7401</v>
      </c>
      <c r="B7462" s="138" t="e">
        <f>#REF!</f>
        <v>#REF!</v>
      </c>
      <c r="D7462" s="2" t="e">
        <f t="shared" si="118"/>
        <v>#REF!</v>
      </c>
      <c r="E7462" s="2" t="s">
        <v>79</v>
      </c>
    </row>
    <row r="7463" spans="1:5">
      <c r="A7463">
        <f t="shared" si="119"/>
        <v>7402</v>
      </c>
      <c r="B7463" s="138" t="e">
        <f>#REF!</f>
        <v>#REF!</v>
      </c>
      <c r="D7463" s="2" t="e">
        <f t="shared" si="118"/>
        <v>#REF!</v>
      </c>
      <c r="E7463" s="2" t="s">
        <v>79</v>
      </c>
    </row>
    <row r="7464" spans="1:5">
      <c r="A7464">
        <f t="shared" si="119"/>
        <v>7403</v>
      </c>
      <c r="B7464" s="138" t="e">
        <f>#REF!</f>
        <v>#REF!</v>
      </c>
      <c r="D7464" s="2" t="e">
        <f t="shared" si="118"/>
        <v>#REF!</v>
      </c>
      <c r="E7464" s="2" t="s">
        <v>79</v>
      </c>
    </row>
    <row r="7465" spans="1:5">
      <c r="A7465">
        <f t="shared" si="119"/>
        <v>7404</v>
      </c>
      <c r="B7465" s="138" t="e">
        <f>#REF!</f>
        <v>#REF!</v>
      </c>
      <c r="D7465" s="2" t="e">
        <f t="shared" si="118"/>
        <v>#REF!</v>
      </c>
      <c r="E7465" s="2" t="s">
        <v>79</v>
      </c>
    </row>
    <row r="7466" spans="1:5">
      <c r="A7466">
        <f t="shared" si="119"/>
        <v>7405</v>
      </c>
      <c r="B7466" s="138" t="e">
        <f>#REF!</f>
        <v>#REF!</v>
      </c>
      <c r="D7466" s="2" t="e">
        <f t="shared" si="118"/>
        <v>#REF!</v>
      </c>
      <c r="E7466" s="2" t="s">
        <v>79</v>
      </c>
    </row>
    <row r="7467" spans="1:5">
      <c r="A7467">
        <f t="shared" si="119"/>
        <v>7406</v>
      </c>
      <c r="B7467" s="138" t="e">
        <f>#REF!</f>
        <v>#REF!</v>
      </c>
      <c r="D7467" s="2" t="e">
        <f t="shared" si="118"/>
        <v>#REF!</v>
      </c>
      <c r="E7467" s="2" t="s">
        <v>79</v>
      </c>
    </row>
    <row r="7468" spans="1:5">
      <c r="A7468">
        <f t="shared" si="119"/>
        <v>7407</v>
      </c>
      <c r="B7468" s="138" t="e">
        <f>#REF!</f>
        <v>#REF!</v>
      </c>
      <c r="D7468" s="2" t="e">
        <f t="shared" si="118"/>
        <v>#REF!</v>
      </c>
      <c r="E7468" s="2" t="s">
        <v>79</v>
      </c>
    </row>
    <row r="7469" spans="1:5">
      <c r="A7469">
        <f t="shared" si="119"/>
        <v>7408</v>
      </c>
      <c r="B7469" s="138" t="e">
        <f>#REF!</f>
        <v>#REF!</v>
      </c>
      <c r="D7469" s="2" t="e">
        <f t="shared" si="118"/>
        <v>#REF!</v>
      </c>
      <c r="E7469" s="2" t="s">
        <v>79</v>
      </c>
    </row>
    <row r="7470" spans="1:5">
      <c r="A7470">
        <f t="shared" si="119"/>
        <v>7409</v>
      </c>
      <c r="B7470" s="138" t="e">
        <f>#REF!</f>
        <v>#REF!</v>
      </c>
      <c r="D7470" s="2" t="e">
        <f t="shared" si="118"/>
        <v>#REF!</v>
      </c>
      <c r="E7470" s="2" t="s">
        <v>79</v>
      </c>
    </row>
    <row r="7471" spans="1:5">
      <c r="A7471">
        <f t="shared" si="119"/>
        <v>7410</v>
      </c>
      <c r="B7471" s="138" t="e">
        <f>#REF!</f>
        <v>#REF!</v>
      </c>
      <c r="D7471" s="2" t="e">
        <f t="shared" si="118"/>
        <v>#REF!</v>
      </c>
      <c r="E7471" s="2" t="s">
        <v>79</v>
      </c>
    </row>
    <row r="7472" spans="1:5">
      <c r="A7472">
        <f t="shared" si="119"/>
        <v>7411</v>
      </c>
      <c r="B7472" s="138" t="e">
        <f>#REF!</f>
        <v>#REF!</v>
      </c>
      <c r="D7472" s="2" t="e">
        <f t="shared" si="118"/>
        <v>#REF!</v>
      </c>
      <c r="E7472" s="2" t="s">
        <v>79</v>
      </c>
    </row>
    <row r="7473" spans="1:5">
      <c r="A7473">
        <f t="shared" si="119"/>
        <v>7412</v>
      </c>
      <c r="B7473" s="138" t="e">
        <f>#REF!</f>
        <v>#REF!</v>
      </c>
      <c r="D7473" s="2" t="e">
        <f t="shared" si="118"/>
        <v>#REF!</v>
      </c>
      <c r="E7473" s="2" t="s">
        <v>79</v>
      </c>
    </row>
    <row r="7474" spans="1:5">
      <c r="A7474">
        <f t="shared" si="119"/>
        <v>7413</v>
      </c>
      <c r="B7474" s="138" t="e">
        <f>#REF!</f>
        <v>#REF!</v>
      </c>
      <c r="D7474" s="2" t="e">
        <f t="shared" si="118"/>
        <v>#REF!</v>
      </c>
      <c r="E7474" s="2" t="s">
        <v>79</v>
      </c>
    </row>
    <row r="7475" spans="1:5">
      <c r="A7475">
        <f t="shared" si="119"/>
        <v>7414</v>
      </c>
      <c r="B7475" s="138" t="e">
        <f>#REF!</f>
        <v>#REF!</v>
      </c>
      <c r="D7475" s="2" t="e">
        <f t="shared" si="118"/>
        <v>#REF!</v>
      </c>
      <c r="E7475" s="2" t="s">
        <v>79</v>
      </c>
    </row>
    <row r="7476" spans="1:5">
      <c r="A7476">
        <f t="shared" si="119"/>
        <v>7415</v>
      </c>
      <c r="B7476" s="138" t="e">
        <f>#REF!</f>
        <v>#REF!</v>
      </c>
      <c r="D7476" s="2" t="e">
        <f t="shared" si="118"/>
        <v>#REF!</v>
      </c>
      <c r="E7476" s="2" t="s">
        <v>79</v>
      </c>
    </row>
    <row r="7477" spans="1:5">
      <c r="A7477">
        <f t="shared" si="119"/>
        <v>7416</v>
      </c>
      <c r="B7477" s="138" t="e">
        <f>#REF!</f>
        <v>#REF!</v>
      </c>
      <c r="D7477" s="2" t="e">
        <f t="shared" si="118"/>
        <v>#REF!</v>
      </c>
      <c r="E7477" s="2" t="s">
        <v>79</v>
      </c>
    </row>
    <row r="7478" spans="1:5">
      <c r="A7478">
        <f t="shared" si="119"/>
        <v>7417</v>
      </c>
      <c r="B7478" s="138" t="e">
        <f>#REF!</f>
        <v>#REF!</v>
      </c>
      <c r="D7478" s="2" t="e">
        <f t="shared" si="118"/>
        <v>#REF!</v>
      </c>
      <c r="E7478" s="2" t="s">
        <v>79</v>
      </c>
    </row>
    <row r="7479" spans="1:5">
      <c r="A7479">
        <f t="shared" si="119"/>
        <v>7418</v>
      </c>
      <c r="B7479" s="138" t="e">
        <f>#REF!</f>
        <v>#REF!</v>
      </c>
      <c r="D7479" s="2" t="e">
        <f t="shared" si="118"/>
        <v>#REF!</v>
      </c>
      <c r="E7479" s="2" t="s">
        <v>79</v>
      </c>
    </row>
    <row r="7480" spans="1:5">
      <c r="A7480">
        <f t="shared" si="119"/>
        <v>7419</v>
      </c>
      <c r="B7480" s="138" t="e">
        <f>#REF!</f>
        <v>#REF!</v>
      </c>
      <c r="D7480" s="2" t="e">
        <f t="shared" si="118"/>
        <v>#REF!</v>
      </c>
      <c r="E7480" s="2" t="s">
        <v>79</v>
      </c>
    </row>
    <row r="7481" spans="1:5">
      <c r="A7481">
        <f t="shared" si="119"/>
        <v>7420</v>
      </c>
      <c r="B7481" s="138" t="e">
        <f>#REF!</f>
        <v>#REF!</v>
      </c>
      <c r="D7481" s="2" t="e">
        <f t="shared" si="118"/>
        <v>#REF!</v>
      </c>
      <c r="E7481" s="2" t="s">
        <v>79</v>
      </c>
    </row>
    <row r="7482" spans="1:5">
      <c r="A7482">
        <f t="shared" si="119"/>
        <v>7421</v>
      </c>
      <c r="B7482" s="138" t="e">
        <f>#REF!</f>
        <v>#REF!</v>
      </c>
      <c r="D7482" s="2" t="e">
        <f t="shared" si="118"/>
        <v>#REF!</v>
      </c>
      <c r="E7482" s="2" t="s">
        <v>79</v>
      </c>
    </row>
    <row r="7483" spans="1:5">
      <c r="A7483">
        <f t="shared" si="119"/>
        <v>7422</v>
      </c>
      <c r="B7483" s="138" t="e">
        <f>#REF!</f>
        <v>#REF!</v>
      </c>
      <c r="D7483" s="2" t="e">
        <f t="shared" si="118"/>
        <v>#REF!</v>
      </c>
      <c r="E7483" s="2" t="s">
        <v>79</v>
      </c>
    </row>
    <row r="7484" spans="1:5">
      <c r="A7484">
        <f t="shared" si="119"/>
        <v>7423</v>
      </c>
      <c r="B7484" s="138" t="e">
        <f>#REF!</f>
        <v>#REF!</v>
      </c>
      <c r="D7484" s="2" t="e">
        <f t="shared" si="118"/>
        <v>#REF!</v>
      </c>
      <c r="E7484" s="2" t="s">
        <v>79</v>
      </c>
    </row>
    <row r="7485" spans="1:5">
      <c r="A7485">
        <f t="shared" si="119"/>
        <v>7424</v>
      </c>
      <c r="B7485" s="138" t="e">
        <f>#REF!</f>
        <v>#REF!</v>
      </c>
      <c r="D7485" s="2" t="e">
        <f t="shared" si="118"/>
        <v>#REF!</v>
      </c>
      <c r="E7485" s="2" t="s">
        <v>79</v>
      </c>
    </row>
    <row r="7486" spans="1:5">
      <c r="A7486">
        <f t="shared" si="119"/>
        <v>7425</v>
      </c>
      <c r="B7486" s="138" t="e">
        <f>#REF!</f>
        <v>#REF!</v>
      </c>
      <c r="D7486" s="2" t="e">
        <f t="shared" si="118"/>
        <v>#REF!</v>
      </c>
      <c r="E7486" s="2" t="s">
        <v>79</v>
      </c>
    </row>
    <row r="7487" spans="1:5">
      <c r="A7487">
        <f t="shared" si="119"/>
        <v>7426</v>
      </c>
      <c r="B7487" s="138" t="e">
        <f>#REF!</f>
        <v>#REF!</v>
      </c>
      <c r="D7487" s="2" t="e">
        <f t="shared" ref="D7487:D7550" si="120">IF(ISBLANK(B7487),"OK",IF(A7487-B7487=0,"OK","Error?"))</f>
        <v>#REF!</v>
      </c>
      <c r="E7487" s="2" t="s">
        <v>79</v>
      </c>
    </row>
    <row r="7488" spans="1:5">
      <c r="A7488">
        <f t="shared" si="119"/>
        <v>7427</v>
      </c>
      <c r="B7488" s="138" t="e">
        <f>#REF!</f>
        <v>#REF!</v>
      </c>
      <c r="D7488" s="2" t="e">
        <f t="shared" si="120"/>
        <v>#REF!</v>
      </c>
      <c r="E7488" s="2" t="s">
        <v>79</v>
      </c>
    </row>
    <row r="7489" spans="1:5">
      <c r="A7489">
        <f t="shared" si="119"/>
        <v>7428</v>
      </c>
      <c r="B7489" s="138" t="e">
        <f>#REF!</f>
        <v>#REF!</v>
      </c>
      <c r="D7489" s="2" t="e">
        <f t="shared" si="120"/>
        <v>#REF!</v>
      </c>
      <c r="E7489" s="2" t="s">
        <v>79</v>
      </c>
    </row>
    <row r="7490" spans="1:5">
      <c r="A7490">
        <f t="shared" si="119"/>
        <v>7429</v>
      </c>
      <c r="B7490" s="138" t="e">
        <f>#REF!</f>
        <v>#REF!</v>
      </c>
      <c r="D7490" s="2" t="e">
        <f t="shared" si="120"/>
        <v>#REF!</v>
      </c>
      <c r="E7490" s="2" t="s">
        <v>79</v>
      </c>
    </row>
    <row r="7491" spans="1:5">
      <c r="A7491">
        <f t="shared" si="119"/>
        <v>7430</v>
      </c>
      <c r="B7491" s="138" t="e">
        <f>#REF!</f>
        <v>#REF!</v>
      </c>
      <c r="D7491" s="2" t="e">
        <f t="shared" si="120"/>
        <v>#REF!</v>
      </c>
      <c r="E7491" s="2" t="s">
        <v>79</v>
      </c>
    </row>
    <row r="7492" spans="1:5">
      <c r="A7492">
        <f t="shared" si="119"/>
        <v>7431</v>
      </c>
      <c r="B7492" s="138" t="e">
        <f>#REF!</f>
        <v>#REF!</v>
      </c>
      <c r="D7492" s="2" t="e">
        <f t="shared" si="120"/>
        <v>#REF!</v>
      </c>
      <c r="E7492" s="2" t="s">
        <v>79</v>
      </c>
    </row>
    <row r="7493" spans="1:5">
      <c r="A7493">
        <f t="shared" si="119"/>
        <v>7432</v>
      </c>
      <c r="B7493" s="138" t="e">
        <f>#REF!</f>
        <v>#REF!</v>
      </c>
      <c r="D7493" s="2" t="e">
        <f t="shared" si="120"/>
        <v>#REF!</v>
      </c>
      <c r="E7493" s="2" t="s">
        <v>79</v>
      </c>
    </row>
    <row r="7494" spans="1:5">
      <c r="A7494">
        <f t="shared" si="119"/>
        <v>7433</v>
      </c>
      <c r="B7494" s="138" t="e">
        <f>#REF!</f>
        <v>#REF!</v>
      </c>
      <c r="D7494" s="2" t="e">
        <f t="shared" si="120"/>
        <v>#REF!</v>
      </c>
      <c r="E7494" s="2" t="s">
        <v>79</v>
      </c>
    </row>
    <row r="7495" spans="1:5">
      <c r="A7495">
        <f t="shared" si="119"/>
        <v>7434</v>
      </c>
      <c r="B7495" s="138" t="e">
        <f>#REF!</f>
        <v>#REF!</v>
      </c>
      <c r="D7495" s="2" t="e">
        <f t="shared" si="120"/>
        <v>#REF!</v>
      </c>
      <c r="E7495" s="2" t="s">
        <v>79</v>
      </c>
    </row>
    <row r="7496" spans="1:5">
      <c r="A7496">
        <f t="shared" si="119"/>
        <v>7435</v>
      </c>
      <c r="B7496" s="138" t="e">
        <f>#REF!</f>
        <v>#REF!</v>
      </c>
      <c r="D7496" s="2" t="e">
        <f t="shared" si="120"/>
        <v>#REF!</v>
      </c>
      <c r="E7496" s="2" t="s">
        <v>79</v>
      </c>
    </row>
    <row r="7497" spans="1:5">
      <c r="A7497">
        <f t="shared" si="119"/>
        <v>7436</v>
      </c>
      <c r="B7497" s="138" t="e">
        <f>#REF!</f>
        <v>#REF!</v>
      </c>
      <c r="D7497" s="2" t="e">
        <f t="shared" si="120"/>
        <v>#REF!</v>
      </c>
      <c r="E7497" s="2" t="s">
        <v>79</v>
      </c>
    </row>
    <row r="7498" spans="1:5">
      <c r="A7498">
        <f t="shared" si="119"/>
        <v>7437</v>
      </c>
      <c r="B7498" s="138" t="e">
        <f>#REF!</f>
        <v>#REF!</v>
      </c>
      <c r="D7498" s="2" t="e">
        <f t="shared" si="120"/>
        <v>#REF!</v>
      </c>
      <c r="E7498" s="2" t="s">
        <v>79</v>
      </c>
    </row>
    <row r="7499" spans="1:5">
      <c r="A7499">
        <f t="shared" si="119"/>
        <v>7438</v>
      </c>
      <c r="B7499" s="138" t="e">
        <f>#REF!</f>
        <v>#REF!</v>
      </c>
      <c r="D7499" s="2" t="e">
        <f t="shared" si="120"/>
        <v>#REF!</v>
      </c>
      <c r="E7499" s="2" t="s">
        <v>79</v>
      </c>
    </row>
    <row r="7500" spans="1:5">
      <c r="A7500">
        <f t="shared" si="119"/>
        <v>7439</v>
      </c>
      <c r="B7500" s="138" t="e">
        <f>#REF!</f>
        <v>#REF!</v>
      </c>
      <c r="D7500" s="2" t="e">
        <f t="shared" si="120"/>
        <v>#REF!</v>
      </c>
      <c r="E7500" s="2" t="s">
        <v>79</v>
      </c>
    </row>
    <row r="7501" spans="1:5">
      <c r="A7501">
        <f t="shared" si="119"/>
        <v>7440</v>
      </c>
      <c r="B7501" s="138" t="e">
        <f>#REF!</f>
        <v>#REF!</v>
      </c>
      <c r="D7501" s="2" t="e">
        <f t="shared" si="120"/>
        <v>#REF!</v>
      </c>
      <c r="E7501" s="2" t="s">
        <v>79</v>
      </c>
    </row>
    <row r="7502" spans="1:5">
      <c r="A7502">
        <f t="shared" ref="A7502:A7565" si="121">A7501+1</f>
        <v>7441</v>
      </c>
      <c r="B7502" s="138" t="e">
        <f>#REF!</f>
        <v>#REF!</v>
      </c>
      <c r="D7502" s="2" t="e">
        <f t="shared" si="120"/>
        <v>#REF!</v>
      </c>
      <c r="E7502" s="2" t="s">
        <v>79</v>
      </c>
    </row>
    <row r="7503" spans="1:5">
      <c r="A7503">
        <f t="shared" si="121"/>
        <v>7442</v>
      </c>
      <c r="B7503" s="138" t="e">
        <f>#REF!</f>
        <v>#REF!</v>
      </c>
      <c r="D7503" s="2" t="e">
        <f t="shared" si="120"/>
        <v>#REF!</v>
      </c>
      <c r="E7503" s="2" t="s">
        <v>79</v>
      </c>
    </row>
    <row r="7504" spans="1:5">
      <c r="A7504">
        <f t="shared" si="121"/>
        <v>7443</v>
      </c>
      <c r="B7504" s="138" t="e">
        <f>#REF!</f>
        <v>#REF!</v>
      </c>
      <c r="D7504" s="2" t="e">
        <f t="shared" si="120"/>
        <v>#REF!</v>
      </c>
      <c r="E7504" s="2" t="s">
        <v>79</v>
      </c>
    </row>
    <row r="7505" spans="1:5">
      <c r="A7505">
        <f t="shared" si="121"/>
        <v>7444</v>
      </c>
      <c r="B7505" s="138" t="e">
        <f>#REF!</f>
        <v>#REF!</v>
      </c>
      <c r="D7505" s="2" t="e">
        <f t="shared" si="120"/>
        <v>#REF!</v>
      </c>
      <c r="E7505" s="2" t="s">
        <v>79</v>
      </c>
    </row>
    <row r="7506" spans="1:5">
      <c r="A7506">
        <f t="shared" si="121"/>
        <v>7445</v>
      </c>
      <c r="B7506" s="138" t="e">
        <f>#REF!</f>
        <v>#REF!</v>
      </c>
      <c r="D7506" s="2" t="e">
        <f t="shared" si="120"/>
        <v>#REF!</v>
      </c>
      <c r="E7506" s="2" t="s">
        <v>79</v>
      </c>
    </row>
    <row r="7507" spans="1:5">
      <c r="A7507">
        <f t="shared" si="121"/>
        <v>7446</v>
      </c>
      <c r="B7507" s="138" t="e">
        <f>#REF!</f>
        <v>#REF!</v>
      </c>
      <c r="D7507" s="2" t="e">
        <f t="shared" si="120"/>
        <v>#REF!</v>
      </c>
      <c r="E7507" s="2" t="s">
        <v>79</v>
      </c>
    </row>
    <row r="7508" spans="1:5">
      <c r="A7508">
        <f t="shared" si="121"/>
        <v>7447</v>
      </c>
      <c r="B7508" s="138" t="e">
        <f>#REF!</f>
        <v>#REF!</v>
      </c>
      <c r="D7508" s="2" t="e">
        <f t="shared" si="120"/>
        <v>#REF!</v>
      </c>
      <c r="E7508" s="2" t="s">
        <v>79</v>
      </c>
    </row>
    <row r="7509" spans="1:5">
      <c r="A7509">
        <f t="shared" si="121"/>
        <v>7448</v>
      </c>
      <c r="B7509" s="138" t="e">
        <f>#REF!</f>
        <v>#REF!</v>
      </c>
      <c r="D7509" s="2" t="e">
        <f t="shared" si="120"/>
        <v>#REF!</v>
      </c>
      <c r="E7509" s="2" t="s">
        <v>79</v>
      </c>
    </row>
    <row r="7510" spans="1:5">
      <c r="A7510">
        <f t="shared" si="121"/>
        <v>7449</v>
      </c>
      <c r="B7510" s="138" t="e">
        <f>#REF!</f>
        <v>#REF!</v>
      </c>
      <c r="D7510" s="2" t="e">
        <f t="shared" si="120"/>
        <v>#REF!</v>
      </c>
      <c r="E7510" s="2" t="s">
        <v>79</v>
      </c>
    </row>
    <row r="7511" spans="1:5">
      <c r="A7511">
        <f t="shared" si="121"/>
        <v>7450</v>
      </c>
      <c r="B7511" s="138" t="e">
        <f>#REF!</f>
        <v>#REF!</v>
      </c>
      <c r="D7511" s="2" t="e">
        <f t="shared" si="120"/>
        <v>#REF!</v>
      </c>
      <c r="E7511" s="2" t="s">
        <v>79</v>
      </c>
    </row>
    <row r="7512" spans="1:5">
      <c r="A7512">
        <f t="shared" si="121"/>
        <v>7451</v>
      </c>
      <c r="B7512" s="138" t="e">
        <f>#REF!</f>
        <v>#REF!</v>
      </c>
      <c r="D7512" s="2" t="e">
        <f t="shared" si="120"/>
        <v>#REF!</v>
      </c>
      <c r="E7512" s="2" t="s">
        <v>79</v>
      </c>
    </row>
    <row r="7513" spans="1:5">
      <c r="A7513">
        <f t="shared" si="121"/>
        <v>7452</v>
      </c>
      <c r="B7513" s="138" t="e">
        <f>#REF!</f>
        <v>#REF!</v>
      </c>
      <c r="D7513" s="2" t="e">
        <f t="shared" si="120"/>
        <v>#REF!</v>
      </c>
      <c r="E7513" s="2" t="s">
        <v>79</v>
      </c>
    </row>
    <row r="7514" spans="1:5">
      <c r="A7514">
        <f t="shared" si="121"/>
        <v>7453</v>
      </c>
      <c r="B7514" s="138" t="e">
        <f>#REF!</f>
        <v>#REF!</v>
      </c>
      <c r="D7514" s="2" t="e">
        <f t="shared" si="120"/>
        <v>#REF!</v>
      </c>
      <c r="E7514" s="2" t="s">
        <v>79</v>
      </c>
    </row>
    <row r="7515" spans="1:5">
      <c r="A7515">
        <f t="shared" si="121"/>
        <v>7454</v>
      </c>
      <c r="B7515" s="138" t="e">
        <f>#REF!</f>
        <v>#REF!</v>
      </c>
      <c r="D7515" s="2" t="e">
        <f t="shared" si="120"/>
        <v>#REF!</v>
      </c>
      <c r="E7515" s="2" t="s">
        <v>79</v>
      </c>
    </row>
    <row r="7516" spans="1:5">
      <c r="A7516">
        <f t="shared" si="121"/>
        <v>7455</v>
      </c>
      <c r="B7516" s="138" t="e">
        <f>#REF!</f>
        <v>#REF!</v>
      </c>
      <c r="D7516" s="2" t="e">
        <f t="shared" si="120"/>
        <v>#REF!</v>
      </c>
      <c r="E7516" s="2" t="s">
        <v>79</v>
      </c>
    </row>
    <row r="7517" spans="1:5">
      <c r="A7517">
        <f t="shared" si="121"/>
        <v>7456</v>
      </c>
      <c r="B7517" s="138" t="e">
        <f>#REF!</f>
        <v>#REF!</v>
      </c>
      <c r="D7517" s="2" t="e">
        <f t="shared" si="120"/>
        <v>#REF!</v>
      </c>
      <c r="E7517" s="2" t="s">
        <v>79</v>
      </c>
    </row>
    <row r="7518" spans="1:5">
      <c r="A7518">
        <f t="shared" si="121"/>
        <v>7457</v>
      </c>
      <c r="B7518" s="138" t="e">
        <f>#REF!</f>
        <v>#REF!</v>
      </c>
      <c r="D7518" s="2" t="e">
        <f t="shared" si="120"/>
        <v>#REF!</v>
      </c>
      <c r="E7518" s="2" t="s">
        <v>79</v>
      </c>
    </row>
    <row r="7519" spans="1:5">
      <c r="A7519">
        <f t="shared" si="121"/>
        <v>7458</v>
      </c>
      <c r="B7519" s="138" t="e">
        <f>#REF!</f>
        <v>#REF!</v>
      </c>
      <c r="D7519" s="2" t="e">
        <f t="shared" si="120"/>
        <v>#REF!</v>
      </c>
      <c r="E7519" s="2" t="s">
        <v>79</v>
      </c>
    </row>
    <row r="7520" spans="1:5">
      <c r="A7520">
        <f t="shared" si="121"/>
        <v>7459</v>
      </c>
      <c r="B7520" s="138" t="e">
        <f>#REF!</f>
        <v>#REF!</v>
      </c>
      <c r="D7520" s="2" t="e">
        <f t="shared" si="120"/>
        <v>#REF!</v>
      </c>
      <c r="E7520" s="2" t="s">
        <v>79</v>
      </c>
    </row>
    <row r="7521" spans="1:5">
      <c r="A7521">
        <f t="shared" si="121"/>
        <v>7460</v>
      </c>
      <c r="B7521" s="138" t="e">
        <f>#REF!</f>
        <v>#REF!</v>
      </c>
      <c r="D7521" s="2" t="e">
        <f t="shared" si="120"/>
        <v>#REF!</v>
      </c>
      <c r="E7521" s="2" t="s">
        <v>79</v>
      </c>
    </row>
    <row r="7522" spans="1:5">
      <c r="A7522">
        <f t="shared" si="121"/>
        <v>7461</v>
      </c>
      <c r="B7522" s="138" t="e">
        <f>#REF!</f>
        <v>#REF!</v>
      </c>
      <c r="D7522" s="2" t="e">
        <f t="shared" si="120"/>
        <v>#REF!</v>
      </c>
      <c r="E7522" s="2" t="s">
        <v>79</v>
      </c>
    </row>
    <row r="7523" spans="1:5">
      <c r="A7523">
        <f t="shared" si="121"/>
        <v>7462</v>
      </c>
      <c r="B7523" s="138" t="e">
        <f>#REF!</f>
        <v>#REF!</v>
      </c>
      <c r="D7523" s="2" t="e">
        <f t="shared" si="120"/>
        <v>#REF!</v>
      </c>
      <c r="E7523" s="2" t="s">
        <v>79</v>
      </c>
    </row>
    <row r="7524" spans="1:5">
      <c r="A7524">
        <f t="shared" si="121"/>
        <v>7463</v>
      </c>
      <c r="B7524" s="138" t="e">
        <f>#REF!</f>
        <v>#REF!</v>
      </c>
      <c r="D7524" s="2" t="e">
        <f t="shared" si="120"/>
        <v>#REF!</v>
      </c>
      <c r="E7524" s="2" t="s">
        <v>79</v>
      </c>
    </row>
    <row r="7525" spans="1:5">
      <c r="A7525">
        <f t="shared" si="121"/>
        <v>7464</v>
      </c>
      <c r="B7525" s="138" t="e">
        <f>#REF!</f>
        <v>#REF!</v>
      </c>
      <c r="D7525" s="2" t="e">
        <f t="shared" si="120"/>
        <v>#REF!</v>
      </c>
      <c r="E7525" s="2" t="s">
        <v>79</v>
      </c>
    </row>
    <row r="7526" spans="1:5">
      <c r="A7526">
        <f t="shared" si="121"/>
        <v>7465</v>
      </c>
      <c r="B7526" s="138" t="e">
        <f>#REF!</f>
        <v>#REF!</v>
      </c>
      <c r="D7526" s="2" t="e">
        <f t="shared" si="120"/>
        <v>#REF!</v>
      </c>
      <c r="E7526" s="2" t="s">
        <v>79</v>
      </c>
    </row>
    <row r="7527" spans="1:5">
      <c r="A7527">
        <f t="shared" si="121"/>
        <v>7466</v>
      </c>
      <c r="B7527" s="138" t="e">
        <f>#REF!</f>
        <v>#REF!</v>
      </c>
      <c r="D7527" s="2" t="e">
        <f t="shared" si="120"/>
        <v>#REF!</v>
      </c>
      <c r="E7527" s="2" t="s">
        <v>79</v>
      </c>
    </row>
    <row r="7528" spans="1:5">
      <c r="A7528">
        <f t="shared" si="121"/>
        <v>7467</v>
      </c>
      <c r="B7528" s="138" t="e">
        <f>#REF!</f>
        <v>#REF!</v>
      </c>
      <c r="D7528" s="2" t="e">
        <f t="shared" si="120"/>
        <v>#REF!</v>
      </c>
      <c r="E7528" s="2" t="s">
        <v>79</v>
      </c>
    </row>
    <row r="7529" spans="1:5">
      <c r="A7529">
        <f t="shared" si="121"/>
        <v>7468</v>
      </c>
      <c r="B7529" s="138" t="e">
        <f>#REF!</f>
        <v>#REF!</v>
      </c>
      <c r="D7529" s="2" t="e">
        <f t="shared" si="120"/>
        <v>#REF!</v>
      </c>
      <c r="E7529" s="2" t="s">
        <v>79</v>
      </c>
    </row>
    <row r="7530" spans="1:5">
      <c r="A7530">
        <f t="shared" si="121"/>
        <v>7469</v>
      </c>
      <c r="B7530" s="138" t="e">
        <f>#REF!</f>
        <v>#REF!</v>
      </c>
      <c r="D7530" s="2" t="e">
        <f t="shared" si="120"/>
        <v>#REF!</v>
      </c>
      <c r="E7530" s="2" t="s">
        <v>79</v>
      </c>
    </row>
    <row r="7531" spans="1:5">
      <c r="A7531">
        <f t="shared" si="121"/>
        <v>7470</v>
      </c>
      <c r="B7531" s="138" t="e">
        <f>#REF!</f>
        <v>#REF!</v>
      </c>
      <c r="D7531" s="2" t="e">
        <f t="shared" si="120"/>
        <v>#REF!</v>
      </c>
      <c r="E7531" s="2" t="s">
        <v>79</v>
      </c>
    </row>
    <row r="7532" spans="1:5">
      <c r="A7532">
        <f t="shared" si="121"/>
        <v>7471</v>
      </c>
      <c r="B7532" s="138" t="e">
        <f>#REF!</f>
        <v>#REF!</v>
      </c>
      <c r="D7532" s="2" t="e">
        <f t="shared" si="120"/>
        <v>#REF!</v>
      </c>
      <c r="E7532" s="2" t="s">
        <v>79</v>
      </c>
    </row>
    <row r="7533" spans="1:5">
      <c r="A7533">
        <f t="shared" si="121"/>
        <v>7472</v>
      </c>
      <c r="B7533" s="138" t="e">
        <f>#REF!</f>
        <v>#REF!</v>
      </c>
      <c r="D7533" s="2" t="e">
        <f t="shared" si="120"/>
        <v>#REF!</v>
      </c>
      <c r="E7533" s="2" t="s">
        <v>79</v>
      </c>
    </row>
    <row r="7534" spans="1:5">
      <c r="A7534">
        <f t="shared" si="121"/>
        <v>7473</v>
      </c>
      <c r="B7534" s="138" t="e">
        <f>#REF!</f>
        <v>#REF!</v>
      </c>
      <c r="D7534" s="2" t="e">
        <f t="shared" si="120"/>
        <v>#REF!</v>
      </c>
      <c r="E7534" s="2" t="s">
        <v>79</v>
      </c>
    </row>
    <row r="7535" spans="1:5">
      <c r="A7535">
        <f t="shared" si="121"/>
        <v>7474</v>
      </c>
      <c r="B7535" s="138" t="e">
        <f>#REF!</f>
        <v>#REF!</v>
      </c>
      <c r="D7535" s="2" t="e">
        <f t="shared" si="120"/>
        <v>#REF!</v>
      </c>
      <c r="E7535" s="2" t="s">
        <v>79</v>
      </c>
    </row>
    <row r="7536" spans="1:5">
      <c r="A7536">
        <f t="shared" si="121"/>
        <v>7475</v>
      </c>
      <c r="B7536" s="138" t="e">
        <f>#REF!</f>
        <v>#REF!</v>
      </c>
      <c r="D7536" s="2" t="e">
        <f t="shared" si="120"/>
        <v>#REF!</v>
      </c>
      <c r="E7536" s="2" t="s">
        <v>79</v>
      </c>
    </row>
    <row r="7537" spans="1:5">
      <c r="A7537">
        <f t="shared" si="121"/>
        <v>7476</v>
      </c>
      <c r="B7537" s="138" t="e">
        <f>#REF!</f>
        <v>#REF!</v>
      </c>
      <c r="D7537" s="2" t="e">
        <f t="shared" si="120"/>
        <v>#REF!</v>
      </c>
      <c r="E7537" s="2" t="s">
        <v>79</v>
      </c>
    </row>
    <row r="7538" spans="1:5">
      <c r="A7538">
        <f t="shared" si="121"/>
        <v>7477</v>
      </c>
      <c r="B7538" s="138" t="e">
        <f>#REF!</f>
        <v>#REF!</v>
      </c>
      <c r="D7538" s="2" t="e">
        <f t="shared" si="120"/>
        <v>#REF!</v>
      </c>
      <c r="E7538" s="2" t="s">
        <v>79</v>
      </c>
    </row>
    <row r="7539" spans="1:5">
      <c r="A7539">
        <f t="shared" si="121"/>
        <v>7478</v>
      </c>
      <c r="B7539" s="138" t="e">
        <f>#REF!</f>
        <v>#REF!</v>
      </c>
      <c r="D7539" s="2" t="e">
        <f t="shared" si="120"/>
        <v>#REF!</v>
      </c>
      <c r="E7539" s="2" t="s">
        <v>79</v>
      </c>
    </row>
    <row r="7540" spans="1:5">
      <c r="A7540">
        <f t="shared" si="121"/>
        <v>7479</v>
      </c>
      <c r="B7540" s="138" t="e">
        <f>#REF!</f>
        <v>#REF!</v>
      </c>
      <c r="D7540" s="2" t="e">
        <f t="shared" si="120"/>
        <v>#REF!</v>
      </c>
      <c r="E7540" s="2" t="s">
        <v>79</v>
      </c>
    </row>
    <row r="7541" spans="1:5">
      <c r="A7541">
        <f t="shared" si="121"/>
        <v>7480</v>
      </c>
      <c r="B7541" s="138" t="e">
        <f>#REF!</f>
        <v>#REF!</v>
      </c>
      <c r="D7541" s="2" t="e">
        <f t="shared" si="120"/>
        <v>#REF!</v>
      </c>
      <c r="E7541" s="2" t="s">
        <v>79</v>
      </c>
    </row>
    <row r="7542" spans="1:5">
      <c r="A7542">
        <f t="shared" si="121"/>
        <v>7481</v>
      </c>
      <c r="B7542" s="138" t="e">
        <f>#REF!</f>
        <v>#REF!</v>
      </c>
      <c r="D7542" s="2" t="e">
        <f t="shared" si="120"/>
        <v>#REF!</v>
      </c>
      <c r="E7542" s="2" t="s">
        <v>79</v>
      </c>
    </row>
    <row r="7543" spans="1:5">
      <c r="A7543">
        <f t="shared" si="121"/>
        <v>7482</v>
      </c>
      <c r="B7543" s="138" t="e">
        <f>#REF!</f>
        <v>#REF!</v>
      </c>
      <c r="D7543" s="2" t="e">
        <f t="shared" si="120"/>
        <v>#REF!</v>
      </c>
      <c r="E7543" s="2" t="s">
        <v>79</v>
      </c>
    </row>
    <row r="7544" spans="1:5">
      <c r="A7544">
        <f t="shared" si="121"/>
        <v>7483</v>
      </c>
      <c r="B7544" s="138" t="e">
        <f>#REF!</f>
        <v>#REF!</v>
      </c>
      <c r="D7544" s="2" t="e">
        <f t="shared" si="120"/>
        <v>#REF!</v>
      </c>
      <c r="E7544" s="2" t="s">
        <v>79</v>
      </c>
    </row>
    <row r="7545" spans="1:5">
      <c r="A7545">
        <f t="shared" si="121"/>
        <v>7484</v>
      </c>
      <c r="B7545" s="138" t="e">
        <f>#REF!</f>
        <v>#REF!</v>
      </c>
      <c r="D7545" s="2" t="e">
        <f t="shared" si="120"/>
        <v>#REF!</v>
      </c>
      <c r="E7545" s="2" t="s">
        <v>79</v>
      </c>
    </row>
    <row r="7546" spans="1:5">
      <c r="A7546">
        <f t="shared" si="121"/>
        <v>7485</v>
      </c>
      <c r="B7546" s="138" t="e">
        <f>#REF!</f>
        <v>#REF!</v>
      </c>
      <c r="D7546" s="2" t="e">
        <f t="shared" si="120"/>
        <v>#REF!</v>
      </c>
      <c r="E7546" s="2" t="s">
        <v>79</v>
      </c>
    </row>
    <row r="7547" spans="1:5">
      <c r="A7547">
        <f t="shared" si="121"/>
        <v>7486</v>
      </c>
      <c r="B7547" s="138" t="e">
        <f>#REF!</f>
        <v>#REF!</v>
      </c>
      <c r="D7547" s="2" t="e">
        <f t="shared" si="120"/>
        <v>#REF!</v>
      </c>
      <c r="E7547" s="2" t="s">
        <v>79</v>
      </c>
    </row>
    <row r="7548" spans="1:5">
      <c r="A7548">
        <f t="shared" si="121"/>
        <v>7487</v>
      </c>
      <c r="B7548" s="138" t="e">
        <f>#REF!</f>
        <v>#REF!</v>
      </c>
      <c r="D7548" s="2" t="e">
        <f t="shared" si="120"/>
        <v>#REF!</v>
      </c>
      <c r="E7548" s="2" t="s">
        <v>79</v>
      </c>
    </row>
    <row r="7549" spans="1:5">
      <c r="A7549">
        <f t="shared" si="121"/>
        <v>7488</v>
      </c>
      <c r="B7549" s="138" t="e">
        <f>#REF!</f>
        <v>#REF!</v>
      </c>
      <c r="D7549" s="2" t="e">
        <f t="shared" si="120"/>
        <v>#REF!</v>
      </c>
      <c r="E7549" s="2" t="s">
        <v>79</v>
      </c>
    </row>
    <row r="7550" spans="1:5">
      <c r="A7550">
        <f t="shared" si="121"/>
        <v>7489</v>
      </c>
      <c r="B7550" s="138" t="e">
        <f>#REF!</f>
        <v>#REF!</v>
      </c>
      <c r="D7550" s="2" t="e">
        <f t="shared" si="120"/>
        <v>#REF!</v>
      </c>
      <c r="E7550" s="2" t="s">
        <v>79</v>
      </c>
    </row>
    <row r="7551" spans="1:5">
      <c r="A7551">
        <f t="shared" si="121"/>
        <v>7490</v>
      </c>
      <c r="B7551" s="138" t="e">
        <f>#REF!</f>
        <v>#REF!</v>
      </c>
      <c r="D7551" s="2" t="e">
        <f t="shared" ref="D7551:D7614" si="122">IF(ISBLANK(B7551),"OK",IF(A7551-B7551=0,"OK","Error?"))</f>
        <v>#REF!</v>
      </c>
      <c r="E7551" s="2" t="s">
        <v>79</v>
      </c>
    </row>
    <row r="7552" spans="1:5">
      <c r="A7552">
        <f t="shared" si="121"/>
        <v>7491</v>
      </c>
      <c r="B7552" s="138" t="e">
        <f>#REF!</f>
        <v>#REF!</v>
      </c>
      <c r="D7552" s="2" t="e">
        <f t="shared" si="122"/>
        <v>#REF!</v>
      </c>
      <c r="E7552" s="2" t="s">
        <v>79</v>
      </c>
    </row>
    <row r="7553" spans="1:5">
      <c r="A7553">
        <f t="shared" si="121"/>
        <v>7492</v>
      </c>
      <c r="B7553" s="138" t="e">
        <f>#REF!</f>
        <v>#REF!</v>
      </c>
      <c r="D7553" s="2" t="e">
        <f t="shared" si="122"/>
        <v>#REF!</v>
      </c>
      <c r="E7553" s="2" t="s">
        <v>79</v>
      </c>
    </row>
    <row r="7554" spans="1:5">
      <c r="A7554">
        <f t="shared" si="121"/>
        <v>7493</v>
      </c>
      <c r="B7554" s="138" t="e">
        <f>#REF!</f>
        <v>#REF!</v>
      </c>
      <c r="D7554" s="2" t="e">
        <f t="shared" si="122"/>
        <v>#REF!</v>
      </c>
      <c r="E7554" s="2" t="s">
        <v>79</v>
      </c>
    </row>
    <row r="7555" spans="1:5">
      <c r="A7555">
        <f t="shared" si="121"/>
        <v>7494</v>
      </c>
      <c r="B7555" s="138" t="e">
        <f>#REF!</f>
        <v>#REF!</v>
      </c>
      <c r="D7555" s="2" t="e">
        <f t="shared" si="122"/>
        <v>#REF!</v>
      </c>
      <c r="E7555" s="2" t="s">
        <v>79</v>
      </c>
    </row>
    <row r="7556" spans="1:5">
      <c r="A7556">
        <f t="shared" si="121"/>
        <v>7495</v>
      </c>
      <c r="B7556" s="138" t="e">
        <f>#REF!</f>
        <v>#REF!</v>
      </c>
      <c r="D7556" s="2" t="e">
        <f t="shared" si="122"/>
        <v>#REF!</v>
      </c>
      <c r="E7556" s="2" t="s">
        <v>79</v>
      </c>
    </row>
    <row r="7557" spans="1:5">
      <c r="A7557">
        <f t="shared" si="121"/>
        <v>7496</v>
      </c>
      <c r="B7557" s="138" t="e">
        <f>#REF!</f>
        <v>#REF!</v>
      </c>
      <c r="D7557" s="2" t="e">
        <f t="shared" si="122"/>
        <v>#REF!</v>
      </c>
      <c r="E7557" s="2" t="s">
        <v>79</v>
      </c>
    </row>
    <row r="7558" spans="1:5">
      <c r="A7558">
        <f t="shared" si="121"/>
        <v>7497</v>
      </c>
      <c r="B7558" s="138" t="e">
        <f>#REF!</f>
        <v>#REF!</v>
      </c>
      <c r="D7558" s="2" t="e">
        <f t="shared" si="122"/>
        <v>#REF!</v>
      </c>
      <c r="E7558" s="2" t="s">
        <v>79</v>
      </c>
    </row>
    <row r="7559" spans="1:5">
      <c r="A7559">
        <f t="shared" si="121"/>
        <v>7498</v>
      </c>
      <c r="B7559" s="138" t="e">
        <f>#REF!</f>
        <v>#REF!</v>
      </c>
      <c r="D7559" s="2" t="e">
        <f t="shared" si="122"/>
        <v>#REF!</v>
      </c>
      <c r="E7559" s="2" t="s">
        <v>79</v>
      </c>
    </row>
    <row r="7560" spans="1:5">
      <c r="A7560">
        <f t="shared" si="121"/>
        <v>7499</v>
      </c>
      <c r="B7560" s="138" t="e">
        <f>#REF!</f>
        <v>#REF!</v>
      </c>
      <c r="D7560" s="2" t="e">
        <f t="shared" si="122"/>
        <v>#REF!</v>
      </c>
      <c r="E7560" s="2" t="s">
        <v>79</v>
      </c>
    </row>
    <row r="7561" spans="1:5">
      <c r="A7561">
        <f t="shared" si="121"/>
        <v>7500</v>
      </c>
      <c r="B7561" s="138" t="e">
        <f>#REF!</f>
        <v>#REF!</v>
      </c>
      <c r="D7561" s="2" t="e">
        <f t="shared" si="122"/>
        <v>#REF!</v>
      </c>
      <c r="E7561" s="2" t="s">
        <v>79</v>
      </c>
    </row>
    <row r="7562" spans="1:5">
      <c r="A7562">
        <f t="shared" si="121"/>
        <v>7501</v>
      </c>
      <c r="B7562" s="138" t="e">
        <f>#REF!</f>
        <v>#REF!</v>
      </c>
      <c r="D7562" s="2" t="e">
        <f t="shared" si="122"/>
        <v>#REF!</v>
      </c>
      <c r="E7562" s="2" t="s">
        <v>79</v>
      </c>
    </row>
    <row r="7563" spans="1:5">
      <c r="A7563">
        <f t="shared" si="121"/>
        <v>7502</v>
      </c>
      <c r="B7563" s="138" t="e">
        <f>#REF!</f>
        <v>#REF!</v>
      </c>
      <c r="D7563" s="2" t="e">
        <f t="shared" si="122"/>
        <v>#REF!</v>
      </c>
      <c r="E7563" s="2" t="s">
        <v>79</v>
      </c>
    </row>
    <row r="7564" spans="1:5">
      <c r="A7564">
        <f t="shared" si="121"/>
        <v>7503</v>
      </c>
      <c r="B7564" s="138" t="e">
        <f>#REF!</f>
        <v>#REF!</v>
      </c>
      <c r="D7564" s="2" t="e">
        <f t="shared" si="122"/>
        <v>#REF!</v>
      </c>
      <c r="E7564" s="2" t="s">
        <v>79</v>
      </c>
    </row>
    <row r="7565" spans="1:5">
      <c r="A7565">
        <f t="shared" si="121"/>
        <v>7504</v>
      </c>
      <c r="B7565" s="138" t="e">
        <f>#REF!</f>
        <v>#REF!</v>
      </c>
      <c r="D7565" s="2" t="e">
        <f t="shared" si="122"/>
        <v>#REF!</v>
      </c>
      <c r="E7565" s="2" t="s">
        <v>79</v>
      </c>
    </row>
    <row r="7566" spans="1:5">
      <c r="A7566">
        <f t="shared" ref="A7566:A7629" si="123">A7565+1</f>
        <v>7505</v>
      </c>
      <c r="B7566" s="138" t="e">
        <f>#REF!</f>
        <v>#REF!</v>
      </c>
      <c r="D7566" s="2" t="e">
        <f t="shared" si="122"/>
        <v>#REF!</v>
      </c>
      <c r="E7566" s="2" t="s">
        <v>79</v>
      </c>
    </row>
    <row r="7567" spans="1:5">
      <c r="A7567">
        <f t="shared" si="123"/>
        <v>7506</v>
      </c>
      <c r="B7567" s="138" t="e">
        <f>#REF!</f>
        <v>#REF!</v>
      </c>
      <c r="D7567" s="2" t="e">
        <f t="shared" si="122"/>
        <v>#REF!</v>
      </c>
      <c r="E7567" s="2" t="s">
        <v>79</v>
      </c>
    </row>
    <row r="7568" spans="1:5">
      <c r="A7568">
        <f t="shared" si="123"/>
        <v>7507</v>
      </c>
      <c r="B7568" s="138" t="e">
        <f>#REF!</f>
        <v>#REF!</v>
      </c>
      <c r="D7568" s="2" t="e">
        <f t="shared" si="122"/>
        <v>#REF!</v>
      </c>
      <c r="E7568" s="2" t="s">
        <v>79</v>
      </c>
    </row>
    <row r="7569" spans="1:5">
      <c r="A7569">
        <f t="shared" si="123"/>
        <v>7508</v>
      </c>
      <c r="B7569" s="138" t="e">
        <f>#REF!</f>
        <v>#REF!</v>
      </c>
      <c r="D7569" s="2" t="e">
        <f t="shared" si="122"/>
        <v>#REF!</v>
      </c>
      <c r="E7569" s="2" t="s">
        <v>79</v>
      </c>
    </row>
    <row r="7570" spans="1:5">
      <c r="A7570">
        <f t="shared" si="123"/>
        <v>7509</v>
      </c>
      <c r="B7570" s="138" t="e">
        <f>#REF!</f>
        <v>#REF!</v>
      </c>
      <c r="D7570" s="2" t="e">
        <f t="shared" si="122"/>
        <v>#REF!</v>
      </c>
      <c r="E7570" s="2" t="s">
        <v>79</v>
      </c>
    </row>
    <row r="7571" spans="1:5">
      <c r="A7571">
        <f t="shared" si="123"/>
        <v>7510</v>
      </c>
      <c r="B7571" s="138" t="e">
        <f>#REF!</f>
        <v>#REF!</v>
      </c>
      <c r="D7571" s="2" t="e">
        <f t="shared" si="122"/>
        <v>#REF!</v>
      </c>
      <c r="E7571" s="2" t="s">
        <v>79</v>
      </c>
    </row>
    <row r="7572" spans="1:5">
      <c r="A7572">
        <f t="shared" si="123"/>
        <v>7511</v>
      </c>
      <c r="B7572" s="138" t="e">
        <f>#REF!</f>
        <v>#REF!</v>
      </c>
      <c r="D7572" s="2" t="e">
        <f t="shared" si="122"/>
        <v>#REF!</v>
      </c>
      <c r="E7572" s="2" t="s">
        <v>79</v>
      </c>
    </row>
    <row r="7573" spans="1:5">
      <c r="A7573">
        <f t="shared" si="123"/>
        <v>7512</v>
      </c>
      <c r="B7573" s="138" t="e">
        <f>#REF!</f>
        <v>#REF!</v>
      </c>
      <c r="D7573" s="2" t="e">
        <f t="shared" si="122"/>
        <v>#REF!</v>
      </c>
      <c r="E7573" s="2" t="s">
        <v>79</v>
      </c>
    </row>
    <row r="7574" spans="1:5">
      <c r="A7574">
        <f t="shared" si="123"/>
        <v>7513</v>
      </c>
      <c r="B7574" s="138" t="e">
        <f>#REF!</f>
        <v>#REF!</v>
      </c>
      <c r="D7574" s="2" t="e">
        <f t="shared" si="122"/>
        <v>#REF!</v>
      </c>
      <c r="E7574" s="2" t="s">
        <v>79</v>
      </c>
    </row>
    <row r="7575" spans="1:5">
      <c r="A7575">
        <f t="shared" si="123"/>
        <v>7514</v>
      </c>
      <c r="B7575" s="138" t="e">
        <f>#REF!</f>
        <v>#REF!</v>
      </c>
      <c r="D7575" s="2" t="e">
        <f t="shared" si="122"/>
        <v>#REF!</v>
      </c>
      <c r="E7575" s="2" t="s">
        <v>79</v>
      </c>
    </row>
    <row r="7576" spans="1:5">
      <c r="A7576">
        <f t="shared" si="123"/>
        <v>7515</v>
      </c>
      <c r="B7576" s="138" t="e">
        <f>#REF!</f>
        <v>#REF!</v>
      </c>
      <c r="D7576" s="2" t="e">
        <f t="shared" si="122"/>
        <v>#REF!</v>
      </c>
      <c r="E7576" s="2" t="s">
        <v>79</v>
      </c>
    </row>
    <row r="7577" spans="1:5">
      <c r="A7577">
        <f t="shared" si="123"/>
        <v>7516</v>
      </c>
      <c r="B7577" s="138" t="e">
        <f>#REF!</f>
        <v>#REF!</v>
      </c>
      <c r="D7577" s="2" t="e">
        <f t="shared" si="122"/>
        <v>#REF!</v>
      </c>
      <c r="E7577" s="2" t="s">
        <v>79</v>
      </c>
    </row>
    <row r="7578" spans="1:5">
      <c r="A7578">
        <f t="shared" si="123"/>
        <v>7517</v>
      </c>
      <c r="B7578" s="138" t="e">
        <f>#REF!</f>
        <v>#REF!</v>
      </c>
      <c r="D7578" s="2" t="e">
        <f t="shared" si="122"/>
        <v>#REF!</v>
      </c>
      <c r="E7578" s="2" t="s">
        <v>79</v>
      </c>
    </row>
    <row r="7579" spans="1:5">
      <c r="A7579">
        <f t="shared" si="123"/>
        <v>7518</v>
      </c>
      <c r="B7579" s="138" t="e">
        <f>#REF!</f>
        <v>#REF!</v>
      </c>
      <c r="D7579" s="2" t="e">
        <f t="shared" si="122"/>
        <v>#REF!</v>
      </c>
      <c r="E7579" s="2" t="s">
        <v>79</v>
      </c>
    </row>
    <row r="7580" spans="1:5">
      <c r="A7580">
        <f t="shared" si="123"/>
        <v>7519</v>
      </c>
      <c r="B7580" s="138" t="e">
        <f>#REF!</f>
        <v>#REF!</v>
      </c>
      <c r="D7580" s="2" t="e">
        <f t="shared" si="122"/>
        <v>#REF!</v>
      </c>
      <c r="E7580" s="2" t="s">
        <v>79</v>
      </c>
    </row>
    <row r="7581" spans="1:5">
      <c r="A7581">
        <f t="shared" si="123"/>
        <v>7520</v>
      </c>
      <c r="B7581" s="138" t="e">
        <f>#REF!</f>
        <v>#REF!</v>
      </c>
      <c r="D7581" s="2" t="e">
        <f t="shared" si="122"/>
        <v>#REF!</v>
      </c>
      <c r="E7581" s="2" t="s">
        <v>79</v>
      </c>
    </row>
    <row r="7582" spans="1:5">
      <c r="A7582">
        <f t="shared" si="123"/>
        <v>7521</v>
      </c>
      <c r="B7582" s="138" t="e">
        <f>#REF!</f>
        <v>#REF!</v>
      </c>
      <c r="D7582" s="2" t="e">
        <f t="shared" si="122"/>
        <v>#REF!</v>
      </c>
      <c r="E7582" s="2" t="s">
        <v>79</v>
      </c>
    </row>
    <row r="7583" spans="1:5">
      <c r="A7583">
        <f t="shared" si="123"/>
        <v>7522</v>
      </c>
      <c r="B7583" s="138" t="e">
        <f>#REF!</f>
        <v>#REF!</v>
      </c>
      <c r="D7583" s="2" t="e">
        <f t="shared" si="122"/>
        <v>#REF!</v>
      </c>
      <c r="E7583" s="2" t="s">
        <v>79</v>
      </c>
    </row>
    <row r="7584" spans="1:5">
      <c r="A7584">
        <f t="shared" si="123"/>
        <v>7523</v>
      </c>
      <c r="B7584" s="138" t="e">
        <f>#REF!</f>
        <v>#REF!</v>
      </c>
      <c r="D7584" s="2" t="e">
        <f t="shared" si="122"/>
        <v>#REF!</v>
      </c>
      <c r="E7584" s="2" t="s">
        <v>79</v>
      </c>
    </row>
    <row r="7585" spans="1:5">
      <c r="A7585">
        <f t="shared" si="123"/>
        <v>7524</v>
      </c>
      <c r="B7585" s="138" t="e">
        <f>#REF!</f>
        <v>#REF!</v>
      </c>
      <c r="D7585" s="2" t="e">
        <f t="shared" si="122"/>
        <v>#REF!</v>
      </c>
      <c r="E7585" s="2" t="s">
        <v>79</v>
      </c>
    </row>
    <row r="7586" spans="1:5">
      <c r="A7586">
        <f t="shared" si="123"/>
        <v>7525</v>
      </c>
      <c r="B7586" s="138" t="e">
        <f>#REF!</f>
        <v>#REF!</v>
      </c>
      <c r="D7586" s="2" t="e">
        <f t="shared" si="122"/>
        <v>#REF!</v>
      </c>
      <c r="E7586" s="2" t="s">
        <v>79</v>
      </c>
    </row>
    <row r="7587" spans="1:5">
      <c r="A7587">
        <f t="shared" si="123"/>
        <v>7526</v>
      </c>
      <c r="B7587" s="138" t="e">
        <f>#REF!</f>
        <v>#REF!</v>
      </c>
      <c r="D7587" s="2" t="e">
        <f t="shared" si="122"/>
        <v>#REF!</v>
      </c>
      <c r="E7587" s="2" t="s">
        <v>79</v>
      </c>
    </row>
    <row r="7588" spans="1:5">
      <c r="A7588">
        <f t="shared" si="123"/>
        <v>7527</v>
      </c>
      <c r="B7588" s="138" t="e">
        <f>#REF!</f>
        <v>#REF!</v>
      </c>
      <c r="D7588" s="2" t="e">
        <f t="shared" si="122"/>
        <v>#REF!</v>
      </c>
      <c r="E7588" s="2" t="s">
        <v>79</v>
      </c>
    </row>
    <row r="7589" spans="1:5">
      <c r="A7589">
        <f t="shared" si="123"/>
        <v>7528</v>
      </c>
      <c r="B7589" s="138" t="e">
        <f>#REF!</f>
        <v>#REF!</v>
      </c>
      <c r="D7589" s="2" t="e">
        <f t="shared" si="122"/>
        <v>#REF!</v>
      </c>
      <c r="E7589" s="2" t="s">
        <v>79</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2810893</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2810893</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2810893</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2810893</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58024</v>
      </c>
      <c r="D7624" s="2" t="str">
        <f t="shared" si="124"/>
        <v>Error?</v>
      </c>
      <c r="E7624" s="2" t="s">
        <v>19</v>
      </c>
    </row>
    <row r="7625" spans="1:5">
      <c r="A7625">
        <f t="shared" si="123"/>
        <v>7564</v>
      </c>
      <c r="B7625" s="138">
        <f>'Cap Outlay Deprec 26'!I17</f>
        <v>5802.4</v>
      </c>
      <c r="D7625" s="2" t="str">
        <f t="shared" si="124"/>
        <v>Error?</v>
      </c>
      <c r="E7625" s="2" t="s">
        <v>19</v>
      </c>
    </row>
    <row r="7626" spans="1:5">
      <c r="A7626">
        <f t="shared" si="123"/>
        <v>7565</v>
      </c>
      <c r="D7626" s="2" t="str">
        <f t="shared" si="124"/>
        <v>OK</v>
      </c>
      <c r="E7626" s="4" t="s">
        <v>1334</v>
      </c>
    </row>
    <row r="7627" spans="1:5">
      <c r="A7627">
        <f t="shared" si="123"/>
        <v>7566</v>
      </c>
      <c r="D7627" s="2" t="str">
        <f t="shared" si="124"/>
        <v>OK</v>
      </c>
      <c r="E7627" s="4" t="s">
        <v>1334</v>
      </c>
    </row>
    <row r="7628" spans="1:5">
      <c r="A7628">
        <f t="shared" si="123"/>
        <v>7567</v>
      </c>
      <c r="D7628" s="2" t="str">
        <f t="shared" si="124"/>
        <v>OK</v>
      </c>
      <c r="E7628" s="2" t="s">
        <v>19</v>
      </c>
    </row>
    <row r="7629" spans="1:5">
      <c r="A7629">
        <f t="shared" si="123"/>
        <v>7568</v>
      </c>
      <c r="D7629" s="2" t="str">
        <f t="shared" si="124"/>
        <v>OK</v>
      </c>
      <c r="E7629" s="4" t="s">
        <v>1334</v>
      </c>
    </row>
    <row r="7630" spans="1:5">
      <c r="A7630">
        <f t="shared" ref="A7630:A7650" si="125">A7629+1</f>
        <v>7569</v>
      </c>
      <c r="D7630" s="2" t="str">
        <f t="shared" si="124"/>
        <v>OK</v>
      </c>
      <c r="E7630" s="4" t="s">
        <v>1334</v>
      </c>
    </row>
    <row r="7631" spans="1:5">
      <c r="A7631">
        <f t="shared" si="125"/>
        <v>7570</v>
      </c>
      <c r="B7631" s="138">
        <f>'Cap Outlay Deprec 26'!I18</f>
        <v>1365337.4</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1334</v>
      </c>
    </row>
    <row r="7634" spans="1:6">
      <c r="A7634">
        <f t="shared" si="125"/>
        <v>7573</v>
      </c>
      <c r="D7634" s="2" t="str">
        <f t="shared" si="124"/>
        <v>OK</v>
      </c>
      <c r="E7634" s="4" t="s">
        <v>1334</v>
      </c>
    </row>
    <row r="7635" spans="1:6">
      <c r="A7635">
        <f t="shared" si="125"/>
        <v>7574</v>
      </c>
      <c r="B7635" s="138" t="e">
        <f>#REF!</f>
        <v>#REF!</v>
      </c>
      <c r="D7635" s="2" t="e">
        <f t="shared" si="124"/>
        <v>#REF!</v>
      </c>
      <c r="E7635" s="2" t="s">
        <v>79</v>
      </c>
    </row>
    <row r="7636" spans="1:6">
      <c r="A7636">
        <f t="shared" si="125"/>
        <v>7575</v>
      </c>
      <c r="B7636" s="138">
        <f>'Revenues 9-14'!G106</f>
        <v>0</v>
      </c>
      <c r="D7636" s="2" t="str">
        <f t="shared" si="124"/>
        <v>Error?</v>
      </c>
      <c r="E7636" s="2" t="s">
        <v>80</v>
      </c>
    </row>
    <row r="7637" spans="1:6">
      <c r="A7637">
        <f t="shared" si="125"/>
        <v>7576</v>
      </c>
      <c r="B7637" s="138">
        <f>'Revenues 9-14'!H106</f>
        <v>0</v>
      </c>
      <c r="D7637" s="2" t="str">
        <f t="shared" si="124"/>
        <v>Error?</v>
      </c>
      <c r="E7637" s="2" t="s">
        <v>80</v>
      </c>
    </row>
    <row r="7638" spans="1:6">
      <c r="A7638">
        <f t="shared" si="125"/>
        <v>7577</v>
      </c>
      <c r="B7638" s="138">
        <f>'Revenues 9-14'!J106</f>
        <v>0</v>
      </c>
      <c r="D7638" s="2" t="str">
        <f t="shared" si="124"/>
        <v>Error?</v>
      </c>
      <c r="E7638" s="2" t="s">
        <v>80</v>
      </c>
    </row>
    <row r="7639" spans="1:6">
      <c r="A7639">
        <f t="shared" si="125"/>
        <v>7578</v>
      </c>
      <c r="B7639" s="138">
        <f>'Revenues 9-14'!K106</f>
        <v>0</v>
      </c>
      <c r="D7639" s="2" t="str">
        <f t="shared" si="124"/>
        <v>Error?</v>
      </c>
      <c r="E7639" s="2" t="s">
        <v>80</v>
      </c>
      <c r="F7639" s="2"/>
    </row>
    <row r="7640" spans="1:6">
      <c r="A7640">
        <f t="shared" si="125"/>
        <v>7579</v>
      </c>
      <c r="B7640" s="138" t="e">
        <f>#REF!</f>
        <v>#REF!</v>
      </c>
      <c r="D7640" s="2" t="e">
        <f t="shared" si="124"/>
        <v>#REF!</v>
      </c>
      <c r="E7640" s="2" t="s">
        <v>79</v>
      </c>
    </row>
    <row r="7641" spans="1:6">
      <c r="A7641">
        <f t="shared" si="125"/>
        <v>7580</v>
      </c>
      <c r="B7641" s="138" t="e">
        <f>#REF!</f>
        <v>#REF!</v>
      </c>
      <c r="D7641" s="2" t="e">
        <f t="shared" si="124"/>
        <v>#REF!</v>
      </c>
      <c r="E7641" s="2" t="s">
        <v>79</v>
      </c>
    </row>
    <row r="7642" spans="1:6">
      <c r="A7642">
        <f t="shared" si="125"/>
        <v>7581</v>
      </c>
      <c r="B7642" s="138" t="e">
        <f>#REF!</f>
        <v>#REF!</v>
      </c>
      <c r="D7642" s="2" t="e">
        <f t="shared" si="124"/>
        <v>#REF!</v>
      </c>
      <c r="E7642" s="2" t="s">
        <v>79</v>
      </c>
    </row>
    <row r="7643" spans="1:6">
      <c r="A7643">
        <f t="shared" si="125"/>
        <v>7582</v>
      </c>
      <c r="B7643" s="138" t="e">
        <f>#REF!</f>
        <v>#REF!</v>
      </c>
      <c r="D7643" s="2" t="e">
        <f t="shared" si="124"/>
        <v>#REF!</v>
      </c>
      <c r="E7643" s="2" t="s">
        <v>79</v>
      </c>
    </row>
    <row r="7644" spans="1:6">
      <c r="A7644">
        <f t="shared" si="125"/>
        <v>7583</v>
      </c>
      <c r="B7644" s="138" t="e">
        <f>#REF!</f>
        <v>#REF!</v>
      </c>
      <c r="D7644" s="2" t="e">
        <f t="shared" si="124"/>
        <v>#REF!</v>
      </c>
      <c r="E7644" s="2" t="s">
        <v>79</v>
      </c>
    </row>
    <row r="7645" spans="1:6">
      <c r="A7645">
        <f t="shared" si="125"/>
        <v>7584</v>
      </c>
      <c r="B7645" s="138" t="e">
        <f>#REF!</f>
        <v>#REF!</v>
      </c>
      <c r="D7645" s="2" t="e">
        <f t="shared" si="124"/>
        <v>#REF!</v>
      </c>
      <c r="E7645" s="2" t="s">
        <v>79</v>
      </c>
    </row>
    <row r="7646" spans="1:6">
      <c r="A7646">
        <f t="shared" si="125"/>
        <v>7585</v>
      </c>
      <c r="B7646" s="138" t="e">
        <f>#REF!</f>
        <v>#REF!</v>
      </c>
      <c r="D7646" s="2" t="e">
        <f t="shared" si="124"/>
        <v>#REF!</v>
      </c>
      <c r="E7646" s="2" t="s">
        <v>79</v>
      </c>
    </row>
    <row r="7647" spans="1:6">
      <c r="A7647">
        <f t="shared" si="125"/>
        <v>7586</v>
      </c>
      <c r="B7647" s="138" t="e">
        <f>#REF!</f>
        <v>#REF!</v>
      </c>
      <c r="D7647" s="2" t="e">
        <f t="shared" si="124"/>
        <v>#REF!</v>
      </c>
      <c r="E7647" s="2" t="s">
        <v>79</v>
      </c>
    </row>
    <row r="7648" spans="1:6">
      <c r="A7648">
        <f t="shared" si="125"/>
        <v>7587</v>
      </c>
      <c r="B7648" s="138" t="e">
        <f>#REF!</f>
        <v>#REF!</v>
      </c>
      <c r="D7648" s="2" t="e">
        <f t="shared" si="124"/>
        <v>#REF!</v>
      </c>
      <c r="E7648" s="2" t="s">
        <v>79</v>
      </c>
    </row>
    <row r="7649" spans="1:5">
      <c r="A7649">
        <f t="shared" si="125"/>
        <v>7588</v>
      </c>
      <c r="B7649" s="138" t="e">
        <f>#REF!</f>
        <v>#REF!</v>
      </c>
      <c r="D7649" s="2" t="e">
        <f t="shared" si="124"/>
        <v>#REF!</v>
      </c>
      <c r="E7649" s="2" t="s">
        <v>79</v>
      </c>
    </row>
    <row r="7650" spans="1:5">
      <c r="A7650">
        <f t="shared" si="125"/>
        <v>7589</v>
      </c>
      <c r="B7650" s="138" t="e">
        <f>#REF!</f>
        <v>#REF!</v>
      </c>
      <c r="D7650" s="2" t="e">
        <f t="shared" si="124"/>
        <v>#REF!</v>
      </c>
      <c r="E7650" s="2" t="s">
        <v>79</v>
      </c>
    </row>
    <row r="7651" spans="1:5">
      <c r="A7651">
        <v>7590</v>
      </c>
      <c r="B7651" s="138">
        <f>'Acct Summary 7-8'!C55</f>
        <v>0</v>
      </c>
      <c r="D7651" s="2" t="str">
        <f t="shared" si="124"/>
        <v>Error?</v>
      </c>
      <c r="E7651" s="2" t="s">
        <v>827</v>
      </c>
    </row>
    <row r="7652" spans="1:5">
      <c r="A7652">
        <v>7591</v>
      </c>
      <c r="B7652" s="138">
        <f>'Acct Summary 7-8'!D55</f>
        <v>0</v>
      </c>
      <c r="D7652" s="2" t="str">
        <f t="shared" si="124"/>
        <v>Error?</v>
      </c>
      <c r="E7652" s="2" t="s">
        <v>827</v>
      </c>
    </row>
    <row r="7653" spans="1:5">
      <c r="A7653">
        <v>7592</v>
      </c>
      <c r="B7653" s="138">
        <f>'Acct Summary 7-8'!H55</f>
        <v>0</v>
      </c>
      <c r="D7653" s="2" t="str">
        <f t="shared" si="124"/>
        <v>Error?</v>
      </c>
      <c r="E7653" s="2" t="s">
        <v>827</v>
      </c>
    </row>
    <row r="7654" spans="1:5">
      <c r="A7654">
        <v>7593</v>
      </c>
      <c r="B7654" s="138">
        <f>'Acct Summary 7-8'!C56</f>
        <v>0</v>
      </c>
      <c r="D7654" s="2" t="str">
        <f t="shared" si="124"/>
        <v>Error?</v>
      </c>
      <c r="E7654" s="2" t="s">
        <v>827</v>
      </c>
    </row>
    <row r="7655" spans="1:5">
      <c r="A7655">
        <v>7594</v>
      </c>
      <c r="B7655" s="138">
        <f>'Acct Summary 7-8'!D56</f>
        <v>0</v>
      </c>
      <c r="D7655" s="2" t="str">
        <f t="shared" si="124"/>
        <v>Error?</v>
      </c>
      <c r="E7655" s="2" t="s">
        <v>827</v>
      </c>
    </row>
    <row r="7656" spans="1:5">
      <c r="A7656">
        <v>7595</v>
      </c>
      <c r="B7656" s="138">
        <f>'Acct Summary 7-8'!H56</f>
        <v>0</v>
      </c>
      <c r="D7656" s="2" t="str">
        <f t="shared" si="124"/>
        <v>Error?</v>
      </c>
      <c r="E7656" s="2" t="s">
        <v>827</v>
      </c>
    </row>
    <row r="7657" spans="1:5">
      <c r="A7657">
        <v>7596</v>
      </c>
      <c r="B7657" s="138">
        <f>'Acct Summary 7-8'!C57</f>
        <v>0</v>
      </c>
      <c r="D7657" s="2" t="str">
        <f t="shared" si="124"/>
        <v>Error?</v>
      </c>
      <c r="E7657" s="2" t="s">
        <v>827</v>
      </c>
    </row>
    <row r="7658" spans="1:5">
      <c r="A7658">
        <v>7597</v>
      </c>
      <c r="B7658" s="138">
        <f>'Acct Summary 7-8'!D57</f>
        <v>0</v>
      </c>
      <c r="D7658" s="2" t="str">
        <f t="shared" si="124"/>
        <v>Error?</v>
      </c>
      <c r="E7658" s="2" t="s">
        <v>827</v>
      </c>
    </row>
    <row r="7659" spans="1:5">
      <c r="A7659">
        <v>7598</v>
      </c>
      <c r="B7659" s="138">
        <f>'Acct Summary 7-8'!H57</f>
        <v>0</v>
      </c>
      <c r="D7659" s="2" t="str">
        <f t="shared" si="124"/>
        <v>Error?</v>
      </c>
      <c r="E7659" s="2" t="s">
        <v>827</v>
      </c>
    </row>
    <row r="7660" spans="1:5">
      <c r="A7660">
        <v>7599</v>
      </c>
      <c r="B7660" s="138">
        <f>'Acct Summary 7-8'!C59</f>
        <v>0</v>
      </c>
      <c r="D7660" s="2" t="str">
        <f t="shared" si="124"/>
        <v>Error?</v>
      </c>
      <c r="E7660" s="2" t="s">
        <v>827</v>
      </c>
    </row>
    <row r="7661" spans="1:5">
      <c r="A7661">
        <v>7600</v>
      </c>
      <c r="B7661" s="138">
        <f>'Acct Summary 7-8'!D59</f>
        <v>0</v>
      </c>
      <c r="D7661" s="2" t="str">
        <f t="shared" si="124"/>
        <v>Error?</v>
      </c>
      <c r="E7661" s="2" t="s">
        <v>827</v>
      </c>
    </row>
    <row r="7662" spans="1:5">
      <c r="A7662">
        <v>7601</v>
      </c>
      <c r="B7662" s="138">
        <f>'Acct Summary 7-8'!H59</f>
        <v>0</v>
      </c>
      <c r="D7662" s="2" t="str">
        <f t="shared" si="124"/>
        <v>Error?</v>
      </c>
      <c r="E7662" s="2" t="s">
        <v>827</v>
      </c>
    </row>
    <row r="7663" spans="1:5">
      <c r="A7663">
        <v>7602</v>
      </c>
      <c r="B7663" s="138">
        <f>'Acct Summary 7-8'!C60</f>
        <v>0</v>
      </c>
      <c r="D7663" s="2" t="str">
        <f t="shared" si="124"/>
        <v>Error?</v>
      </c>
      <c r="E7663" s="2" t="s">
        <v>827</v>
      </c>
    </row>
    <row r="7664" spans="1:5">
      <c r="A7664">
        <v>7603</v>
      </c>
      <c r="B7664" s="138">
        <f>'Acct Summary 7-8'!D60</f>
        <v>0</v>
      </c>
      <c r="D7664" s="2" t="str">
        <f t="shared" si="124"/>
        <v>Error?</v>
      </c>
      <c r="E7664" s="2" t="s">
        <v>827</v>
      </c>
    </row>
    <row r="7665" spans="1:5">
      <c r="A7665">
        <v>7604</v>
      </c>
      <c r="B7665" s="138">
        <f>'Acct Summary 7-8'!H60</f>
        <v>0</v>
      </c>
      <c r="D7665" s="2" t="str">
        <f t="shared" si="124"/>
        <v>Error?</v>
      </c>
      <c r="E7665" s="2" t="s">
        <v>827</v>
      </c>
    </row>
    <row r="7666" spans="1:5">
      <c r="A7666">
        <v>7605</v>
      </c>
      <c r="B7666" s="138">
        <f>'Acct Summary 7-8'!C61</f>
        <v>0</v>
      </c>
      <c r="D7666" s="2" t="str">
        <f t="shared" si="124"/>
        <v>Error?</v>
      </c>
      <c r="E7666" s="2" t="s">
        <v>827</v>
      </c>
    </row>
    <row r="7667" spans="1:5">
      <c r="A7667">
        <v>7606</v>
      </c>
      <c r="B7667" s="138">
        <f>'Acct Summary 7-8'!D61</f>
        <v>0</v>
      </c>
      <c r="D7667" s="2" t="str">
        <f t="shared" si="124"/>
        <v>Error?</v>
      </c>
      <c r="E7667" s="2" t="s">
        <v>827</v>
      </c>
    </row>
    <row r="7668" spans="1:5">
      <c r="A7668">
        <v>7607</v>
      </c>
      <c r="B7668" s="138">
        <f>'Acct Summary 7-8'!H61</f>
        <v>0</v>
      </c>
      <c r="D7668" s="2" t="str">
        <f t="shared" si="124"/>
        <v>Error?</v>
      </c>
      <c r="E7668" s="2" t="s">
        <v>827</v>
      </c>
    </row>
    <row r="7669" spans="1:5">
      <c r="A7669">
        <v>7608</v>
      </c>
      <c r="B7669" s="138">
        <f>'Acct Summary 7-8'!C63</f>
        <v>0</v>
      </c>
      <c r="D7669" s="2" t="str">
        <f t="shared" si="124"/>
        <v>Error?</v>
      </c>
      <c r="E7669" s="2" t="s">
        <v>827</v>
      </c>
    </row>
    <row r="7670" spans="1:5">
      <c r="A7670">
        <v>7609</v>
      </c>
      <c r="B7670" s="138">
        <f>'Acct Summary 7-8'!D63</f>
        <v>0</v>
      </c>
      <c r="D7670" s="2" t="str">
        <f t="shared" si="124"/>
        <v>Error?</v>
      </c>
      <c r="E7670" s="2" t="s">
        <v>827</v>
      </c>
    </row>
    <row r="7671" spans="1:5">
      <c r="A7671">
        <v>7610</v>
      </c>
      <c r="B7671" s="138">
        <f>'Acct Summary 7-8'!C64</f>
        <v>0</v>
      </c>
      <c r="D7671" s="2" t="str">
        <f t="shared" si="124"/>
        <v>Error?</v>
      </c>
      <c r="E7671" s="2" t="s">
        <v>827</v>
      </c>
    </row>
    <row r="7672" spans="1:5">
      <c r="A7672">
        <v>7611</v>
      </c>
      <c r="B7672" s="138">
        <f>'Acct Summary 7-8'!D64</f>
        <v>0</v>
      </c>
      <c r="D7672" s="2" t="str">
        <f t="shared" si="124"/>
        <v>Error?</v>
      </c>
      <c r="E7672" s="2" t="s">
        <v>827</v>
      </c>
    </row>
    <row r="7673" spans="1:5">
      <c r="A7673">
        <v>7612</v>
      </c>
      <c r="B7673" s="138">
        <f>'Acct Summary 7-8'!C65</f>
        <v>0</v>
      </c>
      <c r="D7673" s="2" t="str">
        <f t="shared" si="124"/>
        <v>Error?</v>
      </c>
      <c r="E7673" s="2" t="s">
        <v>827</v>
      </c>
    </row>
    <row r="7674" spans="1:5">
      <c r="A7674">
        <v>7613</v>
      </c>
      <c r="B7674" s="138">
        <f>'Acct Summary 7-8'!D65</f>
        <v>0</v>
      </c>
      <c r="D7674" s="2" t="str">
        <f t="shared" si="124"/>
        <v>Error?</v>
      </c>
      <c r="E7674" s="2" t="s">
        <v>827</v>
      </c>
    </row>
    <row r="7675" spans="1:5">
      <c r="A7675">
        <v>7614</v>
      </c>
      <c r="B7675" s="138">
        <f>'Acct Summary 7-8'!C67</f>
        <v>0</v>
      </c>
      <c r="D7675" s="2" t="str">
        <f t="shared" si="124"/>
        <v>Error?</v>
      </c>
      <c r="E7675" s="2" t="s">
        <v>827</v>
      </c>
    </row>
    <row r="7676" spans="1:5">
      <c r="A7676">
        <v>7615</v>
      </c>
      <c r="B7676" s="138">
        <f>'Acct Summary 7-8'!D67</f>
        <v>0</v>
      </c>
      <c r="D7676" s="2" t="str">
        <f t="shared" si="124"/>
        <v>Error?</v>
      </c>
      <c r="E7676" s="2" t="s">
        <v>827</v>
      </c>
    </row>
    <row r="7677" spans="1:5">
      <c r="A7677">
        <v>7616</v>
      </c>
      <c r="B7677" s="138">
        <f>'Acct Summary 7-8'!C68</f>
        <v>0</v>
      </c>
      <c r="D7677" s="2" t="str">
        <f t="shared" si="124"/>
        <v>Error?</v>
      </c>
      <c r="E7677" s="2" t="s">
        <v>827</v>
      </c>
    </row>
    <row r="7678" spans="1:5">
      <c r="A7678">
        <v>7617</v>
      </c>
      <c r="B7678" s="138">
        <f>'Acct Summary 7-8'!D68</f>
        <v>0</v>
      </c>
      <c r="D7678" s="2" t="str">
        <f t="shared" si="124"/>
        <v>Error?</v>
      </c>
      <c r="E7678" s="2" t="s">
        <v>827</v>
      </c>
    </row>
    <row r="7679" spans="1:5">
      <c r="A7679">
        <v>7618</v>
      </c>
      <c r="B7679" s="138">
        <f>'Acct Summary 7-8'!C69</f>
        <v>0</v>
      </c>
      <c r="D7679" s="2" t="str">
        <f t="shared" ref="D7679:D7742" si="126">IF(ISBLANK(B7679),"OK",IF(A7679-B7679=0,"OK","Error?"))</f>
        <v>Error?</v>
      </c>
      <c r="E7679" s="2" t="s">
        <v>827</v>
      </c>
    </row>
    <row r="7680" spans="1:5">
      <c r="A7680">
        <v>7619</v>
      </c>
      <c r="B7680" s="138">
        <f>'Acct Summary 7-8'!D69</f>
        <v>0</v>
      </c>
      <c r="D7680" s="2" t="str">
        <f t="shared" si="126"/>
        <v>Error?</v>
      </c>
      <c r="E7680" s="2" t="s">
        <v>827</v>
      </c>
    </row>
    <row r="7681" spans="1:5">
      <c r="A7681">
        <v>7620</v>
      </c>
      <c r="B7681" s="138">
        <f>'Acct Summary 7-8'!C71</f>
        <v>0</v>
      </c>
      <c r="D7681" s="2" t="str">
        <f t="shared" si="126"/>
        <v>Error?</v>
      </c>
      <c r="E7681" s="2" t="s">
        <v>827</v>
      </c>
    </row>
    <row r="7682" spans="1:5">
      <c r="A7682">
        <v>7621</v>
      </c>
      <c r="B7682" s="138">
        <f>'Acct Summary 7-8'!D71</f>
        <v>0</v>
      </c>
      <c r="D7682" s="2" t="str">
        <f t="shared" si="126"/>
        <v>Error?</v>
      </c>
      <c r="E7682" s="2" t="s">
        <v>827</v>
      </c>
    </row>
    <row r="7683" spans="1:5">
      <c r="A7683">
        <v>7622</v>
      </c>
      <c r="B7683" s="138">
        <f>'Acct Summary 7-8'!C72</f>
        <v>0</v>
      </c>
      <c r="D7683" s="2" t="str">
        <f t="shared" si="126"/>
        <v>Error?</v>
      </c>
      <c r="E7683" s="2" t="s">
        <v>827</v>
      </c>
    </row>
    <row r="7684" spans="1:5">
      <c r="A7684">
        <v>7623</v>
      </c>
      <c r="B7684" s="138">
        <f>'Acct Summary 7-8'!D72</f>
        <v>0</v>
      </c>
      <c r="D7684" s="2" t="str">
        <f t="shared" si="126"/>
        <v>Error?</v>
      </c>
      <c r="E7684" s="2" t="s">
        <v>827</v>
      </c>
    </row>
    <row r="7685" spans="1:5">
      <c r="A7685">
        <v>7624</v>
      </c>
      <c r="B7685" s="138">
        <f>'Acct Summary 7-8'!C73</f>
        <v>0</v>
      </c>
      <c r="D7685" s="2" t="str">
        <f t="shared" si="126"/>
        <v>Error?</v>
      </c>
      <c r="E7685" s="2" t="s">
        <v>827</v>
      </c>
    </row>
    <row r="7686" spans="1:5">
      <c r="A7686">
        <v>7625</v>
      </c>
      <c r="B7686" s="138">
        <f>'Acct Summary 7-8'!D73</f>
        <v>0</v>
      </c>
      <c r="D7686" s="2" t="str">
        <f t="shared" si="126"/>
        <v>Error?</v>
      </c>
      <c r="E7686" s="2" t="s">
        <v>827</v>
      </c>
    </row>
    <row r="7687" spans="1:5">
      <c r="A7687">
        <v>7626</v>
      </c>
      <c r="B7687" s="138">
        <f>'Revenues 9-14'!C196</f>
        <v>18915</v>
      </c>
      <c r="D7687" s="2" t="str">
        <f t="shared" si="126"/>
        <v>Error?</v>
      </c>
      <c r="E7687" s="2" t="s">
        <v>827</v>
      </c>
    </row>
    <row r="7688" spans="1:5">
      <c r="A7688">
        <v>7627</v>
      </c>
      <c r="B7688" s="138">
        <f>'Expenditures 15-22'!C328</f>
        <v>0</v>
      </c>
      <c r="D7688" s="2" t="str">
        <f t="shared" si="126"/>
        <v>Error?</v>
      </c>
      <c r="E7688" s="2" t="s">
        <v>827</v>
      </c>
    </row>
    <row r="7689" spans="1:5">
      <c r="A7689">
        <v>7628</v>
      </c>
      <c r="B7689" s="138">
        <f>'Expenditures 15-22'!D328</f>
        <v>0</v>
      </c>
      <c r="D7689" s="2" t="str">
        <f t="shared" si="126"/>
        <v>Error?</v>
      </c>
      <c r="E7689" s="2" t="s">
        <v>827</v>
      </c>
    </row>
    <row r="7690" spans="1:5">
      <c r="A7690">
        <v>7629</v>
      </c>
      <c r="B7690" s="138">
        <f>'Expenditures 15-22'!E328</f>
        <v>0</v>
      </c>
      <c r="D7690" s="2" t="str">
        <f t="shared" si="126"/>
        <v>Error?</v>
      </c>
      <c r="E7690" s="2" t="s">
        <v>827</v>
      </c>
    </row>
    <row r="7691" spans="1:5">
      <c r="A7691">
        <v>7630</v>
      </c>
      <c r="B7691" s="138">
        <f>'Expenditures 15-22'!F328</f>
        <v>0</v>
      </c>
      <c r="D7691" s="2" t="str">
        <f t="shared" si="126"/>
        <v>Error?</v>
      </c>
      <c r="E7691" s="2" t="s">
        <v>827</v>
      </c>
    </row>
    <row r="7692" spans="1:5">
      <c r="A7692">
        <v>7631</v>
      </c>
      <c r="B7692" s="138">
        <f>'Expenditures 15-22'!G328</f>
        <v>0</v>
      </c>
      <c r="D7692" s="2" t="str">
        <f t="shared" si="126"/>
        <v>Error?</v>
      </c>
      <c r="E7692" s="2" t="s">
        <v>827</v>
      </c>
    </row>
    <row r="7693" spans="1:5">
      <c r="A7693">
        <v>7632</v>
      </c>
      <c r="B7693" s="138">
        <f>'Expenditures 15-22'!H328</f>
        <v>0</v>
      </c>
      <c r="D7693" s="2" t="str">
        <f t="shared" si="126"/>
        <v>Error?</v>
      </c>
      <c r="E7693" s="2" t="s">
        <v>827</v>
      </c>
    </row>
    <row r="7694" spans="1:5">
      <c r="A7694">
        <v>7633</v>
      </c>
      <c r="B7694" s="138">
        <f>'Expenditures 15-22'!I328</f>
        <v>0</v>
      </c>
      <c r="D7694" s="2" t="str">
        <f t="shared" si="126"/>
        <v>Error?</v>
      </c>
      <c r="E7694" s="2" t="s">
        <v>827</v>
      </c>
    </row>
    <row r="7695" spans="1:5">
      <c r="A7695">
        <v>7634</v>
      </c>
      <c r="B7695" s="138">
        <f>'Expenditures 15-22'!J328</f>
        <v>0</v>
      </c>
      <c r="D7695" s="2" t="str">
        <f t="shared" si="126"/>
        <v>Error?</v>
      </c>
      <c r="E7695" s="2" t="s">
        <v>827</v>
      </c>
    </row>
    <row r="7696" spans="1:5">
      <c r="A7696">
        <v>7635</v>
      </c>
      <c r="B7696" s="138">
        <f>'Expenditures 15-22'!K328</f>
        <v>0</v>
      </c>
      <c r="D7696" s="2" t="str">
        <f t="shared" si="126"/>
        <v>Error?</v>
      </c>
      <c r="E7696" s="2" t="s">
        <v>827</v>
      </c>
    </row>
    <row r="7697" spans="1:5">
      <c r="A7697">
        <v>7636</v>
      </c>
      <c r="B7697" s="138">
        <f>'Expenditures 15-22'!C329</f>
        <v>0</v>
      </c>
      <c r="D7697" s="2" t="str">
        <f t="shared" si="126"/>
        <v>Error?</v>
      </c>
      <c r="E7697" s="2" t="s">
        <v>827</v>
      </c>
    </row>
    <row r="7698" spans="1:5">
      <c r="A7698">
        <v>7637</v>
      </c>
      <c r="B7698" s="138">
        <f>'Expenditures 15-22'!D329</f>
        <v>0</v>
      </c>
      <c r="D7698" s="2" t="str">
        <f t="shared" si="126"/>
        <v>Error?</v>
      </c>
      <c r="E7698" s="2" t="s">
        <v>827</v>
      </c>
    </row>
    <row r="7699" spans="1:5">
      <c r="A7699">
        <v>7638</v>
      </c>
      <c r="B7699" s="138">
        <f>'Expenditures 15-22'!E329</f>
        <v>0</v>
      </c>
      <c r="D7699" s="2" t="str">
        <f t="shared" si="126"/>
        <v>Error?</v>
      </c>
      <c r="E7699" s="2" t="s">
        <v>827</v>
      </c>
    </row>
    <row r="7700" spans="1:5">
      <c r="A7700">
        <v>7639</v>
      </c>
      <c r="B7700" s="138">
        <f>'Expenditures 15-22'!F329</f>
        <v>0</v>
      </c>
      <c r="D7700" s="2" t="str">
        <f t="shared" si="126"/>
        <v>Error?</v>
      </c>
      <c r="E7700" s="2" t="s">
        <v>827</v>
      </c>
    </row>
    <row r="7701" spans="1:5">
      <c r="A7701">
        <v>7640</v>
      </c>
      <c r="B7701" s="138">
        <f>'Expenditures 15-22'!G329</f>
        <v>0</v>
      </c>
      <c r="D7701" s="2" t="str">
        <f t="shared" si="126"/>
        <v>Error?</v>
      </c>
      <c r="E7701" s="2" t="s">
        <v>827</v>
      </c>
    </row>
    <row r="7702" spans="1:5">
      <c r="A7702">
        <v>7641</v>
      </c>
      <c r="B7702" s="138">
        <f>'Expenditures 15-22'!H329</f>
        <v>0</v>
      </c>
      <c r="D7702" s="2" t="str">
        <f t="shared" si="126"/>
        <v>Error?</v>
      </c>
      <c r="E7702" s="2" t="s">
        <v>827</v>
      </c>
    </row>
    <row r="7703" spans="1:5">
      <c r="A7703">
        <v>7642</v>
      </c>
      <c r="B7703" s="138">
        <f>'Expenditures 15-22'!I329</f>
        <v>0</v>
      </c>
      <c r="D7703" s="2" t="str">
        <f t="shared" si="126"/>
        <v>Error?</v>
      </c>
      <c r="E7703" s="2" t="s">
        <v>827</v>
      </c>
    </row>
    <row r="7704" spans="1:5">
      <c r="A7704">
        <v>7643</v>
      </c>
      <c r="B7704" s="138">
        <f>'Expenditures 15-22'!J329</f>
        <v>0</v>
      </c>
      <c r="D7704" s="2" t="str">
        <f t="shared" si="126"/>
        <v>Error?</v>
      </c>
      <c r="E7704" s="2" t="s">
        <v>827</v>
      </c>
    </row>
    <row r="7705" spans="1:5">
      <c r="A7705">
        <v>7644</v>
      </c>
      <c r="B7705" s="138">
        <f>'Expenditures 15-22'!K329</f>
        <v>0</v>
      </c>
      <c r="D7705" s="2" t="str">
        <f t="shared" si="126"/>
        <v>Error?</v>
      </c>
      <c r="E7705" s="2" t="s">
        <v>827</v>
      </c>
    </row>
    <row r="7706" spans="1:5">
      <c r="A7706">
        <v>7645</v>
      </c>
      <c r="B7706" s="138">
        <f>'Revenues 9-14'!H167</f>
        <v>0</v>
      </c>
      <c r="D7706" s="2" t="str">
        <f t="shared" si="126"/>
        <v>Error?</v>
      </c>
      <c r="E7706" s="2" t="s">
        <v>827</v>
      </c>
    </row>
    <row r="7707" spans="1:5">
      <c r="A7707">
        <v>7646</v>
      </c>
      <c r="B7707" s="138">
        <f>'Expenditures 15-22'!I64</f>
        <v>0</v>
      </c>
      <c r="D7707" s="2" t="str">
        <f t="shared" si="126"/>
        <v>Error?</v>
      </c>
      <c r="E7707" s="2" t="s">
        <v>827</v>
      </c>
    </row>
    <row r="7708" spans="1:5">
      <c r="A7708">
        <v>7647</v>
      </c>
      <c r="B7708" s="138">
        <f>'Rest Tax Levies-Tort Im 25'!J3</f>
        <v>1071308</v>
      </c>
      <c r="D7708" s="2" t="str">
        <f t="shared" si="126"/>
        <v>Error?</v>
      </c>
      <c r="E7708" s="2" t="s">
        <v>827</v>
      </c>
    </row>
    <row r="7709" spans="1:5">
      <c r="A7709">
        <v>7648</v>
      </c>
      <c r="B7709" s="138">
        <f>'Rest Tax Levies-Tort Im 25'!K3</f>
        <v>0</v>
      </c>
      <c r="D7709" s="2" t="str">
        <f t="shared" si="126"/>
        <v>Error?</v>
      </c>
      <c r="E7709" s="2" t="s">
        <v>827</v>
      </c>
    </row>
    <row r="7710" spans="1:5">
      <c r="A7710">
        <v>7649</v>
      </c>
      <c r="B7710" s="138">
        <f>'Rest Tax Levies-Tort Im 25'!J6</f>
        <v>0</v>
      </c>
      <c r="D7710" s="2" t="str">
        <f t="shared" si="126"/>
        <v>Error?</v>
      </c>
      <c r="E7710" s="2" t="s">
        <v>827</v>
      </c>
    </row>
    <row r="7711" spans="1:5">
      <c r="A7711">
        <v>7650</v>
      </c>
      <c r="B7711" s="138">
        <f>'Rest Tax Levies-Tort Im 25'!K6</f>
        <v>0</v>
      </c>
      <c r="D7711" s="2" t="str">
        <f t="shared" si="126"/>
        <v>Error?</v>
      </c>
      <c r="E7711" s="2" t="s">
        <v>827</v>
      </c>
    </row>
    <row r="7712" spans="1:5">
      <c r="A7712">
        <v>7651</v>
      </c>
      <c r="B7712" s="138">
        <f>'Rest Tax Levies-Tort Im 25'!K7</f>
        <v>0</v>
      </c>
      <c r="D7712" s="2" t="str">
        <f t="shared" si="126"/>
        <v>Error?</v>
      </c>
      <c r="E7712" s="2" t="s">
        <v>827</v>
      </c>
    </row>
    <row r="7713" spans="1:6">
      <c r="A7713">
        <v>7652</v>
      </c>
      <c r="B7713" s="138">
        <f>'Rest Tax Levies-Tort Im 25'!J8</f>
        <v>1443755</v>
      </c>
      <c r="D7713" s="2" t="str">
        <f t="shared" si="126"/>
        <v>Error?</v>
      </c>
      <c r="E7713" s="2" t="s">
        <v>827</v>
      </c>
    </row>
    <row r="7714" spans="1:6">
      <c r="A7714">
        <v>7653</v>
      </c>
      <c r="B7714" s="138">
        <f>'Rest Tax Levies-Tort Im 25'!K9</f>
        <v>0</v>
      </c>
      <c r="D7714" s="2" t="str">
        <f t="shared" si="126"/>
        <v>Error?</v>
      </c>
      <c r="E7714" s="2" t="s">
        <v>827</v>
      </c>
    </row>
    <row r="7715" spans="1:6">
      <c r="A7715">
        <v>7654</v>
      </c>
      <c r="B7715" s="138">
        <f>'Rest Tax Levies-Tort Im 25'!J10</f>
        <v>0</v>
      </c>
      <c r="D7715" s="2" t="str">
        <f t="shared" si="126"/>
        <v>Error?</v>
      </c>
      <c r="E7715" s="2" t="s">
        <v>827</v>
      </c>
    </row>
    <row r="7716" spans="1:6">
      <c r="A7716">
        <v>7655</v>
      </c>
      <c r="B7716" s="138">
        <f>'Rest Tax Levies-Tort Im 25'!K10</f>
        <v>0</v>
      </c>
      <c r="D7716" s="2" t="str">
        <f t="shared" si="126"/>
        <v>Error?</v>
      </c>
      <c r="E7716" s="2" t="s">
        <v>827</v>
      </c>
    </row>
    <row r="7717" spans="1:6">
      <c r="A7717">
        <v>7656</v>
      </c>
      <c r="B7717" s="138">
        <f>'Rest Tax Levies-Tort Im 25'!J11</f>
        <v>0</v>
      </c>
      <c r="D7717" s="2" t="str">
        <f t="shared" si="126"/>
        <v>Error?</v>
      </c>
      <c r="E7717" s="2" t="s">
        <v>827</v>
      </c>
    </row>
    <row r="7718" spans="1:6">
      <c r="A7718">
        <v>7657</v>
      </c>
      <c r="B7718" s="138">
        <f>'Rest Tax Levies-Tort Im 25'!J12</f>
        <v>1443755</v>
      </c>
      <c r="D7718" s="2" t="str">
        <f t="shared" si="126"/>
        <v>Error?</v>
      </c>
      <c r="E7718" s="2" t="s">
        <v>827</v>
      </c>
    </row>
    <row r="7719" spans="1:6">
      <c r="A7719">
        <v>7658</v>
      </c>
      <c r="B7719" s="138">
        <f>'Rest Tax Levies-Tort Im 25'!K12</f>
        <v>0</v>
      </c>
      <c r="D7719" s="2" t="str">
        <f t="shared" si="126"/>
        <v>Error?</v>
      </c>
      <c r="E7719" s="2" t="s">
        <v>827</v>
      </c>
    </row>
    <row r="7720" spans="1:6">
      <c r="A7720">
        <v>7659</v>
      </c>
      <c r="B7720" s="138">
        <f>'Rest Tax Levies-Tort Im 25'!H14</f>
        <v>0</v>
      </c>
      <c r="D7720" s="2" t="str">
        <f t="shared" si="126"/>
        <v>Error?</v>
      </c>
      <c r="E7720" s="2" t="s">
        <v>827</v>
      </c>
    </row>
    <row r="7721" spans="1:6">
      <c r="A7721">
        <v>7660</v>
      </c>
      <c r="B7721" s="138">
        <f>'Rest Tax Levies-Tort Im 25'!K14</f>
        <v>0</v>
      </c>
      <c r="D7721" s="2" t="str">
        <f t="shared" si="126"/>
        <v>Error?</v>
      </c>
      <c r="E7721" s="2" t="s">
        <v>827</v>
      </c>
    </row>
    <row r="7722" spans="1:6">
      <c r="A7722">
        <v>7661</v>
      </c>
      <c r="B7722" s="138">
        <f>'Rest Tax Levies-Tort Im 25'!J15</f>
        <v>21182</v>
      </c>
      <c r="D7722" s="2" t="str">
        <f t="shared" si="126"/>
        <v>Error?</v>
      </c>
      <c r="E7722" s="2" t="s">
        <v>827</v>
      </c>
    </row>
    <row r="7723" spans="1:6">
      <c r="A7723">
        <v>7662</v>
      </c>
      <c r="B7723" s="138">
        <f>'Rest Tax Levies-Tort Im 25'!K15</f>
        <v>0</v>
      </c>
      <c r="D7723" s="2" t="str">
        <f t="shared" si="126"/>
        <v>Error?</v>
      </c>
      <c r="E7723" s="2" t="s">
        <v>827</v>
      </c>
    </row>
    <row r="7724" spans="1:6">
      <c r="A7724">
        <v>7663</v>
      </c>
      <c r="B7724" s="138">
        <f>'Rest Tax Levies-Tort Im 25'!J18</f>
        <v>469760</v>
      </c>
      <c r="D7724" s="2" t="str">
        <f t="shared" si="126"/>
        <v>Error?</v>
      </c>
      <c r="E7724" s="2" t="s">
        <v>827</v>
      </c>
      <c r="F7724" s="2"/>
    </row>
    <row r="7725" spans="1:6">
      <c r="A7725">
        <v>7664</v>
      </c>
      <c r="B7725" s="138">
        <f>'Rest Tax Levies-Tort Im 25'!J19</f>
        <v>405000</v>
      </c>
      <c r="D7725" s="2" t="str">
        <f t="shared" si="126"/>
        <v>Error?</v>
      </c>
      <c r="E7725" s="2" t="s">
        <v>827</v>
      </c>
    </row>
    <row r="7726" spans="1:6">
      <c r="A7726">
        <v>7665</v>
      </c>
      <c r="B7726" s="138">
        <f>'Rest Tax Levies-Tort Im 25'!J20</f>
        <v>0</v>
      </c>
      <c r="D7726" s="2" t="str">
        <f t="shared" si="126"/>
        <v>Error?</v>
      </c>
      <c r="E7726" s="2" t="s">
        <v>827</v>
      </c>
    </row>
    <row r="7727" spans="1:6">
      <c r="A7727">
        <v>7666</v>
      </c>
      <c r="B7727" s="138">
        <f>'Rest Tax Levies-Tort Im 25'!J21</f>
        <v>874760</v>
      </c>
      <c r="D7727" s="2" t="str">
        <f t="shared" si="126"/>
        <v>Error?</v>
      </c>
      <c r="E7727" s="2" t="s">
        <v>827</v>
      </c>
    </row>
    <row r="7728" spans="1:6">
      <c r="A7728">
        <v>7667</v>
      </c>
      <c r="B7728" s="138">
        <f>'Revenues 9-14'!E103</f>
        <v>959349</v>
      </c>
      <c r="D7728" s="2" t="str">
        <f t="shared" si="126"/>
        <v>Error?</v>
      </c>
      <c r="E7728" s="2" t="s">
        <v>827</v>
      </c>
    </row>
    <row r="7729" spans="1:6">
      <c r="A7729">
        <v>7668</v>
      </c>
      <c r="B7729" s="138">
        <f>'Rest Tax Levies-Tort Im 25'!K22</f>
        <v>0</v>
      </c>
      <c r="D7729" s="2" t="str">
        <f t="shared" si="126"/>
        <v>Error?</v>
      </c>
      <c r="E7729" s="2" t="s">
        <v>827</v>
      </c>
    </row>
    <row r="7730" spans="1:6">
      <c r="A7730">
        <v>7669</v>
      </c>
      <c r="B7730" s="138">
        <f>'Rest Tax Levies-Tort Im 25'!J23</f>
        <v>895942</v>
      </c>
      <c r="D7730" s="2" t="str">
        <f t="shared" si="126"/>
        <v>Error?</v>
      </c>
      <c r="E7730" s="2" t="s">
        <v>827</v>
      </c>
    </row>
    <row r="7731" spans="1:6">
      <c r="A7731">
        <v>7670</v>
      </c>
      <c r="B7731" s="138">
        <f>'Revenues 9-14'!H103</f>
        <v>484406</v>
      </c>
      <c r="D7731" s="2" t="str">
        <f t="shared" si="126"/>
        <v>Error?</v>
      </c>
      <c r="E7731" s="2" t="s">
        <v>827</v>
      </c>
    </row>
    <row r="7732" spans="1:6">
      <c r="A7732">
        <v>7671</v>
      </c>
      <c r="B7732" s="138">
        <f>'Rest Tax Levies-Tort Im 25'!J24</f>
        <v>1619121</v>
      </c>
      <c r="D7732" s="2" t="str">
        <f t="shared" si="126"/>
        <v>Error?</v>
      </c>
      <c r="E7732" s="2" t="s">
        <v>827</v>
      </c>
    </row>
    <row r="7733" spans="1:6">
      <c r="A7733">
        <v>7672</v>
      </c>
      <c r="B7733" s="138">
        <f>'Rest Tax Levies-Tort Im 25'!K24</f>
        <v>0</v>
      </c>
      <c r="D7733" s="2" t="str">
        <f t="shared" si="126"/>
        <v>Error?</v>
      </c>
      <c r="E7733" s="2" t="s">
        <v>827</v>
      </c>
    </row>
    <row r="7734" spans="1:6">
      <c r="A7734">
        <v>7673</v>
      </c>
      <c r="B7734" s="138">
        <f>'Rest Tax Levies-Tort Im 25'!G25</f>
        <v>0</v>
      </c>
      <c r="D7734" s="2" t="str">
        <f t="shared" si="126"/>
        <v>Error?</v>
      </c>
      <c r="E7734" s="2" t="s">
        <v>827</v>
      </c>
    </row>
    <row r="7735" spans="1:6">
      <c r="A7735">
        <v>7674</v>
      </c>
      <c r="B7735" s="138">
        <f>'Rest Tax Levies-Tort Im 25'!H25</f>
        <v>0</v>
      </c>
      <c r="D7735" s="2" t="str">
        <f t="shared" si="126"/>
        <v>Error?</v>
      </c>
      <c r="E7735" s="2" t="s">
        <v>827</v>
      </c>
    </row>
    <row r="7736" spans="1:6">
      <c r="A7736">
        <v>7675</v>
      </c>
      <c r="B7736" s="138">
        <f>'Rest Tax Levies-Tort Im 25'!I25</f>
        <v>0</v>
      </c>
      <c r="D7736" s="2" t="str">
        <f t="shared" si="126"/>
        <v>Error?</v>
      </c>
      <c r="E7736" s="2" t="s">
        <v>827</v>
      </c>
    </row>
    <row r="7737" spans="1:6">
      <c r="A7737">
        <v>7676</v>
      </c>
      <c r="B7737" s="138">
        <f>'Rest Tax Levies-Tort Im 25'!J25</f>
        <v>0</v>
      </c>
      <c r="D7737" s="2" t="str">
        <f t="shared" si="126"/>
        <v>Error?</v>
      </c>
      <c r="E7737" s="2" t="s">
        <v>827</v>
      </c>
    </row>
    <row r="7738" spans="1:6">
      <c r="A7738">
        <v>7677</v>
      </c>
      <c r="B7738" s="138">
        <f>'Rest Tax Levies-Tort Im 25'!K25</f>
        <v>0</v>
      </c>
      <c r="D7738" s="2" t="str">
        <f t="shared" si="126"/>
        <v>Error?</v>
      </c>
      <c r="E7738" s="2" t="s">
        <v>827</v>
      </c>
    </row>
    <row r="7739" spans="1:6">
      <c r="A7739">
        <v>7678</v>
      </c>
      <c r="B7739" s="138">
        <f>'Rest Tax Levies-Tort Im 25'!G26</f>
        <v>0</v>
      </c>
      <c r="D7739" s="2" t="str">
        <f t="shared" si="126"/>
        <v>Error?</v>
      </c>
      <c r="E7739" s="2" t="s">
        <v>827</v>
      </c>
    </row>
    <row r="7740" spans="1:6">
      <c r="A7740">
        <v>7679</v>
      </c>
      <c r="B7740" s="138">
        <f>'Rest Tax Levies-Tort Im 25'!H26</f>
        <v>0</v>
      </c>
      <c r="D7740" s="2" t="str">
        <f t="shared" si="126"/>
        <v>Error?</v>
      </c>
      <c r="E7740" s="2" t="s">
        <v>827</v>
      </c>
    </row>
    <row r="7741" spans="1:6">
      <c r="A7741">
        <v>7680</v>
      </c>
      <c r="B7741" s="138">
        <f>'Rest Tax Levies-Tort Im 25'!I26</f>
        <v>0</v>
      </c>
      <c r="D7741" s="2" t="str">
        <f t="shared" si="126"/>
        <v>Error?</v>
      </c>
      <c r="E7741" s="2" t="s">
        <v>827</v>
      </c>
    </row>
    <row r="7742" spans="1:6">
      <c r="A7742">
        <v>7681</v>
      </c>
      <c r="B7742" s="138">
        <f>'Rest Tax Levies-Tort Im 25'!J26</f>
        <v>1619121</v>
      </c>
      <c r="D7742" s="2" t="str">
        <f t="shared" si="126"/>
        <v>Error?</v>
      </c>
      <c r="E7742" s="2" t="s">
        <v>827</v>
      </c>
    </row>
    <row r="7743" spans="1:6">
      <c r="A7743">
        <v>7682</v>
      </c>
      <c r="B7743" s="138">
        <f>'Rest Tax Levies-Tort Im 25'!K26</f>
        <v>0</v>
      </c>
      <c r="D7743" s="2" t="str">
        <f t="shared" ref="D7743:D7806" si="127">IF(ISBLANK(B7743),"OK",IF(A7743-B7743=0,"OK","Error?"))</f>
        <v>Error?</v>
      </c>
      <c r="E7743" s="2" t="s">
        <v>827</v>
      </c>
    </row>
    <row r="7744" spans="1:6">
      <c r="A7744">
        <v>7683</v>
      </c>
      <c r="D7744" s="2" t="str">
        <f t="shared" si="127"/>
        <v>OK</v>
      </c>
      <c r="E7744" s="4" t="s">
        <v>1334</v>
      </c>
      <c r="F7744" s="1"/>
    </row>
    <row r="7745" spans="1:6">
      <c r="A7745">
        <v>7684</v>
      </c>
      <c r="B7745" s="138">
        <f>'Expenditures 15-22'!H364</f>
        <v>0</v>
      </c>
      <c r="D7745" s="2" t="str">
        <f t="shared" si="127"/>
        <v>Error?</v>
      </c>
      <c r="E7745" s="2" t="s">
        <v>827</v>
      </c>
    </row>
    <row r="7746" spans="1:6">
      <c r="A7746">
        <v>7685</v>
      </c>
      <c r="B7746" s="138">
        <f>'Expenditures 15-22'!K364</f>
        <v>0</v>
      </c>
      <c r="D7746" s="2" t="str">
        <f t="shared" si="127"/>
        <v>Error?</v>
      </c>
      <c r="E7746" s="2" t="s">
        <v>827</v>
      </c>
    </row>
    <row r="7747" spans="1:6">
      <c r="A7747">
        <v>7686</v>
      </c>
      <c r="B7747" s="138">
        <f>'Revenues 9-14'!E266</f>
        <v>0</v>
      </c>
      <c r="D7747" s="2" t="str">
        <f t="shared" si="127"/>
        <v>Error?</v>
      </c>
      <c r="E7747" s="2" t="s">
        <v>827</v>
      </c>
      <c r="F7747" s="2" t="s">
        <v>828</v>
      </c>
    </row>
    <row r="7748" spans="1:6">
      <c r="A7748">
        <v>7687</v>
      </c>
      <c r="B7748" s="138">
        <f>'Acct Summary 7-8'!C25</f>
        <v>0</v>
      </c>
      <c r="D7748" s="2" t="str">
        <f t="shared" si="127"/>
        <v>Error?</v>
      </c>
      <c r="E7748" s="4" t="s">
        <v>1333</v>
      </c>
    </row>
    <row r="7749" spans="1:6">
      <c r="A7749">
        <v>7688</v>
      </c>
      <c r="B7749" s="138">
        <f>'Acct Summary 7-8'!D25</f>
        <v>635000</v>
      </c>
      <c r="D7749" s="2" t="str">
        <f t="shared" si="127"/>
        <v>Error?</v>
      </c>
      <c r="E7749" s="4" t="s">
        <v>1333</v>
      </c>
    </row>
    <row r="7750" spans="1:6">
      <c r="A7750">
        <v>7689</v>
      </c>
      <c r="B7750" s="138">
        <f>'Acct Summary 7-8'!E25</f>
        <v>0</v>
      </c>
      <c r="D7750" s="2" t="str">
        <f t="shared" si="127"/>
        <v>Error?</v>
      </c>
      <c r="E7750" s="4" t="s">
        <v>1333</v>
      </c>
    </row>
    <row r="7751" spans="1:6">
      <c r="A7751">
        <v>7690</v>
      </c>
      <c r="B7751" s="138">
        <f>'Acct Summary 7-8'!F25</f>
        <v>343432</v>
      </c>
      <c r="D7751" s="2" t="str">
        <f t="shared" si="127"/>
        <v>Error?</v>
      </c>
      <c r="E7751" s="4" t="s">
        <v>1333</v>
      </c>
    </row>
    <row r="7752" spans="1:6">
      <c r="A7752">
        <v>7691</v>
      </c>
      <c r="B7752" s="138">
        <f>'Acct Summary 7-8'!G25</f>
        <v>0</v>
      </c>
      <c r="D7752" s="2" t="str">
        <f t="shared" si="127"/>
        <v>Error?</v>
      </c>
      <c r="E7752" s="4" t="s">
        <v>1333</v>
      </c>
    </row>
    <row r="7753" spans="1:6">
      <c r="A7753">
        <v>7692</v>
      </c>
      <c r="B7753" s="138">
        <f>'Acct Summary 7-8'!H25</f>
        <v>0</v>
      </c>
      <c r="D7753" s="2" t="str">
        <f t="shared" si="127"/>
        <v>Error?</v>
      </c>
      <c r="E7753" s="4" t="s">
        <v>1333</v>
      </c>
    </row>
    <row r="7754" spans="1:6">
      <c r="A7754">
        <v>7693</v>
      </c>
      <c r="B7754" s="138">
        <f>'Acct Summary 7-8'!J25</f>
        <v>0</v>
      </c>
      <c r="D7754" s="2" t="str">
        <f t="shared" si="127"/>
        <v>Error?</v>
      </c>
      <c r="E7754" s="4" t="s">
        <v>1333</v>
      </c>
    </row>
    <row r="7755" spans="1:6">
      <c r="A7755">
        <v>7694</v>
      </c>
      <c r="B7755" s="138">
        <f>'Acct Summary 7-8'!K25</f>
        <v>0</v>
      </c>
      <c r="D7755" s="2" t="str">
        <f t="shared" si="127"/>
        <v>Error?</v>
      </c>
      <c r="E7755" s="4" t="s">
        <v>1333</v>
      </c>
    </row>
    <row r="7756" spans="1:6">
      <c r="A7756">
        <v>7695</v>
      </c>
      <c r="B7756" s="138">
        <f>'Aud Quest 2'!E85</f>
        <v>0</v>
      </c>
      <c r="D7756" s="2" t="str">
        <f t="shared" si="127"/>
        <v>Error?</v>
      </c>
      <c r="E7756" s="4" t="s">
        <v>1333</v>
      </c>
      <c r="F7756" t="s">
        <v>1445</v>
      </c>
    </row>
    <row r="7757" spans="1:6">
      <c r="A7757">
        <v>7696</v>
      </c>
      <c r="B7757" s="138">
        <f>'Aud Quest 2'!E87</f>
        <v>0</v>
      </c>
      <c r="D7757" s="2" t="str">
        <f t="shared" si="127"/>
        <v>Error?</v>
      </c>
      <c r="E7757" s="4" t="s">
        <v>1333</v>
      </c>
      <c r="F7757" t="s">
        <v>1445</v>
      </c>
    </row>
    <row r="7758" spans="1:6">
      <c r="A7758">
        <v>7697</v>
      </c>
      <c r="B7758" s="138">
        <f>'Aud Quest 2'!J85</f>
        <v>1</v>
      </c>
      <c r="D7758" s="2" t="str">
        <f t="shared" si="127"/>
        <v>Error?</v>
      </c>
      <c r="E7758" s="4" t="s">
        <v>1333</v>
      </c>
    </row>
    <row r="7759" spans="1:6">
      <c r="A7759">
        <v>7698</v>
      </c>
      <c r="B7759" s="138">
        <f>'Aud Quest 2'!J88</f>
        <v>0</v>
      </c>
      <c r="D7759" s="2" t="str">
        <f t="shared" si="127"/>
        <v>Error?</v>
      </c>
      <c r="E7759" s="4" t="s">
        <v>1333</v>
      </c>
    </row>
    <row r="7760" spans="1:6">
      <c r="A7760">
        <v>7699</v>
      </c>
      <c r="B7760" s="138">
        <f>'Aud Quest 2'!J90</f>
        <v>1</v>
      </c>
      <c r="D7760" s="2" t="str">
        <f t="shared" si="127"/>
        <v>Error?</v>
      </c>
      <c r="E7760" s="4" t="s">
        <v>1333</v>
      </c>
    </row>
    <row r="7761" spans="1:5">
      <c r="A7761">
        <v>7700</v>
      </c>
      <c r="B7761" s="138">
        <f>'Revenues 9-14'!C253</f>
        <v>0</v>
      </c>
      <c r="D7761" s="2" t="str">
        <f t="shared" si="127"/>
        <v>Error?</v>
      </c>
      <c r="E7761" s="4" t="s">
        <v>1422</v>
      </c>
    </row>
    <row r="7762" spans="1:5">
      <c r="A7762">
        <v>7701</v>
      </c>
      <c r="B7762" s="138">
        <f>'Expenditures 15-22'!E6</f>
        <v>0</v>
      </c>
      <c r="D7762" s="2" t="str">
        <f t="shared" si="127"/>
        <v>Error?</v>
      </c>
      <c r="E7762" s="4" t="s">
        <v>1432</v>
      </c>
    </row>
    <row r="7763" spans="1:5">
      <c r="A7763">
        <v>7702</v>
      </c>
      <c r="B7763" s="138">
        <f>'Expenditures 15-22'!K6</f>
        <v>0</v>
      </c>
      <c r="D7763" s="2" t="str">
        <f t="shared" si="127"/>
        <v>Error?</v>
      </c>
      <c r="E7763" s="4"/>
    </row>
    <row r="7764" spans="1:5">
      <c r="A7764">
        <v>7703</v>
      </c>
      <c r="B7764" s="138">
        <f>'Revenues 9-14'!F58</f>
        <v>0</v>
      </c>
      <c r="D7764" s="2" t="str">
        <f t="shared" si="127"/>
        <v>Error?</v>
      </c>
      <c r="E7764" s="4" t="s">
        <v>1460</v>
      </c>
    </row>
    <row r="7765" spans="1:5">
      <c r="A7765">
        <v>7704</v>
      </c>
      <c r="B7765" s="138">
        <f>'Revenues 9-14'!C254</f>
        <v>0</v>
      </c>
      <c r="D7765" s="2" t="str">
        <f t="shared" si="127"/>
        <v>Error?</v>
      </c>
      <c r="E7765" s="4" t="s">
        <v>1464</v>
      </c>
    </row>
    <row r="7766" spans="1:5">
      <c r="A7766">
        <v>7705</v>
      </c>
      <c r="B7766" s="138">
        <f>'Revenues 9-14'!D254</f>
        <v>0</v>
      </c>
      <c r="D7766" s="2" t="str">
        <f t="shared" si="127"/>
        <v>Error?</v>
      </c>
      <c r="E7766" s="4" t="s">
        <v>1464</v>
      </c>
    </row>
    <row r="7767" spans="1:5">
      <c r="A7767" s="129">
        <v>7706</v>
      </c>
      <c r="E7767" s="4"/>
    </row>
    <row r="7768" spans="1:5">
      <c r="A7768">
        <v>7707</v>
      </c>
      <c r="B7768" s="138">
        <f>'Revenues 9-14'!F254</f>
        <v>0</v>
      </c>
      <c r="D7768" s="2" t="str">
        <f t="shared" si="127"/>
        <v>Error?</v>
      </c>
      <c r="E7768" s="4" t="s">
        <v>1464</v>
      </c>
    </row>
    <row r="7769" spans="1:5">
      <c r="A7769">
        <v>7708</v>
      </c>
      <c r="B7769" s="138">
        <f>'Revenues 9-14'!G254</f>
        <v>0</v>
      </c>
      <c r="D7769" s="2" t="str">
        <f t="shared" si="127"/>
        <v>Error?</v>
      </c>
      <c r="E7769" s="4" t="s">
        <v>1464</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1465</v>
      </c>
    </row>
    <row r="7773" spans="1:5">
      <c r="A7773">
        <v>7712</v>
      </c>
      <c r="B7773" s="138">
        <f>'Rest Tax Levies-Tort Im 25'!J22</f>
        <v>0</v>
      </c>
      <c r="D7773" s="2" t="str">
        <f t="shared" si="127"/>
        <v>Error?</v>
      </c>
      <c r="E7773" s="4" t="s">
        <v>1553</v>
      </c>
    </row>
    <row r="7774" spans="1:5">
      <c r="A7774">
        <v>7713</v>
      </c>
      <c r="B7774" s="138">
        <f>'Expenditures 15-22'!E133</f>
        <v>0</v>
      </c>
      <c r="D7774" s="2" t="str">
        <f t="shared" si="127"/>
        <v>Error?</v>
      </c>
      <c r="E7774" s="4" t="s">
        <v>1852</v>
      </c>
    </row>
    <row r="7775" spans="1:5">
      <c r="A7775">
        <v>7714</v>
      </c>
      <c r="B7775" s="138">
        <f>'Expenditures 15-22'!H133</f>
        <v>0</v>
      </c>
      <c r="D7775" s="2" t="str">
        <f t="shared" si="127"/>
        <v>Error?</v>
      </c>
      <c r="E7775" s="4" t="s">
        <v>1852</v>
      </c>
    </row>
    <row r="7776" spans="1:5">
      <c r="A7776">
        <v>7715</v>
      </c>
      <c r="B7776" s="138">
        <f>'Expenditures 15-22'!K133</f>
        <v>0</v>
      </c>
      <c r="D7776" s="2" t="str">
        <f t="shared" si="127"/>
        <v>Error?</v>
      </c>
      <c r="E7776" s="4" t="s">
        <v>1852</v>
      </c>
    </row>
    <row r="7777" spans="1:5">
      <c r="A7777">
        <v>7716</v>
      </c>
      <c r="B7777" s="138">
        <f>'Expenditures 15-22'!H157</f>
        <v>0</v>
      </c>
      <c r="D7777" s="2" t="str">
        <f t="shared" si="127"/>
        <v>Error?</v>
      </c>
      <c r="E7777" s="4" t="s">
        <v>1852</v>
      </c>
    </row>
    <row r="7778" spans="1:5">
      <c r="A7778">
        <v>7717</v>
      </c>
      <c r="B7778" s="138">
        <f>'Expenditures 15-22'!K157</f>
        <v>0</v>
      </c>
      <c r="D7778" s="2" t="str">
        <f t="shared" si="127"/>
        <v>Error?</v>
      </c>
      <c r="E7778" s="4" t="s">
        <v>1852</v>
      </c>
    </row>
    <row r="7779" spans="1:5">
      <c r="A7779">
        <v>7718</v>
      </c>
      <c r="B7779" s="138">
        <f>'Expenditures 15-22'!H158</f>
        <v>0</v>
      </c>
      <c r="D7779" s="2" t="str">
        <f t="shared" si="127"/>
        <v>Error?</v>
      </c>
      <c r="E7779" s="4" t="s">
        <v>1852</v>
      </c>
    </row>
    <row r="7780" spans="1:5">
      <c r="A7780">
        <v>7719</v>
      </c>
      <c r="B7780" s="138">
        <f>'Expenditures 15-22'!K158</f>
        <v>0</v>
      </c>
      <c r="D7780" s="2" t="str">
        <f t="shared" si="127"/>
        <v>Error?</v>
      </c>
      <c r="E7780" s="4" t="s">
        <v>1852</v>
      </c>
    </row>
    <row r="7781" spans="1:5">
      <c r="A7781">
        <v>7720</v>
      </c>
      <c r="B7781" s="138">
        <f>'Expenditures 15-22'!H159</f>
        <v>0</v>
      </c>
      <c r="D7781" s="2" t="str">
        <f t="shared" si="127"/>
        <v>Error?</v>
      </c>
      <c r="E7781" s="4" t="s">
        <v>1852</v>
      </c>
    </row>
    <row r="7782" spans="1:5">
      <c r="A7782">
        <v>7721</v>
      </c>
      <c r="B7782" s="138">
        <f>'Expenditures 15-22'!K159</f>
        <v>0</v>
      </c>
      <c r="D7782" s="2" t="str">
        <f t="shared" si="127"/>
        <v>Error?</v>
      </c>
      <c r="E7782" s="4" t="s">
        <v>1852</v>
      </c>
    </row>
    <row r="7783" spans="1:5">
      <c r="A7783">
        <v>7722</v>
      </c>
      <c r="B7783" s="138">
        <f>'Expenditures 15-22'!D282</f>
        <v>0</v>
      </c>
      <c r="D7783" s="2" t="str">
        <f t="shared" si="127"/>
        <v>Error?</v>
      </c>
      <c r="E7783" s="4" t="s">
        <v>1852</v>
      </c>
    </row>
    <row r="7784" spans="1:5">
      <c r="A7784">
        <v>7723</v>
      </c>
      <c r="B7784" s="138">
        <f>'Expenditures 15-22'!K282</f>
        <v>0</v>
      </c>
      <c r="D7784" s="2" t="str">
        <f t="shared" si="127"/>
        <v>Error?</v>
      </c>
      <c r="E7784" s="4" t="s">
        <v>1852</v>
      </c>
    </row>
    <row r="7785" spans="1:5">
      <c r="A7785">
        <v>7724</v>
      </c>
      <c r="B7785" s="138">
        <f>'Expenditures 15-22'!H332</f>
        <v>0</v>
      </c>
      <c r="D7785" s="2" t="str">
        <f t="shared" si="127"/>
        <v>Error?</v>
      </c>
      <c r="E7785" s="4" t="s">
        <v>1852</v>
      </c>
    </row>
    <row r="7786" spans="1:5">
      <c r="A7786">
        <v>7725</v>
      </c>
      <c r="B7786" s="138">
        <f>'Expenditures 15-22'!K332</f>
        <v>0</v>
      </c>
      <c r="D7786" s="2" t="str">
        <f t="shared" si="127"/>
        <v>Error?</v>
      </c>
      <c r="E7786" s="4" t="s">
        <v>1852</v>
      </c>
    </row>
    <row r="7787" spans="1:5">
      <c r="A7787">
        <v>7726</v>
      </c>
      <c r="B7787" s="138">
        <f>'Expenditures 15-22'!H333</f>
        <v>0</v>
      </c>
      <c r="D7787" s="2" t="str">
        <f t="shared" si="127"/>
        <v>Error?</v>
      </c>
      <c r="E7787" s="4" t="s">
        <v>1852</v>
      </c>
    </row>
    <row r="7788" spans="1:5">
      <c r="A7788">
        <v>7727</v>
      </c>
      <c r="B7788" s="138">
        <f>'Expenditures 15-22'!K333</f>
        <v>0</v>
      </c>
      <c r="D7788" s="2" t="str">
        <f t="shared" si="127"/>
        <v>Error?</v>
      </c>
      <c r="E7788" s="4" t="s">
        <v>1852</v>
      </c>
    </row>
    <row r="7789" spans="1:5">
      <c r="A7789">
        <v>7728</v>
      </c>
      <c r="B7789" s="138">
        <f>'Expenditures 15-22'!H334</f>
        <v>0</v>
      </c>
      <c r="D7789" s="2" t="str">
        <f t="shared" si="127"/>
        <v>Error?</v>
      </c>
      <c r="E7789" s="4" t="s">
        <v>1852</v>
      </c>
    </row>
    <row r="7790" spans="1:5">
      <c r="A7790">
        <v>7729</v>
      </c>
      <c r="B7790" s="138">
        <f>'Expenditures 15-22'!K334</f>
        <v>0</v>
      </c>
      <c r="D7790" s="2" t="str">
        <f t="shared" si="127"/>
        <v>Error?</v>
      </c>
      <c r="E7790" s="4" t="s">
        <v>1852</v>
      </c>
    </row>
    <row r="7791" spans="1:5">
      <c r="A7791">
        <v>7730</v>
      </c>
      <c r="B7791" s="138">
        <f>'Expenditures 15-22'!H354</f>
        <v>0</v>
      </c>
      <c r="D7791" s="2" t="str">
        <f t="shared" si="127"/>
        <v>Error?</v>
      </c>
      <c r="E7791" s="4" t="s">
        <v>1852</v>
      </c>
    </row>
    <row r="7792" spans="1:5">
      <c r="A7792">
        <v>7731</v>
      </c>
      <c r="B7792" s="138">
        <f>'Expenditures 15-22'!K354</f>
        <v>0</v>
      </c>
      <c r="D7792" s="2" t="str">
        <f t="shared" si="127"/>
        <v>Error?</v>
      </c>
      <c r="E7792" s="4" t="s">
        <v>1852</v>
      </c>
    </row>
    <row r="7793" spans="1:5">
      <c r="A7793">
        <v>7732</v>
      </c>
      <c r="B7793" s="138">
        <f>'Expenditures 15-22'!H355</f>
        <v>0</v>
      </c>
      <c r="D7793" s="2" t="str">
        <f t="shared" si="127"/>
        <v>Error?</v>
      </c>
      <c r="E7793" s="4" t="s">
        <v>1852</v>
      </c>
    </row>
    <row r="7794" spans="1:5">
      <c r="A7794">
        <v>7733</v>
      </c>
      <c r="B7794" s="138">
        <f>'Expenditures 15-22'!K355</f>
        <v>0</v>
      </c>
      <c r="D7794" s="2" t="str">
        <f t="shared" si="127"/>
        <v>Error?</v>
      </c>
      <c r="E7794" s="4" t="s">
        <v>1852</v>
      </c>
    </row>
    <row r="7795" spans="1:5">
      <c r="A7795">
        <v>7734</v>
      </c>
      <c r="B7795" s="138">
        <f>'Expenditures 15-22'!E138</f>
        <v>0</v>
      </c>
      <c r="D7795" s="2" t="str">
        <f t="shared" si="127"/>
        <v>Error?</v>
      </c>
      <c r="E7795" s="4" t="s">
        <v>1852</v>
      </c>
    </row>
    <row r="7796" spans="1:5">
      <c r="A7796">
        <v>7735</v>
      </c>
      <c r="B7796" s="138">
        <f>'Acct Summary 7-8'!J15</f>
        <v>0</v>
      </c>
      <c r="D7796" s="2" t="str">
        <f t="shared" si="127"/>
        <v>Error?</v>
      </c>
      <c r="E7796" s="4" t="s">
        <v>1852</v>
      </c>
    </row>
    <row r="7797" spans="1:5">
      <c r="A7797">
        <v>7736</v>
      </c>
      <c r="B7797" s="138">
        <f>'Contracts Paid in CY 29'!D141</f>
        <v>0.1</v>
      </c>
      <c r="D7797" s="2" t="str">
        <f t="shared" si="127"/>
        <v>Error?</v>
      </c>
      <c r="E7797" s="4" t="s">
        <v>1901</v>
      </c>
    </row>
    <row r="7798" spans="1:5">
      <c r="A7798">
        <v>7737</v>
      </c>
      <c r="B7798" s="138">
        <f>'Contracts Paid in CY 29'!F141</f>
        <v>0</v>
      </c>
      <c r="D7798" s="2" t="str">
        <f t="shared" si="127"/>
        <v>Error?</v>
      </c>
      <c r="E7798" s="4" t="s">
        <v>1901</v>
      </c>
    </row>
    <row r="7799" spans="1:5">
      <c r="A7799">
        <v>7738</v>
      </c>
      <c r="B7799" s="138">
        <f>'Contracts Paid in CY 29'!G141</f>
        <v>0</v>
      </c>
      <c r="D7799" s="2" t="str">
        <f t="shared" si="127"/>
        <v>Error?</v>
      </c>
      <c r="E7799" s="4" t="s">
        <v>1901</v>
      </c>
    </row>
    <row r="7800" spans="1:5">
      <c r="A7800">
        <v>7739</v>
      </c>
      <c r="D7800" s="2" t="str">
        <f t="shared" si="127"/>
        <v>OK</v>
      </c>
    </row>
    <row r="7801" spans="1:5">
      <c r="A7801">
        <v>7740</v>
      </c>
      <c r="B7801" s="138">
        <f>'Revenues 9-14'!C120</f>
        <v>0</v>
      </c>
      <c r="D7801" s="2" t="str">
        <f t="shared" si="127"/>
        <v>Error?</v>
      </c>
      <c r="E7801" s="4" t="s">
        <v>1938</v>
      </c>
    </row>
    <row r="7802" spans="1:5">
      <c r="A7802">
        <v>7741</v>
      </c>
      <c r="B7802" s="138">
        <f>'Revenues 9-14'!D120</f>
        <v>0</v>
      </c>
      <c r="D7802" s="2" t="str">
        <f t="shared" si="127"/>
        <v>Error?</v>
      </c>
      <c r="E7802" s="4" t="s">
        <v>1938</v>
      </c>
    </row>
    <row r="7803" spans="1:5">
      <c r="A7803">
        <v>7742</v>
      </c>
      <c r="B7803" s="138">
        <f>'Revenues 9-14'!E120</f>
        <v>0</v>
      </c>
      <c r="D7803" s="2" t="str">
        <f t="shared" si="127"/>
        <v>Error?</v>
      </c>
      <c r="E7803" s="4" t="s">
        <v>1938</v>
      </c>
    </row>
    <row r="7804" spans="1:5">
      <c r="A7804">
        <v>7743</v>
      </c>
      <c r="B7804" s="138">
        <f>'Revenues 9-14'!F120</f>
        <v>0</v>
      </c>
      <c r="D7804" s="2" t="str">
        <f t="shared" si="127"/>
        <v>Error?</v>
      </c>
      <c r="E7804" s="4" t="s">
        <v>1938</v>
      </c>
    </row>
    <row r="7805" spans="1:5">
      <c r="A7805">
        <v>7744</v>
      </c>
      <c r="B7805" s="138">
        <f>'Revenues 9-14'!G120</f>
        <v>0</v>
      </c>
      <c r="D7805" s="2" t="str">
        <f t="shared" si="127"/>
        <v>Error?</v>
      </c>
      <c r="E7805" s="4" t="s">
        <v>1938</v>
      </c>
    </row>
    <row r="7806" spans="1:5">
      <c r="A7806">
        <v>7745</v>
      </c>
      <c r="B7806" s="138">
        <f>'Revenues 9-14'!H120</f>
        <v>0</v>
      </c>
      <c r="D7806" s="2" t="str">
        <f t="shared" si="127"/>
        <v>Error?</v>
      </c>
      <c r="E7806" s="4" t="s">
        <v>1938</v>
      </c>
    </row>
    <row r="7807" spans="1:5">
      <c r="A7807">
        <v>7746</v>
      </c>
      <c r="B7807" s="138">
        <f>'Revenues 9-14'!J120</f>
        <v>0</v>
      </c>
      <c r="D7807" s="2" t="str">
        <f t="shared" ref="D7807:D7816" si="128">IF(ISBLANK(B7807),"OK",IF(A7807-B7807=0,"OK","Error?"))</f>
        <v>Error?</v>
      </c>
      <c r="E7807" s="4" t="s">
        <v>1938</v>
      </c>
    </row>
    <row r="7808" spans="1:5">
      <c r="A7808">
        <v>7747</v>
      </c>
      <c r="B7808" s="138">
        <f>'Revenues 9-14'!K120</f>
        <v>0</v>
      </c>
      <c r="D7808" s="2" t="str">
        <f t="shared" si="128"/>
        <v>Error?</v>
      </c>
      <c r="E7808" s="4" t="s">
        <v>1938</v>
      </c>
    </row>
    <row r="7809" spans="1:5">
      <c r="A7809">
        <v>7748</v>
      </c>
      <c r="B7809" s="138">
        <f>'Revenues 9-14'!C261</f>
        <v>0</v>
      </c>
      <c r="D7809" s="2" t="str">
        <f t="shared" si="128"/>
        <v>Error?</v>
      </c>
      <c r="E7809" s="4" t="s">
        <v>1939</v>
      </c>
    </row>
    <row r="7810" spans="1:5">
      <c r="A7810">
        <v>7749</v>
      </c>
      <c r="B7810" s="138">
        <f>'Revenues 9-14'!D261</f>
        <v>0</v>
      </c>
      <c r="D7810" s="2" t="str">
        <f t="shared" si="128"/>
        <v>Error?</v>
      </c>
      <c r="E7810" s="4" t="s">
        <v>1939</v>
      </c>
    </row>
    <row r="7811" spans="1:5">
      <c r="A7811">
        <v>7750</v>
      </c>
      <c r="B7811" s="138">
        <f>'Revenues 9-14'!F261</f>
        <v>0</v>
      </c>
      <c r="D7811" s="2" t="str">
        <f t="shared" si="128"/>
        <v>Error?</v>
      </c>
      <c r="E7811" s="4" t="s">
        <v>1939</v>
      </c>
    </row>
    <row r="7812" spans="1:5">
      <c r="A7812">
        <v>7751</v>
      </c>
      <c r="B7812" s="138">
        <f>'Revenues 9-14'!G261</f>
        <v>0</v>
      </c>
      <c r="D7812" s="2" t="str">
        <f t="shared" si="128"/>
        <v>Error?</v>
      </c>
      <c r="E7812" s="4" t="s">
        <v>1939</v>
      </c>
    </row>
    <row r="7813" spans="1:5">
      <c r="A7813">
        <v>7752</v>
      </c>
      <c r="B7813" s="138">
        <f>'Revenues 9-14'!C262</f>
        <v>0</v>
      </c>
      <c r="D7813" s="2" t="str">
        <f t="shared" si="128"/>
        <v>Error?</v>
      </c>
      <c r="E7813" s="4" t="s">
        <v>1940</v>
      </c>
    </row>
    <row r="7814" spans="1:5">
      <c r="A7814">
        <v>7753</v>
      </c>
      <c r="B7814" s="138">
        <f>'Revenues 9-14'!D262</f>
        <v>0</v>
      </c>
      <c r="D7814" s="2" t="str">
        <f t="shared" si="128"/>
        <v>Error?</v>
      </c>
      <c r="E7814" s="4" t="s">
        <v>1940</v>
      </c>
    </row>
    <row r="7815" spans="1:5">
      <c r="A7815">
        <v>7754</v>
      </c>
      <c r="B7815" s="138">
        <f>'Revenues 9-14'!F262</f>
        <v>0</v>
      </c>
      <c r="D7815" s="2" t="str">
        <f t="shared" si="128"/>
        <v>Error?</v>
      </c>
      <c r="E7815" s="4" t="s">
        <v>1940</v>
      </c>
    </row>
    <row r="7816" spans="1:5">
      <c r="A7816">
        <v>7755</v>
      </c>
      <c r="B7816" s="138">
        <f>'Revenues 9-14'!G262</f>
        <v>0</v>
      </c>
      <c r="D7816" s="2" t="str">
        <f t="shared" si="128"/>
        <v>Error?</v>
      </c>
      <c r="E7816" s="4" t="s">
        <v>1940</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5" zoomScale="110" zoomScaleNormal="110" workbookViewId="0">
      <selection activeCell="B49" sqref="B49"/>
    </sheetView>
  </sheetViews>
  <sheetFormatPr defaultColWidth="9.140625" defaultRowHeight="12.75"/>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c r="A1" s="1175"/>
      <c r="C1" s="1175"/>
      <c r="D1" s="1175"/>
      <c r="E1" s="1175"/>
      <c r="F1" s="1177"/>
      <c r="G1" s="1177"/>
      <c r="H1" s="1175"/>
      <c r="I1" s="1175"/>
      <c r="J1" s="1175"/>
      <c r="K1" s="1175"/>
      <c r="L1" s="1178"/>
      <c r="M1" s="1179"/>
    </row>
    <row r="2" spans="1:29" ht="13.5" customHeight="1">
      <c r="A2" s="2461" t="s">
        <v>1191</v>
      </c>
      <c r="B2" s="2461"/>
      <c r="C2" s="2461"/>
      <c r="D2" s="2461"/>
      <c r="E2" s="2461"/>
      <c r="F2" s="2461"/>
      <c r="G2" s="2461"/>
      <c r="H2" s="2461"/>
      <c r="I2" s="2461"/>
      <c r="J2" s="2461"/>
      <c r="K2" s="2461"/>
      <c r="L2" s="2461"/>
    </row>
    <row r="3" spans="1:29" ht="13.5" customHeight="1">
      <c r="A3" s="2447" t="s">
        <v>1190</v>
      </c>
      <c r="B3" s="2447"/>
      <c r="C3" s="2447"/>
      <c r="D3" s="2447"/>
      <c r="E3" s="2447"/>
      <c r="F3" s="2447"/>
      <c r="G3" s="2447"/>
      <c r="H3" s="2447"/>
      <c r="I3" s="2447"/>
      <c r="J3" s="2447"/>
      <c r="K3" s="2447"/>
      <c r="L3" s="2447"/>
    </row>
    <row r="4" spans="1:29" ht="13.5" customHeight="1">
      <c r="A4" s="2461" t="s">
        <v>1986</v>
      </c>
      <c r="B4" s="2478"/>
      <c r="C4" s="2478"/>
      <c r="D4" s="2478"/>
      <c r="E4" s="2478"/>
      <c r="F4" s="2478"/>
      <c r="G4" s="2478"/>
      <c r="H4" s="2478"/>
      <c r="I4" s="2478"/>
      <c r="J4" s="2478"/>
      <c r="K4" s="2478"/>
      <c r="L4" s="2478"/>
    </row>
    <row r="5" spans="1:29" ht="29.85" customHeight="1">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7" customHeight="1">
      <c r="A7" s="2441" t="str">
        <f>COVER!A17</f>
        <v>East Moline SD 37</v>
      </c>
      <c r="B7" s="2442"/>
      <c r="C7" s="2442"/>
      <c r="D7" s="2479"/>
      <c r="E7" s="2480">
        <f>COVER!A13</f>
        <v>49081037002</v>
      </c>
      <c r="F7" s="2481"/>
      <c r="G7" s="2448" t="str">
        <f>COVER!T23</f>
        <v>066-004023</v>
      </c>
      <c r="H7" s="2449"/>
      <c r="I7" s="2449"/>
      <c r="J7" s="2449"/>
      <c r="K7" s="2449"/>
      <c r="L7" s="2450"/>
    </row>
    <row r="8" spans="1:29" ht="13.5" customHeight="1">
      <c r="A8" s="1184" t="s">
        <v>1517</v>
      </c>
      <c r="B8" s="1185"/>
      <c r="C8" s="1186"/>
      <c r="D8" s="1186"/>
      <c r="E8" s="1191"/>
      <c r="F8" s="1190"/>
      <c r="G8" s="1192" t="s">
        <v>1186</v>
      </c>
      <c r="H8" s="1193"/>
      <c r="I8" s="1193"/>
      <c r="J8" s="1193"/>
      <c r="K8" s="1193"/>
      <c r="L8" s="1194"/>
    </row>
    <row r="9" spans="1:29" ht="13.5" customHeight="1">
      <c r="A9" s="2451"/>
      <c r="B9" s="2452"/>
      <c r="C9" s="2452"/>
      <c r="D9" s="2452"/>
      <c r="E9" s="2452"/>
      <c r="F9" s="2453"/>
      <c r="G9" s="2454" t="str">
        <f>COVER!T13</f>
        <v>Wipfli LLP</v>
      </c>
      <c r="H9" s="2455"/>
      <c r="I9" s="2455"/>
      <c r="J9" s="2455"/>
      <c r="K9" s="2455"/>
      <c r="L9" s="2456"/>
    </row>
    <row r="10" spans="1:29" ht="13.5" customHeight="1">
      <c r="A10" s="2438" t="str">
        <f>COVER!A38</f>
        <v>Kristin Humphries</v>
      </c>
      <c r="B10" s="2439"/>
      <c r="C10" s="2439"/>
      <c r="D10" s="2439"/>
      <c r="E10" s="2439"/>
      <c r="F10" s="2440"/>
      <c r="G10" s="2454" t="str">
        <f>COVER!T17</f>
        <v>403 East 3rd Street</v>
      </c>
      <c r="H10" s="2467"/>
      <c r="I10" s="2467"/>
      <c r="J10" s="2467"/>
      <c r="K10" s="2467"/>
      <c r="L10" s="2468"/>
    </row>
    <row r="11" spans="1:29" ht="13.5" customHeight="1">
      <c r="A11" s="1184" t="s">
        <v>1519</v>
      </c>
      <c r="B11" s="1185"/>
      <c r="C11" s="1186"/>
      <c r="D11" s="1191"/>
      <c r="E11" s="1186"/>
      <c r="F11" s="1190"/>
      <c r="G11" s="2454" t="str">
        <f>COVER!T19</f>
        <v>Sterling</v>
      </c>
      <c r="H11" s="2467"/>
      <c r="I11" s="2467"/>
      <c r="J11" s="2467"/>
      <c r="K11" s="2467"/>
      <c r="L11" s="2468"/>
    </row>
    <row r="12" spans="1:29" ht="13.5" customHeight="1">
      <c r="A12" s="2472" t="s">
        <v>1518</v>
      </c>
      <c r="B12" s="2473"/>
      <c r="C12" s="2473"/>
      <c r="D12" s="2473"/>
      <c r="E12" s="2473"/>
      <c r="F12" s="2474"/>
      <c r="G12" s="2469"/>
      <c r="H12" s="2470"/>
      <c r="I12" s="2470"/>
      <c r="J12" s="2470"/>
      <c r="K12" s="2470"/>
      <c r="L12" s="2471"/>
    </row>
    <row r="13" spans="1:29" ht="13.5" customHeight="1">
      <c r="A13" s="2454"/>
      <c r="B13" s="2467"/>
      <c r="C13" s="2467"/>
      <c r="D13" s="2467"/>
      <c r="E13" s="2467"/>
      <c r="F13" s="2468"/>
      <c r="G13" s="2462" t="s">
        <v>1520</v>
      </c>
      <c r="H13" s="2463"/>
      <c r="I13" s="2475" t="str">
        <f>COVER!T25</f>
        <v>mschueler@wipfli.com</v>
      </c>
      <c r="J13" s="2476"/>
      <c r="K13" s="2476"/>
      <c r="L13" s="2477"/>
    </row>
    <row r="14" spans="1:29" ht="13.5" customHeight="1">
      <c r="A14" s="2454" t="str">
        <f>COVER!A19</f>
        <v>3451 Morton Drive</v>
      </c>
      <c r="B14" s="2467"/>
      <c r="C14" s="2467"/>
      <c r="D14" s="2467"/>
      <c r="E14" s="2467"/>
      <c r="F14" s="2468"/>
      <c r="G14" s="1195" t="s">
        <v>1185</v>
      </c>
      <c r="H14" s="1193"/>
      <c r="I14" s="1193"/>
      <c r="J14" s="1193"/>
      <c r="K14" s="1193"/>
      <c r="L14" s="1194"/>
    </row>
    <row r="15" spans="1:29" ht="13.5" customHeight="1">
      <c r="A15" s="2454" t="str">
        <f>COVER!A21</f>
        <v>East Moline</v>
      </c>
      <c r="B15" s="2467"/>
      <c r="C15" s="2467"/>
      <c r="D15" s="2467"/>
      <c r="E15" s="2467"/>
      <c r="F15" s="2468"/>
      <c r="G15" s="2464" t="str">
        <f>COVER!T15</f>
        <v>Matthew Schueler</v>
      </c>
      <c r="H15" s="2465"/>
      <c r="I15" s="2465"/>
      <c r="J15" s="2465"/>
      <c r="K15" s="2465"/>
      <c r="L15" s="2466"/>
    </row>
    <row r="16" spans="1:29" ht="12.4" customHeight="1">
      <c r="A16" s="2444">
        <f>COVER!A25</f>
        <v>61244</v>
      </c>
      <c r="B16" s="2445"/>
      <c r="C16" s="2445"/>
      <c r="D16" s="2445"/>
      <c r="E16" s="2445"/>
      <c r="F16" s="2446"/>
      <c r="G16" s="2457"/>
      <c r="H16" s="2458"/>
      <c r="I16" s="2458"/>
      <c r="J16" s="2458"/>
      <c r="K16" s="2458"/>
      <c r="L16" s="2459"/>
    </row>
    <row r="17" spans="1:13" ht="12.4" customHeight="1">
      <c r="A17" s="2460"/>
      <c r="B17" s="2445"/>
      <c r="C17" s="2445"/>
      <c r="D17" s="2445"/>
      <c r="E17" s="2445"/>
      <c r="F17" s="2446"/>
      <c r="G17" s="1195" t="s">
        <v>1184</v>
      </c>
      <c r="H17" s="1193"/>
      <c r="I17" s="1193"/>
      <c r="J17" s="1193"/>
      <c r="K17" s="1197" t="s">
        <v>1183</v>
      </c>
      <c r="L17" s="1190"/>
      <c r="M17" s="1183"/>
    </row>
    <row r="18" spans="1:13" ht="12.4" customHeight="1">
      <c r="A18" s="2438"/>
      <c r="B18" s="2439"/>
      <c r="C18" s="2439"/>
      <c r="D18" s="2439"/>
      <c r="E18" s="2439"/>
      <c r="F18" s="2440"/>
      <c r="G18" s="2441" t="str">
        <f>COVER!T21</f>
        <v>815-626-1277</v>
      </c>
      <c r="H18" s="2442"/>
      <c r="I18" s="2442"/>
      <c r="J18" s="2442"/>
      <c r="K18" s="2441" t="str">
        <f>COVER!X21</f>
        <v>815-626-9118</v>
      </c>
      <c r="L18" s="2443"/>
    </row>
    <row r="19" spans="1:13" ht="12.4" customHeight="1">
      <c r="A19" s="1198"/>
      <c r="C19" s="1198"/>
      <c r="D19" s="1198"/>
      <c r="E19" s="1198"/>
      <c r="F19" s="1198"/>
      <c r="G19" s="1198"/>
      <c r="H19" s="1198"/>
      <c r="I19" s="1198"/>
      <c r="J19" s="1198"/>
      <c r="K19" s="1198"/>
      <c r="L19" s="1198"/>
    </row>
    <row r="20" spans="1:13" ht="12.4" customHeight="1">
      <c r="A20" s="1198"/>
      <c r="C20" s="1198"/>
      <c r="D20" s="1198"/>
      <c r="E20" s="1198"/>
      <c r="F20" s="1198"/>
      <c r="G20" s="1198"/>
      <c r="H20" s="1198"/>
      <c r="I20" s="1198"/>
      <c r="J20" s="1198" t="s">
        <v>1169</v>
      </c>
      <c r="K20" s="1176" t="s">
        <v>1169</v>
      </c>
    </row>
    <row r="21" spans="1:13" ht="12.4" customHeight="1">
      <c r="A21" s="1199" t="s">
        <v>1698</v>
      </c>
    </row>
    <row r="22" spans="1:13" ht="12.4" customHeight="1">
      <c r="A22" s="1200"/>
    </row>
    <row r="23" spans="1:13" ht="12.4" customHeight="1">
      <c r="A23" s="1200"/>
      <c r="B23" s="1201" t="s">
        <v>2069</v>
      </c>
      <c r="C23" s="1202" t="s">
        <v>1182</v>
      </c>
    </row>
    <row r="24" spans="1:13" ht="10.35" customHeight="1">
      <c r="A24" s="1200"/>
      <c r="C24" s="1202" t="s">
        <v>1181</v>
      </c>
    </row>
    <row r="25" spans="1:13" ht="9.4" customHeight="1">
      <c r="B25" s="1203" t="s">
        <v>1169</v>
      </c>
      <c r="C25" s="1204"/>
    </row>
    <row r="26" spans="1:13" s="1198" customFormat="1" ht="12.4" customHeight="1">
      <c r="B26" s="1201" t="s">
        <v>2069</v>
      </c>
      <c r="C26" s="1202" t="s">
        <v>1699</v>
      </c>
    </row>
    <row r="27" spans="1:13" s="1198" customFormat="1" ht="9.4" customHeight="1">
      <c r="B27" s="1203"/>
      <c r="C27" s="1202"/>
    </row>
    <row r="28" spans="1:13" s="1198" customFormat="1" ht="12.4" customHeight="1">
      <c r="A28" s="1205"/>
      <c r="B28" s="1201" t="s">
        <v>2069</v>
      </c>
      <c r="C28" s="1202" t="s">
        <v>1700</v>
      </c>
    </row>
    <row r="29" spans="1:13" s="1198" customFormat="1" ht="9.4" customHeight="1">
      <c r="A29" s="1205"/>
      <c r="B29" s="1203"/>
      <c r="C29" s="1202"/>
    </row>
    <row r="30" spans="1:13" s="1198" customFormat="1" ht="12.4" customHeight="1">
      <c r="B30" s="1201" t="s">
        <v>2069</v>
      </c>
      <c r="C30" s="1202" t="s">
        <v>1562</v>
      </c>
      <c r="D30" s="1196"/>
      <c r="E30" s="1196"/>
    </row>
    <row r="31" spans="1:13" s="1198" customFormat="1" ht="9.4" customHeight="1">
      <c r="B31" s="1203"/>
      <c r="C31" s="1202"/>
      <c r="D31" s="1196"/>
      <c r="E31" s="1196"/>
    </row>
    <row r="32" spans="1:13" s="1198" customFormat="1" ht="12.4" customHeight="1">
      <c r="B32" s="1201" t="s">
        <v>2069</v>
      </c>
      <c r="C32" s="1202" t="s">
        <v>1563</v>
      </c>
      <c r="D32" s="1196"/>
      <c r="E32" s="1196"/>
    </row>
    <row r="33" spans="1:8" s="1198" customFormat="1" ht="10.9" customHeight="1">
      <c r="B33" s="1203"/>
      <c r="C33" s="1206" t="s">
        <v>1701</v>
      </c>
      <c r="D33" s="1196"/>
      <c r="E33" s="1196"/>
    </row>
    <row r="34" spans="1:8" ht="9.4" customHeight="1">
      <c r="B34" s="1203"/>
      <c r="C34" s="1206"/>
    </row>
    <row r="35" spans="1:8" s="1198" customFormat="1" ht="13.5" customHeight="1">
      <c r="B35" s="1201" t="s">
        <v>2069</v>
      </c>
      <c r="C35" s="1202" t="s">
        <v>1564</v>
      </c>
    </row>
    <row r="36" spans="1:8" s="1198" customFormat="1" ht="10.9" customHeight="1">
      <c r="B36" s="1203"/>
      <c r="C36" s="1206" t="s">
        <v>1565</v>
      </c>
    </row>
    <row r="37" spans="1:8" ht="9.4" customHeight="1">
      <c r="B37" s="1203"/>
      <c r="C37" s="1206"/>
    </row>
    <row r="38" spans="1:8" s="1198" customFormat="1" ht="12.4" customHeight="1">
      <c r="B38" s="1201" t="s">
        <v>2069</v>
      </c>
      <c r="C38" s="1202" t="s">
        <v>1566</v>
      </c>
    </row>
    <row r="39" spans="1:8" ht="9.4" customHeight="1">
      <c r="B39" s="1203"/>
      <c r="C39" s="1206"/>
    </row>
    <row r="40" spans="1:8" s="1198" customFormat="1" ht="13.5" customHeight="1">
      <c r="B40" s="1201" t="s">
        <v>2069</v>
      </c>
      <c r="C40" s="1202" t="s">
        <v>1567</v>
      </c>
    </row>
    <row r="41" spans="1:8" ht="9.4" customHeight="1">
      <c r="A41" s="1207"/>
      <c r="B41" s="1203"/>
      <c r="C41" s="1206"/>
    </row>
    <row r="42" spans="1:8" s="1198" customFormat="1" ht="13.5" customHeight="1">
      <c r="B42" s="1201" t="s">
        <v>2069</v>
      </c>
      <c r="C42" s="1202" t="s">
        <v>1833</v>
      </c>
      <c r="D42" s="1196"/>
      <c r="E42" s="1196"/>
      <c r="F42" s="1196"/>
      <c r="G42" s="1196"/>
      <c r="H42" s="1196"/>
    </row>
    <row r="43" spans="1:8" s="1198" customFormat="1" ht="13.15" customHeight="1">
      <c r="B43" s="1203"/>
      <c r="C43" s="1193"/>
      <c r="D43" s="1196"/>
      <c r="E43" s="1196"/>
      <c r="F43" s="1196"/>
      <c r="G43" s="1196"/>
      <c r="H43" s="1196"/>
    </row>
    <row r="44" spans="1:8" s="1198" customFormat="1" ht="13.5" customHeight="1">
      <c r="A44" s="1199" t="s">
        <v>1180</v>
      </c>
      <c r="B44" s="1203"/>
      <c r="D44" s="1196"/>
      <c r="E44" s="1196"/>
      <c r="F44" s="1196"/>
      <c r="G44" s="1196"/>
      <c r="H44" s="1196"/>
    </row>
    <row r="45" spans="1:8" ht="12" customHeight="1">
      <c r="B45" s="1203"/>
      <c r="D45" s="1208"/>
      <c r="E45" s="1208"/>
      <c r="F45" s="1208"/>
      <c r="G45" s="1208"/>
      <c r="H45" s="1208"/>
    </row>
    <row r="46" spans="1:8" s="1198" customFormat="1" ht="12.4" customHeight="1">
      <c r="B46" s="1201"/>
      <c r="C46" s="1209" t="s">
        <v>1568</v>
      </c>
      <c r="D46" s="1196"/>
      <c r="E46" s="1196"/>
      <c r="F46" s="1196"/>
      <c r="G46" s="1196"/>
      <c r="H46" s="1196"/>
    </row>
    <row r="47" spans="1:8" ht="9.4" customHeight="1"/>
    <row r="48" spans="1:8" ht="12.4" customHeight="1">
      <c r="B48" s="1936"/>
      <c r="C48" s="1210" t="s">
        <v>1569</v>
      </c>
    </row>
    <row r="49" spans="1:12" ht="9.4" customHeight="1"/>
    <row r="50" spans="1:12" ht="6" customHeight="1">
      <c r="C50" s="1210"/>
    </row>
    <row r="51" spans="1:12" ht="12.4" customHeight="1">
      <c r="A51" s="1208"/>
    </row>
    <row r="52" spans="1:12" ht="12.4" customHeight="1"/>
    <row r="53" spans="1:12" ht="12.4" customHeight="1"/>
    <row r="54" spans="1:12" ht="12.4" customHeight="1"/>
    <row r="55" spans="1:12" ht="12.4" customHeight="1">
      <c r="A55" s="1211"/>
    </row>
    <row r="58" spans="1:12" ht="13.15" customHeight="1"/>
    <row r="59" spans="1:12" ht="36" customHeight="1">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90" zoomScale="125" zoomScaleNormal="125" workbookViewId="0">
      <selection activeCell="B49" sqref="B49"/>
    </sheetView>
  </sheetViews>
  <sheetFormatPr defaultColWidth="10.7109375" defaultRowHeight="11.25"/>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c r="A1" s="2482" t="str">
        <f>'Single Audit Cover'!A7</f>
        <v>East Moline SD 37</v>
      </c>
      <c r="B1" s="2478"/>
      <c r="C1" s="2478"/>
      <c r="D1" s="2478"/>
    </row>
    <row r="2" spans="1:11" s="1212" customFormat="1" ht="12.75">
      <c r="A2" s="2483">
        <f>'Single Audit Cover'!E7</f>
        <v>49081037002</v>
      </c>
      <c r="B2" s="2484"/>
      <c r="C2" s="2484"/>
      <c r="D2" s="2484"/>
    </row>
    <row r="3" spans="1:11" s="1212" customFormat="1" ht="12.75">
      <c r="A3" s="2482" t="s">
        <v>1513</v>
      </c>
      <c r="B3" s="2478"/>
      <c r="C3" s="2478"/>
      <c r="D3" s="2478"/>
    </row>
    <row r="4" spans="1:11" s="1212" customFormat="1" ht="4.5" customHeight="1">
      <c r="A4" s="1213"/>
      <c r="B4" s="1214"/>
      <c r="C4" s="1214"/>
      <c r="D4" s="1214"/>
    </row>
    <row r="5" spans="1:11">
      <c r="B5" s="1216" t="s">
        <v>1514</v>
      </c>
      <c r="C5" s="1217"/>
      <c r="D5" s="1218"/>
    </row>
    <row r="6" spans="1:11">
      <c r="B6" s="1216" t="s">
        <v>1225</v>
      </c>
      <c r="C6" s="1217"/>
      <c r="D6" s="1218"/>
    </row>
    <row r="7" spans="1:11">
      <c r="B7" s="1216" t="s">
        <v>1515</v>
      </c>
      <c r="C7" s="1217"/>
      <c r="D7" s="1218"/>
    </row>
    <row r="8" spans="1:11" ht="4.5" customHeight="1">
      <c r="B8" s="1216"/>
      <c r="C8" s="1217"/>
      <c r="D8" s="1218"/>
    </row>
    <row r="9" spans="1:11">
      <c r="B9" s="1220" t="s">
        <v>1224</v>
      </c>
      <c r="C9" s="1221"/>
      <c r="D9" s="1218"/>
    </row>
    <row r="10" spans="1:11" ht="4.5" customHeight="1">
      <c r="B10" s="1220"/>
      <c r="C10" s="1221"/>
      <c r="D10" s="1218"/>
    </row>
    <row r="11" spans="1:11">
      <c r="B11" s="1222" t="s">
        <v>2069</v>
      </c>
      <c r="C11" s="1223">
        <v>1</v>
      </c>
      <c r="D11" s="1224" t="s">
        <v>1702</v>
      </c>
      <c r="E11" s="1225"/>
      <c r="F11" s="1225"/>
      <c r="G11" s="1225"/>
      <c r="H11" s="1225"/>
      <c r="I11" s="1225"/>
      <c r="J11" s="1225"/>
      <c r="K11" s="1225"/>
    </row>
    <row r="12" spans="1:11" ht="3" customHeight="1">
      <c r="B12" s="1226"/>
      <c r="C12" s="1223"/>
      <c r="D12" s="1224"/>
      <c r="E12" s="1225"/>
      <c r="F12" s="1225"/>
      <c r="G12" s="1225"/>
      <c r="H12" s="1225"/>
      <c r="I12" s="1225"/>
      <c r="J12" s="1225"/>
      <c r="K12" s="1225"/>
    </row>
    <row r="13" spans="1:11">
      <c r="B13" s="1222" t="s">
        <v>2069</v>
      </c>
      <c r="C13" s="1223">
        <f>C11+1</f>
        <v>2</v>
      </c>
      <c r="D13" s="1227" t="s">
        <v>1703</v>
      </c>
      <c r="E13" s="1225"/>
      <c r="F13" s="1225"/>
      <c r="G13" s="1225"/>
      <c r="H13" s="1225"/>
      <c r="I13" s="1225"/>
      <c r="J13" s="1225"/>
      <c r="K13" s="1225"/>
    </row>
    <row r="14" spans="1:11" ht="3" customHeight="1">
      <c r="B14" s="1226"/>
      <c r="C14" s="1223"/>
      <c r="D14" s="1227"/>
      <c r="E14" s="1225"/>
      <c r="F14" s="1225"/>
      <c r="G14" s="1225"/>
      <c r="H14" s="1225"/>
      <c r="I14" s="1225"/>
      <c r="J14" s="1225"/>
      <c r="K14" s="1225"/>
    </row>
    <row r="15" spans="1:11">
      <c r="B15" s="1222" t="s">
        <v>2069</v>
      </c>
      <c r="C15" s="1223">
        <f>C13+1</f>
        <v>3</v>
      </c>
      <c r="D15" s="1224" t="s">
        <v>1704</v>
      </c>
      <c r="E15" s="1225"/>
      <c r="F15" s="1225"/>
      <c r="G15" s="1225"/>
      <c r="H15" s="1225"/>
      <c r="I15" s="1225"/>
      <c r="J15" s="1225"/>
      <c r="K15" s="1225"/>
    </row>
    <row r="16" spans="1:11" ht="10.5" customHeight="1">
      <c r="B16" s="1228"/>
      <c r="D16" s="1227" t="s">
        <v>1223</v>
      </c>
      <c r="E16" s="1225"/>
      <c r="F16" s="1225"/>
      <c r="G16" s="1225"/>
      <c r="H16" s="1225"/>
      <c r="I16" s="1225"/>
      <c r="J16" s="1225"/>
      <c r="K16" s="1225"/>
    </row>
    <row r="17" spans="1:11" ht="3" customHeight="1">
      <c r="B17" s="1228"/>
      <c r="D17" s="1227"/>
      <c r="E17" s="1225"/>
      <c r="F17" s="1225"/>
      <c r="G17" s="1225"/>
      <c r="H17" s="1225"/>
      <c r="I17" s="1225"/>
      <c r="J17" s="1225"/>
      <c r="K17" s="1225"/>
    </row>
    <row r="18" spans="1:11">
      <c r="B18" s="1222" t="s">
        <v>2069</v>
      </c>
      <c r="C18" s="1223">
        <f>C15+1</f>
        <v>4</v>
      </c>
      <c r="D18" s="1230" t="s">
        <v>1705</v>
      </c>
      <c r="E18" s="1225"/>
      <c r="F18" s="1225"/>
      <c r="G18" s="1225"/>
      <c r="H18" s="1225"/>
      <c r="I18" s="1225"/>
      <c r="J18" s="1225"/>
      <c r="K18" s="1225"/>
    </row>
    <row r="19" spans="1:11" ht="9.75" customHeight="1">
      <c r="A19" s="1219"/>
      <c r="B19" s="1228"/>
      <c r="D19" s="1227" t="s">
        <v>1222</v>
      </c>
      <c r="E19" s="1225"/>
      <c r="F19" s="1225"/>
      <c r="G19" s="1225"/>
      <c r="H19" s="1225"/>
      <c r="I19" s="1225"/>
      <c r="J19" s="1225"/>
      <c r="K19" s="1225"/>
    </row>
    <row r="20" spans="1:11" ht="3" customHeight="1">
      <c r="A20" s="1219"/>
      <c r="B20" s="1228"/>
      <c r="D20" s="1227"/>
      <c r="E20" s="1225"/>
      <c r="F20" s="1225"/>
      <c r="G20" s="1225"/>
      <c r="H20" s="1225"/>
      <c r="I20" s="1225"/>
      <c r="J20" s="1225"/>
      <c r="K20" s="1225"/>
    </row>
    <row r="21" spans="1:11">
      <c r="A21" s="1219"/>
      <c r="B21" s="1222" t="s">
        <v>2069</v>
      </c>
      <c r="C21" s="1223">
        <f>C18+1</f>
        <v>5</v>
      </c>
      <c r="D21" s="1227" t="s">
        <v>1221</v>
      </c>
      <c r="E21" s="1225"/>
      <c r="F21" s="1225"/>
      <c r="G21" s="1225"/>
      <c r="H21" s="1225"/>
      <c r="I21" s="1225"/>
      <c r="J21" s="1225"/>
      <c r="K21" s="1225"/>
    </row>
    <row r="22" spans="1:11" ht="10.5" customHeight="1">
      <c r="A22" s="1219"/>
      <c r="B22" s="1228"/>
      <c r="D22" s="1227" t="s">
        <v>1220</v>
      </c>
      <c r="E22" s="1225"/>
      <c r="F22" s="1225"/>
      <c r="G22" s="1225"/>
      <c r="H22" s="1225"/>
      <c r="I22" s="1225"/>
      <c r="J22" s="1225"/>
      <c r="K22" s="1225"/>
    </row>
    <row r="23" spans="1:11" ht="3" customHeight="1">
      <c r="A23" s="1219"/>
      <c r="B23" s="1228"/>
      <c r="D23" s="1227"/>
      <c r="E23" s="1225"/>
      <c r="F23" s="1225"/>
      <c r="G23" s="1225"/>
      <c r="H23" s="1225"/>
      <c r="I23" s="1225"/>
      <c r="J23" s="1225"/>
      <c r="K23" s="1225"/>
    </row>
    <row r="24" spans="1:11">
      <c r="A24" s="1219"/>
      <c r="B24" s="1222" t="s">
        <v>2069</v>
      </c>
      <c r="C24" s="1223">
        <f>C21+1</f>
        <v>6</v>
      </c>
      <c r="D24" s="1231" t="s">
        <v>1726</v>
      </c>
      <c r="E24" s="1225"/>
      <c r="F24" s="1225"/>
      <c r="G24" s="1225"/>
      <c r="H24" s="1225"/>
      <c r="I24" s="1225"/>
      <c r="J24" s="1225"/>
      <c r="K24" s="1225"/>
    </row>
    <row r="25" spans="1:11">
      <c r="A25" s="1219"/>
      <c r="B25" s="1228"/>
      <c r="D25" s="1227" t="s">
        <v>1706</v>
      </c>
      <c r="E25" s="1225"/>
      <c r="F25" s="1225"/>
      <c r="G25" s="1225"/>
      <c r="H25" s="1225"/>
      <c r="I25" s="1225"/>
      <c r="J25" s="1225"/>
      <c r="K25" s="1225"/>
    </row>
    <row r="26" spans="1:11">
      <c r="A26" s="1219"/>
      <c r="B26" s="1228"/>
      <c r="D26" s="1232" t="s">
        <v>1707</v>
      </c>
      <c r="E26" s="1225"/>
      <c r="F26" s="1225"/>
      <c r="G26" s="1225"/>
      <c r="H26" s="1225"/>
      <c r="I26" s="1225"/>
      <c r="J26" s="1225"/>
      <c r="K26" s="1225"/>
    </row>
    <row r="27" spans="1:11" ht="3" customHeight="1">
      <c r="A27" s="1219"/>
      <c r="B27" s="1228"/>
      <c r="D27" s="1232"/>
      <c r="E27" s="1225"/>
      <c r="F27" s="1225"/>
      <c r="G27" s="1225"/>
      <c r="H27" s="1225"/>
      <c r="I27" s="1225"/>
      <c r="J27" s="1225"/>
      <c r="K27" s="1225"/>
    </row>
    <row r="28" spans="1:11">
      <c r="A28" s="1219"/>
      <c r="B28" s="1222" t="s">
        <v>2069</v>
      </c>
      <c r="C28" s="1229">
        <f>C24+1</f>
        <v>7</v>
      </c>
      <c r="D28" s="1232" t="s">
        <v>1570</v>
      </c>
      <c r="E28" s="1225"/>
      <c r="F28" s="1225"/>
      <c r="G28" s="1225"/>
      <c r="H28" s="1225"/>
      <c r="I28" s="1225"/>
      <c r="J28" s="1225"/>
      <c r="K28" s="1225"/>
    </row>
    <row r="29" spans="1:11" ht="10.5" customHeight="1">
      <c r="A29" s="1219"/>
      <c r="D29" s="1233" t="s">
        <v>1571</v>
      </c>
    </row>
    <row r="30" spans="1:11" ht="6" customHeight="1">
      <c r="A30" s="1219"/>
      <c r="D30" s="1218"/>
    </row>
    <row r="31" spans="1:11">
      <c r="A31" s="1219"/>
      <c r="B31" s="1220" t="s">
        <v>1219</v>
      </c>
      <c r="C31" s="1221"/>
      <c r="D31" s="1218"/>
    </row>
    <row r="32" spans="1:11" ht="4.5" customHeight="1">
      <c r="A32" s="1219"/>
      <c r="B32" s="1220"/>
      <c r="C32" s="1221"/>
      <c r="D32" s="1218"/>
    </row>
    <row r="33" spans="1:5">
      <c r="A33" s="1219"/>
      <c r="B33" s="1222" t="s">
        <v>2069</v>
      </c>
      <c r="C33" s="1223">
        <v>8</v>
      </c>
      <c r="D33" s="1234" t="s">
        <v>1218</v>
      </c>
    </row>
    <row r="34" spans="1:5" ht="10.5" customHeight="1">
      <c r="A34" s="1219"/>
      <c r="B34" s="1235"/>
      <c r="C34" s="1223"/>
      <c r="D34" s="1234" t="s">
        <v>1572</v>
      </c>
    </row>
    <row r="35" spans="1:5" ht="3" customHeight="1">
      <c r="A35" s="1219"/>
      <c r="B35" s="1228"/>
      <c r="D35" s="1218"/>
    </row>
    <row r="36" spans="1:5">
      <c r="A36" s="1219"/>
      <c r="B36" s="1222" t="s">
        <v>2069</v>
      </c>
      <c r="C36" s="1223">
        <f>C33+1</f>
        <v>9</v>
      </c>
      <c r="D36" s="1234" t="s">
        <v>1217</v>
      </c>
    </row>
    <row r="37" spans="1:5" ht="10.5" customHeight="1">
      <c r="A37" s="1219"/>
      <c r="B37" s="1228"/>
      <c r="D37" s="1234" t="s">
        <v>1572</v>
      </c>
    </row>
    <row r="38" spans="1:5" ht="3" customHeight="1">
      <c r="A38" s="1219"/>
      <c r="B38" s="1236"/>
      <c r="C38" s="1237"/>
      <c r="D38" s="1218"/>
    </row>
    <row r="39" spans="1:5">
      <c r="A39" s="1219"/>
      <c r="B39" s="1238" t="s">
        <v>2069</v>
      </c>
      <c r="C39" s="1229">
        <f>C36+1</f>
        <v>10</v>
      </c>
      <c r="D39" s="1218" t="s">
        <v>1216</v>
      </c>
    </row>
    <row r="40" spans="1:5" ht="10.5" customHeight="1">
      <c r="A40" s="1219"/>
      <c r="B40" s="1239"/>
      <c r="C40" s="1237"/>
      <c r="D40" s="1218" t="s">
        <v>1573</v>
      </c>
    </row>
    <row r="41" spans="1:5" ht="3" customHeight="1">
      <c r="A41" s="1219"/>
      <c r="B41" s="1236"/>
      <c r="C41" s="1237"/>
      <c r="D41" s="1218"/>
    </row>
    <row r="42" spans="1:5" ht="10.5" customHeight="1">
      <c r="A42" s="1219"/>
      <c r="B42" s="1238" t="s">
        <v>2069</v>
      </c>
      <c r="C42" s="1229">
        <v>11</v>
      </c>
      <c r="D42" s="1240" t="s">
        <v>1574</v>
      </c>
      <c r="E42" s="312"/>
    </row>
    <row r="43" spans="1:5" ht="3" customHeight="1">
      <c r="A43" s="1219"/>
      <c r="B43" s="1236"/>
      <c r="C43" s="1237"/>
      <c r="D43" s="1218"/>
    </row>
    <row r="44" spans="1:5">
      <c r="A44" s="1219"/>
      <c r="B44" s="1222" t="s">
        <v>2069</v>
      </c>
      <c r="C44" s="1223">
        <f>C42+1</f>
        <v>12</v>
      </c>
      <c r="D44" s="1234" t="s">
        <v>1215</v>
      </c>
    </row>
    <row r="45" spans="1:5" ht="10.5" customHeight="1">
      <c r="A45" s="1219"/>
      <c r="B45" s="1235"/>
      <c r="C45" s="1223"/>
      <c r="D45" s="1234" t="s">
        <v>1214</v>
      </c>
    </row>
    <row r="46" spans="1:5" ht="10.5" customHeight="1">
      <c r="A46" s="1219"/>
      <c r="B46" s="1236"/>
      <c r="C46" s="1237"/>
      <c r="D46" s="1234" t="s">
        <v>1213</v>
      </c>
    </row>
    <row r="47" spans="1:5" ht="3" customHeight="1">
      <c r="A47" s="1219"/>
      <c r="B47" s="1236"/>
      <c r="C47" s="1237"/>
      <c r="D47" s="1234"/>
    </row>
    <row r="48" spans="1:5">
      <c r="A48" s="1219"/>
      <c r="B48" s="1222" t="s">
        <v>2069</v>
      </c>
      <c r="C48" s="1223">
        <f>C44+1</f>
        <v>13</v>
      </c>
      <c r="D48" s="1234" t="s">
        <v>1575</v>
      </c>
    </row>
    <row r="49" spans="1:4" ht="3" customHeight="1">
      <c r="A49" s="1219"/>
      <c r="B49" s="1226"/>
      <c r="C49" s="1223"/>
      <c r="D49" s="1234"/>
    </row>
    <row r="50" spans="1:4">
      <c r="A50" s="1219"/>
      <c r="B50" s="1222" t="s">
        <v>2069</v>
      </c>
      <c r="C50" s="1223">
        <f>C48+1</f>
        <v>14</v>
      </c>
      <c r="D50" s="1234" t="s">
        <v>1212</v>
      </c>
    </row>
    <row r="51" spans="1:4" ht="3" customHeight="1">
      <c r="A51" s="1219"/>
      <c r="B51" s="1226"/>
      <c r="C51" s="1223"/>
      <c r="D51" s="1234"/>
    </row>
    <row r="52" spans="1:4">
      <c r="A52" s="1219"/>
      <c r="B52" s="1222" t="s">
        <v>2069</v>
      </c>
      <c r="C52" s="1223">
        <f>C50+1</f>
        <v>15</v>
      </c>
      <c r="D52" s="1234" t="s">
        <v>1211</v>
      </c>
    </row>
    <row r="53" spans="1:4" ht="3" customHeight="1">
      <c r="A53" s="1219"/>
      <c r="B53" s="1226"/>
      <c r="C53" s="1223"/>
      <c r="D53" s="1234"/>
    </row>
    <row r="54" spans="1:4">
      <c r="A54" s="1219"/>
      <c r="B54" s="1222" t="s">
        <v>2069</v>
      </c>
      <c r="C54" s="1223">
        <f>C52+1</f>
        <v>16</v>
      </c>
      <c r="D54" s="1234" t="s">
        <v>1210</v>
      </c>
    </row>
    <row r="55" spans="1:4" ht="3" customHeight="1">
      <c r="A55" s="1219"/>
      <c r="B55" s="1226"/>
      <c r="C55" s="1223"/>
      <c r="D55" s="1234"/>
    </row>
    <row r="56" spans="1:4">
      <c r="A56" s="1219"/>
      <c r="B56" s="1222" t="s">
        <v>2069</v>
      </c>
      <c r="C56" s="1223">
        <f>C54+1</f>
        <v>17</v>
      </c>
      <c r="D56" s="1218" t="s">
        <v>1708</v>
      </c>
    </row>
    <row r="57" spans="1:4" ht="10.5" customHeight="1">
      <c r="A57" s="1219"/>
      <c r="D57" s="1234" t="s">
        <v>1709</v>
      </c>
    </row>
    <row r="58" spans="1:4">
      <c r="A58" s="1219"/>
      <c r="C58" s="1241" t="s">
        <v>2069</v>
      </c>
      <c r="D58" s="1234" t="s">
        <v>1710</v>
      </c>
    </row>
    <row r="59" spans="1:4" ht="10.5" customHeight="1">
      <c r="A59" s="1219"/>
      <c r="D59" s="1218" t="s">
        <v>1209</v>
      </c>
    </row>
    <row r="60" spans="1:4" ht="10.5" customHeight="1">
      <c r="A60" s="1219"/>
      <c r="D60" s="1242" t="s">
        <v>1599</v>
      </c>
    </row>
    <row r="61" spans="1:4" ht="10.5" customHeight="1">
      <c r="A61" s="1219"/>
      <c r="C61" s="1241" t="s">
        <v>2069</v>
      </c>
      <c r="D61" s="1234" t="s">
        <v>1711</v>
      </c>
    </row>
    <row r="62" spans="1:4" ht="10.5" customHeight="1">
      <c r="A62" s="1219"/>
      <c r="D62" s="1243" t="s">
        <v>1208</v>
      </c>
    </row>
    <row r="63" spans="1:4" ht="10.5" customHeight="1">
      <c r="A63" s="1219"/>
      <c r="D63" s="1218" t="s">
        <v>1576</v>
      </c>
    </row>
    <row r="64" spans="1:4" ht="10.5" customHeight="1">
      <c r="A64" s="1219"/>
      <c r="D64" s="1242" t="s">
        <v>1598</v>
      </c>
    </row>
    <row r="65" spans="1:4">
      <c r="A65" s="1219"/>
      <c r="C65" s="1241" t="s">
        <v>2069</v>
      </c>
      <c r="D65" s="1234" t="s">
        <v>1712</v>
      </c>
    </row>
    <row r="66" spans="1:4" ht="10.5" customHeight="1">
      <c r="A66" s="1219"/>
      <c r="D66" s="1244" t="s">
        <v>1207</v>
      </c>
    </row>
    <row r="67" spans="1:4" ht="10.5" customHeight="1">
      <c r="A67" s="1219"/>
      <c r="D67" s="1218" t="s">
        <v>1577</v>
      </c>
    </row>
    <row r="68" spans="1:4" ht="10.5" customHeight="1">
      <c r="A68" s="1219"/>
      <c r="D68" s="1242" t="s">
        <v>1598</v>
      </c>
    </row>
    <row r="69" spans="1:4" ht="10.5" customHeight="1">
      <c r="A69" s="1219"/>
      <c r="C69" s="1241" t="s">
        <v>2069</v>
      </c>
      <c r="D69" s="1234" t="s">
        <v>1713</v>
      </c>
    </row>
    <row r="70" spans="1:4">
      <c r="A70" s="1219"/>
      <c r="D70" s="1243" t="s">
        <v>1206</v>
      </c>
    </row>
    <row r="71" spans="1:4" ht="3" customHeight="1">
      <c r="A71" s="1219"/>
      <c r="D71" s="1218"/>
    </row>
    <row r="72" spans="1:4">
      <c r="A72" s="1219"/>
      <c r="B72" s="1222" t="s">
        <v>2069</v>
      </c>
      <c r="C72" s="1223">
        <f>C56+1</f>
        <v>18</v>
      </c>
      <c r="D72" s="1244" t="s">
        <v>1714</v>
      </c>
    </row>
    <row r="73" spans="1:4" ht="3" customHeight="1">
      <c r="A73" s="1219"/>
      <c r="B73" s="1226"/>
      <c r="C73" s="1223"/>
      <c r="D73" s="1244"/>
    </row>
    <row r="74" spans="1:4">
      <c r="A74" s="1219"/>
      <c r="B74" s="1222" t="s">
        <v>2069</v>
      </c>
      <c r="C74" s="1223">
        <f>C72+1</f>
        <v>19</v>
      </c>
      <c r="D74" s="1234" t="s">
        <v>1205</v>
      </c>
    </row>
    <row r="75" spans="1:4" ht="3" customHeight="1">
      <c r="A75" s="1219"/>
      <c r="B75" s="1226"/>
      <c r="C75" s="1223"/>
      <c r="D75" s="1234"/>
    </row>
    <row r="76" spans="1:4">
      <c r="A76" s="1219"/>
      <c r="B76" s="1222" t="s">
        <v>2069</v>
      </c>
      <c r="C76" s="1223">
        <f>C74+1</f>
        <v>20</v>
      </c>
      <c r="D76" s="1245" t="s">
        <v>1715</v>
      </c>
    </row>
    <row r="77" spans="1:4" ht="3" customHeight="1">
      <c r="A77" s="1219"/>
      <c r="B77" s="1226"/>
      <c r="C77" s="1223"/>
      <c r="D77" s="1245"/>
    </row>
    <row r="78" spans="1:4">
      <c r="A78" s="1219"/>
      <c r="B78" s="1222" t="s">
        <v>2069</v>
      </c>
      <c r="C78" s="1223">
        <f>C76+1</f>
        <v>21</v>
      </c>
      <c r="D78" s="1218" t="s">
        <v>1716</v>
      </c>
    </row>
    <row r="79" spans="1:4" ht="3" customHeight="1">
      <c r="A79" s="1219"/>
      <c r="B79" s="1226"/>
      <c r="C79" s="1223"/>
      <c r="D79" s="1218"/>
    </row>
    <row r="80" spans="1:4">
      <c r="A80" s="1219"/>
      <c r="B80" s="1222" t="s">
        <v>2069</v>
      </c>
      <c r="C80" s="1223">
        <f>C78+1</f>
        <v>22</v>
      </c>
      <c r="D80" s="1246" t="s">
        <v>1717</v>
      </c>
    </row>
    <row r="81" spans="1:4" ht="3" customHeight="1">
      <c r="A81" s="1219"/>
      <c r="B81" s="1226"/>
      <c r="C81" s="1223"/>
      <c r="D81" s="1246"/>
    </row>
    <row r="82" spans="1:4">
      <c r="A82" s="1219"/>
      <c r="B82" s="1222" t="s">
        <v>2069</v>
      </c>
      <c r="C82" s="1223">
        <f>C80+1</f>
        <v>23</v>
      </c>
      <c r="D82" s="1245" t="s">
        <v>1718</v>
      </c>
    </row>
    <row r="83" spans="1:4" ht="10.5" customHeight="1">
      <c r="A83" s="1219"/>
      <c r="B83" s="1228"/>
      <c r="D83" s="1234" t="s">
        <v>1204</v>
      </c>
    </row>
    <row r="84" spans="1:4" ht="3" customHeight="1">
      <c r="A84" s="1219"/>
      <c r="B84" s="1228"/>
      <c r="D84" s="1234"/>
    </row>
    <row r="85" spans="1:4">
      <c r="A85" s="1219"/>
      <c r="B85" s="1222" t="s">
        <v>2069</v>
      </c>
      <c r="C85" s="1223">
        <f>C82+1</f>
        <v>24</v>
      </c>
      <c r="D85" s="1234" t="s">
        <v>1203</v>
      </c>
    </row>
    <row r="86" spans="1:4" ht="3" customHeight="1">
      <c r="A86" s="1219"/>
      <c r="B86" s="1226"/>
      <c r="C86" s="1223"/>
      <c r="D86" s="1234"/>
    </row>
    <row r="87" spans="1:4">
      <c r="A87" s="1219"/>
      <c r="B87" s="1222" t="s">
        <v>2069</v>
      </c>
      <c r="C87" s="1223">
        <f>C85+1</f>
        <v>25</v>
      </c>
      <c r="D87" s="1234" t="s">
        <v>1202</v>
      </c>
    </row>
    <row r="88" spans="1:4" ht="3" customHeight="1">
      <c r="A88" s="1219"/>
      <c r="B88" s="1226"/>
      <c r="C88" s="1223"/>
      <c r="D88" s="1234"/>
    </row>
    <row r="89" spans="1:4">
      <c r="A89" s="1219"/>
      <c r="B89" s="1222" t="s">
        <v>2069</v>
      </c>
      <c r="C89" s="1223">
        <f>C87+1</f>
        <v>26</v>
      </c>
      <c r="D89" s="1234" t="s">
        <v>1201</v>
      </c>
    </row>
    <row r="90" spans="1:4" ht="3" customHeight="1">
      <c r="A90" s="1219"/>
      <c r="B90" s="1226" t="s">
        <v>2069</v>
      </c>
      <c r="C90" s="1223"/>
      <c r="D90" s="1234"/>
    </row>
    <row r="91" spans="1:4">
      <c r="A91" s="1219"/>
      <c r="B91" s="1222" t="s">
        <v>2209</v>
      </c>
      <c r="C91" s="1223">
        <f>C89+1</f>
        <v>27</v>
      </c>
      <c r="D91" s="1234" t="s">
        <v>1719</v>
      </c>
    </row>
    <row r="92" spans="1:4">
      <c r="A92" s="1219"/>
      <c r="B92" s="1247"/>
      <c r="C92" s="1241" t="s">
        <v>2209</v>
      </c>
      <c r="D92" s="1234" t="s">
        <v>1200</v>
      </c>
    </row>
    <row r="93" spans="1:4" ht="4.5" customHeight="1">
      <c r="A93" s="1219"/>
      <c r="D93" s="1218"/>
    </row>
    <row r="94" spans="1:4">
      <c r="A94" s="1219"/>
      <c r="B94" s="1220" t="s">
        <v>1578</v>
      </c>
      <c r="C94" s="1221"/>
      <c r="D94" s="1218"/>
    </row>
    <row r="95" spans="1:4" ht="4.5" customHeight="1">
      <c r="A95" s="1219"/>
      <c r="B95" s="1220"/>
      <c r="C95" s="1221"/>
      <c r="D95" s="1218"/>
    </row>
    <row r="96" spans="1:4">
      <c r="A96" s="1219"/>
      <c r="B96" s="1222" t="s">
        <v>2069</v>
      </c>
      <c r="C96" s="1223">
        <f>C91+1</f>
        <v>28</v>
      </c>
      <c r="D96" s="1234" t="s">
        <v>1720</v>
      </c>
    </row>
    <row r="97" spans="1:4" ht="3" customHeight="1">
      <c r="A97" s="1219"/>
      <c r="B97" s="1226"/>
      <c r="C97" s="1223"/>
      <c r="D97" s="1234"/>
    </row>
    <row r="98" spans="1:4">
      <c r="A98" s="1219"/>
      <c r="B98" s="1222" t="s">
        <v>2069</v>
      </c>
      <c r="C98" s="1223">
        <f>C96+1</f>
        <v>29</v>
      </c>
      <c r="D98" s="1248" t="s">
        <v>1721</v>
      </c>
    </row>
    <row r="99" spans="1:4" ht="3" customHeight="1">
      <c r="A99" s="1219"/>
      <c r="B99" s="1226"/>
      <c r="C99" s="1223"/>
      <c r="D99" s="1248"/>
    </row>
    <row r="100" spans="1:4">
      <c r="A100" s="1219"/>
      <c r="B100" s="1222" t="s">
        <v>2069</v>
      </c>
      <c r="C100" s="1223">
        <f>C98+1</f>
        <v>30</v>
      </c>
      <c r="D100" s="1234" t="s">
        <v>1722</v>
      </c>
    </row>
    <row r="101" spans="1:4" ht="3" customHeight="1">
      <c r="A101" s="1219"/>
      <c r="B101" s="1226"/>
      <c r="C101" s="1223"/>
      <c r="D101" s="1249"/>
    </row>
    <row r="102" spans="1:4">
      <c r="A102" s="1219"/>
      <c r="B102" s="1222" t="s">
        <v>2069</v>
      </c>
      <c r="C102" s="1223">
        <f>C100+1</f>
        <v>31</v>
      </c>
      <c r="D102" s="1234" t="s">
        <v>1579</v>
      </c>
    </row>
    <row r="103" spans="1:4" ht="4.5" customHeight="1">
      <c r="A103" s="1219"/>
      <c r="B103" s="312"/>
      <c r="C103" s="1223"/>
      <c r="D103" s="1234"/>
    </row>
    <row r="104" spans="1:4" ht="14.1" customHeight="1">
      <c r="A104" s="1219"/>
      <c r="B104" s="1250" t="s">
        <v>1199</v>
      </c>
    </row>
    <row r="105" spans="1:4" ht="4.5" customHeight="1">
      <c r="A105" s="1219"/>
      <c r="B105" s="1250"/>
    </row>
    <row r="106" spans="1:4">
      <c r="A106" s="1219"/>
      <c r="B106" s="1222" t="s">
        <v>2069</v>
      </c>
      <c r="C106" s="1223">
        <f>C102+1</f>
        <v>32</v>
      </c>
      <c r="D106" s="1218" t="s">
        <v>1580</v>
      </c>
    </row>
    <row r="107" spans="1:4" ht="3" customHeight="1">
      <c r="A107" s="1219"/>
      <c r="B107" s="1226"/>
      <c r="C107" s="1223"/>
      <c r="D107" s="1218"/>
    </row>
    <row r="108" spans="1:4">
      <c r="A108" s="1219"/>
      <c r="B108" s="1222" t="s">
        <v>2069</v>
      </c>
      <c r="C108" s="1223">
        <v>33</v>
      </c>
      <c r="D108" s="1218" t="s">
        <v>1723</v>
      </c>
    </row>
    <row r="109" spans="1:4" ht="3" customHeight="1">
      <c r="A109" s="1219"/>
      <c r="B109" s="1226"/>
      <c r="C109" s="1223"/>
      <c r="D109" s="1218"/>
    </row>
    <row r="110" spans="1:4">
      <c r="A110" s="1219"/>
      <c r="B110" s="1222" t="s">
        <v>2209</v>
      </c>
      <c r="C110" s="1223">
        <f>C108+1</f>
        <v>34</v>
      </c>
      <c r="D110" s="1218" t="s">
        <v>1198</v>
      </c>
    </row>
    <row r="111" spans="1:4" ht="3" customHeight="1">
      <c r="A111" s="1219"/>
      <c r="B111" s="1226"/>
      <c r="C111" s="1223"/>
      <c r="D111" s="1218"/>
    </row>
    <row r="112" spans="1:4">
      <c r="A112" s="1219"/>
      <c r="B112" s="1222" t="s">
        <v>2209</v>
      </c>
      <c r="C112" s="1223">
        <f>C110+1</f>
        <v>35</v>
      </c>
      <c r="D112" s="1218" t="s">
        <v>1197</v>
      </c>
    </row>
    <row r="113" spans="1:4" ht="11.25" customHeight="1">
      <c r="A113" s="1219"/>
      <c r="B113" s="1251"/>
      <c r="C113" s="1223"/>
      <c r="D113" s="1252" t="s">
        <v>1196</v>
      </c>
    </row>
    <row r="114" spans="1:4" ht="3" customHeight="1">
      <c r="A114" s="1219"/>
      <c r="B114" s="1253"/>
      <c r="C114" s="1223"/>
      <c r="D114" s="1252"/>
    </row>
    <row r="115" spans="1:4">
      <c r="A115" s="1219"/>
      <c r="B115" s="1222" t="s">
        <v>2209</v>
      </c>
      <c r="C115" s="1223">
        <f>C112+1</f>
        <v>36</v>
      </c>
      <c r="D115" s="1234" t="s">
        <v>1195</v>
      </c>
    </row>
    <row r="116" spans="1:4" ht="3" customHeight="1">
      <c r="A116" s="1219"/>
      <c r="B116" s="1226"/>
      <c r="C116" s="1223"/>
      <c r="D116" s="1234"/>
    </row>
    <row r="117" spans="1:4">
      <c r="A117" s="1219"/>
      <c r="B117" s="1222" t="s">
        <v>2209</v>
      </c>
      <c r="C117" s="1223">
        <f>C115+1</f>
        <v>37</v>
      </c>
      <c r="D117" s="1234" t="s">
        <v>1724</v>
      </c>
    </row>
    <row r="118" spans="1:4" ht="3" customHeight="1">
      <c r="A118" s="1219"/>
      <c r="B118" s="1226"/>
      <c r="C118" s="1223"/>
      <c r="D118" s="1234"/>
    </row>
    <row r="119" spans="1:4">
      <c r="A119" s="1219"/>
      <c r="B119" s="1222" t="s">
        <v>2209</v>
      </c>
      <c r="C119" s="1223">
        <f>C117+1</f>
        <v>38</v>
      </c>
      <c r="D119" s="1234" t="s">
        <v>1725</v>
      </c>
    </row>
    <row r="120" spans="1:4" ht="10.5" customHeight="1">
      <c r="A120" s="1219"/>
      <c r="B120" s="1247"/>
      <c r="C120" s="1223"/>
      <c r="D120" s="1234" t="s">
        <v>1194</v>
      </c>
    </row>
    <row r="121" spans="1:4" ht="10.5" customHeight="1">
      <c r="A121" s="1219"/>
      <c r="B121" s="1247"/>
      <c r="C121" s="1223"/>
      <c r="D121" s="1234" t="s">
        <v>1193</v>
      </c>
    </row>
    <row r="122" spans="1:4" ht="3" customHeight="1">
      <c r="A122" s="1219"/>
      <c r="B122" s="1247"/>
      <c r="C122" s="1223"/>
      <c r="D122" s="1234"/>
    </row>
    <row r="123" spans="1:4">
      <c r="A123" s="1219"/>
      <c r="B123" s="1222" t="s">
        <v>2069</v>
      </c>
      <c r="C123" s="1223">
        <f>C119+1</f>
        <v>39</v>
      </c>
      <c r="D123" s="1244" t="s">
        <v>1834</v>
      </c>
    </row>
    <row r="124" spans="1:4">
      <c r="A124" s="1219"/>
      <c r="B124" s="312"/>
      <c r="C124" s="1223"/>
      <c r="D124" s="1234" t="s">
        <v>1192</v>
      </c>
    </row>
    <row r="125" spans="1:4" ht="4.5" customHeight="1">
      <c r="A125" s="1219"/>
      <c r="D125" s="1218"/>
    </row>
    <row r="126" spans="1:4">
      <c r="A126" s="1219"/>
      <c r="B126" s="1254"/>
      <c r="C126" s="1223"/>
      <c r="D126" s="1234"/>
    </row>
    <row r="127" spans="1:4">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0" zoomScale="110" zoomScaleNormal="110" zoomScaleSheetLayoutView="100" workbookViewId="0">
      <selection activeCell="B49" sqref="B49"/>
    </sheetView>
  </sheetViews>
  <sheetFormatPr defaultColWidth="15.7109375" defaultRowHeight="12.75"/>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c r="A1" s="2486" t="str">
        <f>'Single Audit Cover'!A7</f>
        <v>East Moline SD 37</v>
      </c>
      <c r="B1" s="2486"/>
      <c r="C1" s="2486"/>
      <c r="D1" s="2486"/>
      <c r="E1" s="2486"/>
    </row>
    <row r="2" spans="1:5">
      <c r="A2" s="2487">
        <f>'Single Audit Cover'!E7</f>
        <v>49081037002</v>
      </c>
      <c r="B2" s="2487"/>
      <c r="C2" s="2487"/>
      <c r="D2" s="2487"/>
      <c r="E2" s="2487"/>
    </row>
    <row r="3" spans="1:5" ht="4.5" customHeight="1"/>
    <row r="4" spans="1:5">
      <c r="A4" s="2486" t="s">
        <v>1245</v>
      </c>
      <c r="B4" s="2486"/>
      <c r="C4" s="2486"/>
      <c r="D4" s="2486"/>
      <c r="E4" s="2486"/>
    </row>
    <row r="5" spans="1:5">
      <c r="A5" s="2489" t="str">
        <f>'Single Audit Cover'!A4</f>
        <v>Year Ending June 30, 2019</v>
      </c>
      <c r="B5" s="2489"/>
      <c r="C5" s="2489"/>
      <c r="D5" s="2489"/>
      <c r="E5" s="2489"/>
    </row>
    <row r="6" spans="1:5">
      <c r="A6" s="2486" t="s">
        <v>1244</v>
      </c>
      <c r="B6" s="2486"/>
      <c r="C6" s="2486"/>
      <c r="D6" s="2486"/>
      <c r="E6" s="2486"/>
    </row>
    <row r="8" spans="1:5">
      <c r="A8" s="1257" t="s">
        <v>1243</v>
      </c>
    </row>
    <row r="10" spans="1:5">
      <c r="A10" s="1258" t="s">
        <v>1242</v>
      </c>
      <c r="B10" s="1259" t="s">
        <v>1241</v>
      </c>
      <c r="C10" s="1259"/>
      <c r="D10" s="1260">
        <f>SUM('Acct Summary 7-8'!C7:K7)</f>
        <v>3962109</v>
      </c>
    </row>
    <row r="11" spans="1:5" ht="18" customHeight="1">
      <c r="A11" s="1258" t="s">
        <v>1240</v>
      </c>
      <c r="B11" s="1259"/>
      <c r="C11" s="1259"/>
    </row>
    <row r="12" spans="1:5">
      <c r="A12" s="1258" t="s">
        <v>1239</v>
      </c>
      <c r="B12" s="1259" t="s">
        <v>1238</v>
      </c>
      <c r="C12" s="1259"/>
      <c r="D12" s="1261">
        <f>SUM('Revenues 9-14'!C112:D112,'Revenues 9-14'!F112:G112)</f>
        <v>0</v>
      </c>
    </row>
    <row r="13" spans="1:5">
      <c r="A13" s="1258" t="s">
        <v>1237</v>
      </c>
      <c r="B13" s="1259"/>
      <c r="C13" s="1259"/>
    </row>
    <row r="14" spans="1:5">
      <c r="A14" s="1258" t="s">
        <v>1727</v>
      </c>
      <c r="B14" s="1259"/>
      <c r="C14" s="1259"/>
      <c r="D14" s="1261">
        <f>'ICR Computation 30'!E11</f>
        <v>143088</v>
      </c>
    </row>
    <row r="15" spans="1:5">
      <c r="A15" s="1258"/>
      <c r="B15" s="1259"/>
      <c r="C15" s="1259"/>
    </row>
    <row r="16" spans="1:5">
      <c r="A16" s="1258" t="s">
        <v>1841</v>
      </c>
      <c r="B16" s="1259"/>
      <c r="C16" s="1259"/>
    </row>
    <row r="17" spans="1:4">
      <c r="A17" s="1258" t="s">
        <v>2058</v>
      </c>
      <c r="B17" s="1259" t="s">
        <v>1236</v>
      </c>
      <c r="C17" s="1259"/>
      <c r="D17" s="1261">
        <f>-SUM('Revenues 9-14'!C264:D264,'Revenues 9-14'!F264:G264)</f>
        <v>-165855</v>
      </c>
    </row>
    <row r="19" spans="1:4" ht="13.5" thickBot="1">
      <c r="A19" s="1262" t="s">
        <v>1235</v>
      </c>
      <c r="D19" s="1263">
        <f>SUM(D10:D17)</f>
        <v>3939342</v>
      </c>
    </row>
    <row r="20" spans="1:4" ht="21.75" customHeight="1" thickTop="1"/>
    <row r="21" spans="1:4">
      <c r="A21" s="1257" t="s">
        <v>1234</v>
      </c>
    </row>
    <row r="22" spans="1:4" ht="8.25" customHeight="1"/>
    <row r="23" spans="1:4">
      <c r="A23" s="1264" t="s">
        <v>1228</v>
      </c>
    </row>
    <row r="24" spans="1:4">
      <c r="A24" s="2488"/>
      <c r="B24" s="2488"/>
      <c r="D24" s="1265"/>
    </row>
    <row r="25" spans="1:4">
      <c r="A25" s="2485"/>
      <c r="B25" s="2485"/>
      <c r="D25" s="1265"/>
    </row>
    <row r="26" spans="1:4">
      <c r="A26" s="2485"/>
      <c r="B26" s="2485"/>
      <c r="D26" s="1265"/>
    </row>
    <row r="27" spans="1:4">
      <c r="A27" s="2485"/>
      <c r="B27" s="2485"/>
      <c r="D27" s="1265"/>
    </row>
    <row r="28" spans="1:4">
      <c r="A28" s="2485"/>
      <c r="B28" s="2485"/>
      <c r="D28" s="1265"/>
    </row>
    <row r="29" spans="1:4">
      <c r="A29" s="2485"/>
      <c r="B29" s="2485"/>
      <c r="D29" s="1265"/>
    </row>
    <row r="30" spans="1:4">
      <c r="A30" s="2485"/>
      <c r="B30" s="2485"/>
      <c r="D30" s="1265"/>
    </row>
    <row r="32" spans="1:4">
      <c r="A32" s="1257" t="s">
        <v>1233</v>
      </c>
      <c r="D32" s="1260">
        <f>SUM(D19:D30)</f>
        <v>3939342</v>
      </c>
    </row>
    <row r="33" spans="1:4">
      <c r="D33" s="1266"/>
    </row>
    <row r="34" spans="1:4">
      <c r="A34" s="317" t="s">
        <v>1232</v>
      </c>
    </row>
    <row r="35" spans="1:4">
      <c r="A35" s="317" t="s">
        <v>1231</v>
      </c>
      <c r="B35" s="1255" t="s">
        <v>1230</v>
      </c>
      <c r="D35" s="1997">
        <f>'SEFA-1'!G89</f>
        <v>3942996</v>
      </c>
    </row>
    <row r="37" spans="1:4">
      <c r="A37" s="1257" t="s">
        <v>1229</v>
      </c>
    </row>
    <row r="39" spans="1:4" ht="13.35" customHeight="1">
      <c r="A39" s="1264" t="s">
        <v>1228</v>
      </c>
    </row>
    <row r="40" spans="1:4">
      <c r="A40" s="2485" t="s">
        <v>2227</v>
      </c>
      <c r="B40" s="2485"/>
      <c r="D40" s="1265">
        <v>-915</v>
      </c>
    </row>
    <row r="41" spans="1:4">
      <c r="A41" s="2485" t="s">
        <v>2228</v>
      </c>
      <c r="B41" s="2485"/>
      <c r="D41" s="1267">
        <v>-2739</v>
      </c>
    </row>
    <row r="42" spans="1:4">
      <c r="A42" s="2485"/>
      <c r="B42" s="2485"/>
      <c r="D42" s="1267"/>
    </row>
    <row r="43" spans="1:4">
      <c r="A43" s="2485"/>
      <c r="B43" s="2485"/>
      <c r="D43" s="1267"/>
    </row>
    <row r="44" spans="1:4">
      <c r="A44" s="2485"/>
      <c r="B44" s="2485"/>
      <c r="D44" s="1267"/>
    </row>
    <row r="45" spans="1:4">
      <c r="A45" s="2485"/>
      <c r="B45" s="2485"/>
      <c r="D45" s="1267"/>
    </row>
    <row r="47" spans="1:4">
      <c r="B47" s="1268" t="s">
        <v>1227</v>
      </c>
      <c r="C47" s="1268"/>
      <c r="D47" s="1269">
        <f>SUM(D35:D45)</f>
        <v>3939342</v>
      </c>
    </row>
    <row r="49" spans="2:4">
      <c r="B49" s="1268" t="s">
        <v>1226</v>
      </c>
      <c r="C49" s="1268"/>
      <c r="D49" s="1269">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4" zoomScale="120" zoomScaleNormal="120" workbookViewId="0">
      <selection activeCell="B49" sqref="B49"/>
    </sheetView>
  </sheetViews>
  <sheetFormatPr defaultColWidth="8" defaultRowHeight="12.75"/>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c r="A1" s="2491" t="str">
        <f>'Single Audit Cover'!A7</f>
        <v>East Moline SD 37</v>
      </c>
      <c r="B1" s="2491"/>
      <c r="C1" s="2491"/>
      <c r="D1" s="2491"/>
      <c r="E1" s="2491"/>
      <c r="F1" s="2491"/>
    </row>
    <row r="2" spans="1:7" ht="13.5" customHeight="1">
      <c r="A2" s="2492">
        <f>'Single Audit Cover'!E7</f>
        <v>49081037002</v>
      </c>
      <c r="B2" s="2492"/>
      <c r="C2" s="2492"/>
      <c r="D2" s="2492"/>
      <c r="E2" s="2492"/>
      <c r="F2" s="2492"/>
      <c r="G2" s="1271"/>
    </row>
    <row r="3" spans="1:7" ht="15.75" customHeight="1">
      <c r="A3" s="2493" t="s">
        <v>1271</v>
      </c>
      <c r="B3" s="2493"/>
      <c r="C3" s="2493"/>
      <c r="D3" s="2493"/>
      <c r="E3" s="2493"/>
      <c r="F3" s="2493"/>
    </row>
    <row r="4" spans="1:7" ht="13.5" customHeight="1">
      <c r="A4" s="2494" t="str">
        <f>'Single Audit Cover'!A4</f>
        <v>Year Ending June 30, 2019</v>
      </c>
      <c r="B4" s="2494"/>
      <c r="C4" s="2494"/>
      <c r="D4" s="2494"/>
      <c r="E4" s="2494"/>
      <c r="F4" s="2494"/>
    </row>
    <row r="5" spans="1:7" ht="8.25" customHeight="1">
      <c r="C5" s="317"/>
      <c r="D5" s="317"/>
    </row>
    <row r="6" spans="1:7" ht="13.5" customHeight="1">
      <c r="A6" s="1272" t="s">
        <v>1728</v>
      </c>
      <c r="C6" s="317"/>
      <c r="D6" s="317"/>
    </row>
    <row r="7" spans="1:7" ht="60.95" customHeight="1">
      <c r="A7" s="2490" t="s">
        <v>2207</v>
      </c>
      <c r="B7" s="2490"/>
      <c r="C7" s="2490"/>
      <c r="D7" s="2490"/>
      <c r="E7" s="2490"/>
      <c r="F7" s="2490"/>
    </row>
    <row r="8" spans="1:7" ht="12" customHeight="1">
      <c r="A8" s="1272"/>
      <c r="B8" s="1278"/>
      <c r="C8" s="1278"/>
      <c r="D8" s="1278"/>
    </row>
    <row r="9" spans="1:7" ht="15" customHeight="1">
      <c r="A9" s="1273" t="s">
        <v>1729</v>
      </c>
      <c r="B9" s="1276"/>
      <c r="C9" s="1276"/>
      <c r="D9" s="1276"/>
      <c r="E9" s="1274"/>
      <c r="F9" s="1274"/>
      <c r="G9" s="1274"/>
    </row>
    <row r="10" spans="1:7" ht="15" customHeight="1">
      <c r="A10" s="1275" t="s">
        <v>1547</v>
      </c>
      <c r="B10" s="1276"/>
      <c r="C10" s="1277"/>
      <c r="D10" s="1276" t="s">
        <v>1548</v>
      </c>
      <c r="E10" s="1277" t="s">
        <v>2069</v>
      </c>
      <c r="F10" s="1276" t="s">
        <v>99</v>
      </c>
      <c r="G10" s="1274"/>
    </row>
    <row r="11" spans="1:7" ht="12" customHeight="1">
      <c r="A11" s="1275"/>
      <c r="B11" s="1276"/>
      <c r="C11" s="1901"/>
      <c r="D11" s="1276"/>
      <c r="E11" s="1901"/>
      <c r="F11" s="1276"/>
      <c r="G11" s="1274"/>
    </row>
    <row r="12" spans="1:7">
      <c r="A12" s="1272" t="s">
        <v>1587</v>
      </c>
      <c r="C12" s="1257"/>
      <c r="D12" s="1257"/>
    </row>
    <row r="13" spans="1:7" ht="15" customHeight="1">
      <c r="A13" s="2490" t="s">
        <v>2208</v>
      </c>
      <c r="B13" s="2490"/>
      <c r="C13" s="2490"/>
      <c r="D13" s="2490"/>
      <c r="E13" s="2490"/>
      <c r="F13" s="2490"/>
    </row>
    <row r="14" spans="1:7" ht="9.75" customHeight="1">
      <c r="C14" s="1257"/>
      <c r="D14" s="1257"/>
    </row>
    <row r="15" spans="1:7" ht="13.5" customHeight="1">
      <c r="C15" s="1845" t="s">
        <v>1270</v>
      </c>
      <c r="D15" s="2496" t="s">
        <v>1269</v>
      </c>
      <c r="E15" s="2496"/>
      <c r="F15" s="2496"/>
    </row>
    <row r="16" spans="1:7" ht="13.5" customHeight="1">
      <c r="A16" s="1278"/>
      <c r="B16" s="1272" t="s">
        <v>1268</v>
      </c>
      <c r="C16" s="1845" t="s">
        <v>1267</v>
      </c>
      <c r="D16" s="2497" t="s">
        <v>1588</v>
      </c>
      <c r="E16" s="2497"/>
      <c r="F16" s="2497"/>
    </row>
    <row r="17" spans="1:6" ht="20.45" customHeight="1">
      <c r="A17" s="1279"/>
      <c r="B17" s="1280" t="s">
        <v>2209</v>
      </c>
      <c r="C17" s="1281"/>
      <c r="D17" s="2495"/>
      <c r="E17" s="2495"/>
      <c r="F17" s="2495"/>
    </row>
    <row r="18" spans="1:6" ht="20.85" customHeight="1">
      <c r="A18" s="1279"/>
      <c r="B18" s="1280"/>
      <c r="C18" s="1281"/>
      <c r="D18" s="2495"/>
      <c r="E18" s="2495"/>
      <c r="F18" s="2495"/>
    </row>
    <row r="19" spans="1:6" ht="20.85" customHeight="1">
      <c r="A19" s="1279"/>
      <c r="B19" s="1280"/>
      <c r="C19" s="1281"/>
      <c r="D19" s="2495"/>
      <c r="E19" s="2495"/>
      <c r="F19" s="2495"/>
    </row>
    <row r="20" spans="1:6" ht="20.85" customHeight="1">
      <c r="A20" s="1279"/>
      <c r="B20" s="1280"/>
      <c r="C20" s="1281"/>
      <c r="D20" s="2495"/>
      <c r="E20" s="2495"/>
      <c r="F20" s="2495"/>
    </row>
    <row r="21" spans="1:6" ht="20.85" customHeight="1">
      <c r="A21" s="1279"/>
      <c r="B21" s="1280"/>
      <c r="C21" s="1281"/>
      <c r="D21" s="2495"/>
      <c r="E21" s="2495"/>
      <c r="F21" s="2495"/>
    </row>
    <row r="22" spans="1:6" ht="20.85" customHeight="1">
      <c r="A22" s="1279"/>
      <c r="B22" s="1280"/>
      <c r="C22" s="1281"/>
      <c r="D22" s="2495"/>
      <c r="E22" s="2495"/>
      <c r="F22" s="2495"/>
    </row>
    <row r="23" spans="1:6" ht="20.85" customHeight="1">
      <c r="A23" s="1279"/>
      <c r="B23" s="1280"/>
      <c r="C23" s="1281"/>
      <c r="D23" s="2495"/>
      <c r="E23" s="2495"/>
      <c r="F23" s="2495"/>
    </row>
    <row r="24" spans="1:6" ht="20.85" customHeight="1">
      <c r="A24" s="1279"/>
      <c r="B24" s="1280"/>
      <c r="C24" s="1281"/>
      <c r="D24" s="2495"/>
      <c r="E24" s="2495"/>
      <c r="F24" s="2495"/>
    </row>
    <row r="25" spans="1:6" ht="20.85" customHeight="1">
      <c r="A25" s="1279"/>
      <c r="B25" s="1280"/>
      <c r="C25" s="1281"/>
      <c r="D25" s="2495"/>
      <c r="E25" s="2495"/>
      <c r="F25" s="2495"/>
    </row>
    <row r="26" spans="1:6" ht="20.85" customHeight="1">
      <c r="A26" s="1279"/>
      <c r="B26" s="1280"/>
      <c r="C26" s="1281"/>
      <c r="D26" s="2495"/>
      <c r="E26" s="2495"/>
      <c r="F26" s="2495"/>
    </row>
    <row r="27" spans="1:6" ht="20.85" customHeight="1">
      <c r="A27" s="1279"/>
      <c r="B27" s="1280"/>
      <c r="C27" s="1281"/>
      <c r="D27" s="2495"/>
      <c r="E27" s="2495"/>
      <c r="F27" s="2495"/>
    </row>
    <row r="28" spans="1:6" ht="20.85" customHeight="1">
      <c r="A28" s="1279"/>
      <c r="B28" s="1280"/>
      <c r="C28" s="1281"/>
      <c r="D28" s="2495"/>
      <c r="E28" s="2495"/>
      <c r="F28" s="2495"/>
    </row>
    <row r="29" spans="1:6" ht="20.85" customHeight="1">
      <c r="A29" s="1279"/>
      <c r="B29" s="1280"/>
      <c r="C29" s="1281"/>
      <c r="D29" s="2495"/>
      <c r="E29" s="2495"/>
      <c r="F29" s="2495"/>
    </row>
    <row r="30" spans="1:6" ht="12" customHeight="1">
      <c r="A30" s="328"/>
      <c r="B30" s="328"/>
      <c r="C30" s="1461"/>
      <c r="D30" s="1902"/>
      <c r="E30" s="1282"/>
    </row>
    <row r="31" spans="1:6" ht="12" customHeight="1">
      <c r="A31" s="1283" t="s">
        <v>1549</v>
      </c>
      <c r="B31" s="328"/>
      <c r="C31" s="1461"/>
      <c r="D31" s="1902"/>
      <c r="E31" s="1282"/>
    </row>
    <row r="32" spans="1:6" ht="30" customHeight="1">
      <c r="A32" s="2499" t="s">
        <v>2210</v>
      </c>
      <c r="B32" s="2499"/>
      <c r="C32" s="2499"/>
      <c r="D32" s="2499"/>
      <c r="E32" s="2499"/>
      <c r="F32" s="2499"/>
    </row>
    <row r="33" spans="1:6" ht="13.5" customHeight="1">
      <c r="A33" s="328" t="s">
        <v>1434</v>
      </c>
      <c r="B33" s="328"/>
      <c r="C33" s="1284">
        <v>91509</v>
      </c>
      <c r="D33" s="1902"/>
      <c r="E33" s="1282"/>
    </row>
    <row r="34" spans="1:6" ht="13.5" customHeight="1">
      <c r="A34" s="328" t="s">
        <v>1835</v>
      </c>
      <c r="B34" s="328"/>
      <c r="C34" s="1285">
        <v>51579</v>
      </c>
      <c r="D34" s="1902" t="s">
        <v>1589</v>
      </c>
      <c r="E34" s="2500">
        <f>+C33+C34</f>
        <v>143088</v>
      </c>
      <c r="F34" s="2501"/>
    </row>
    <row r="35" spans="1:6" ht="12" customHeight="1">
      <c r="A35" s="328"/>
      <c r="B35" s="328"/>
      <c r="C35" s="1903"/>
      <c r="D35" s="1902"/>
      <c r="E35" s="1286"/>
      <c r="F35" s="1287"/>
    </row>
    <row r="36" spans="1:6" ht="13.5" customHeight="1">
      <c r="A36" s="1283" t="s">
        <v>1550</v>
      </c>
      <c r="B36" s="328"/>
      <c r="C36" s="1461"/>
      <c r="D36" s="1902"/>
      <c r="E36" s="1282"/>
    </row>
    <row r="37" spans="1:6" ht="14.25" customHeight="1">
      <c r="A37" s="328" t="s">
        <v>1484</v>
      </c>
      <c r="B37" s="328"/>
      <c r="C37" s="1904"/>
      <c r="D37" s="1902"/>
      <c r="E37" s="1282"/>
    </row>
    <row r="38" spans="1:6" ht="14.25" customHeight="1">
      <c r="A38" s="328"/>
      <c r="B38" s="328" t="s">
        <v>1435</v>
      </c>
      <c r="C38" s="1288" t="s">
        <v>383</v>
      </c>
      <c r="D38" s="1902"/>
      <c r="E38" s="1282"/>
    </row>
    <row r="39" spans="1:6" ht="14.25" customHeight="1">
      <c r="A39" s="328"/>
      <c r="B39" s="328" t="s">
        <v>1436</v>
      </c>
      <c r="C39" s="1288" t="s">
        <v>383</v>
      </c>
      <c r="D39" s="1902"/>
      <c r="E39" s="1282"/>
    </row>
    <row r="40" spans="1:6" ht="14.25" customHeight="1">
      <c r="A40" s="328"/>
      <c r="B40" s="328" t="s">
        <v>1437</v>
      </c>
      <c r="C40" s="1288" t="s">
        <v>383</v>
      </c>
      <c r="D40" s="1902"/>
      <c r="E40" s="1282"/>
    </row>
    <row r="41" spans="1:6" ht="14.25" customHeight="1">
      <c r="A41" s="328"/>
      <c r="B41" s="328" t="s">
        <v>1438</v>
      </c>
      <c r="C41" s="1288" t="s">
        <v>383</v>
      </c>
      <c r="D41" s="1902"/>
      <c r="E41" s="1282"/>
    </row>
    <row r="42" spans="1:6" ht="14.25" customHeight="1">
      <c r="A42" s="328" t="s">
        <v>1439</v>
      </c>
      <c r="B42" s="328"/>
      <c r="C42" s="1900" t="s">
        <v>383</v>
      </c>
      <c r="D42" s="1902"/>
      <c r="E42" s="1282"/>
    </row>
    <row r="43" spans="1:6" ht="14.25" customHeight="1">
      <c r="A43" s="328" t="s">
        <v>1440</v>
      </c>
      <c r="B43" s="328"/>
      <c r="C43" s="1289" t="s">
        <v>383</v>
      </c>
      <c r="D43" s="1902"/>
      <c r="E43" s="1282"/>
    </row>
    <row r="44" spans="1:6" ht="14.25" customHeight="1">
      <c r="A44" s="328"/>
      <c r="B44" s="328"/>
      <c r="C44" s="1904" t="s">
        <v>1441</v>
      </c>
      <c r="D44" s="1902"/>
      <c r="E44" s="1282"/>
    </row>
    <row r="45" spans="1:6" ht="13.5" customHeight="1">
      <c r="B45" s="322"/>
      <c r="C45" s="1290"/>
      <c r="D45" s="1290"/>
    </row>
    <row r="46" spans="1:6">
      <c r="A46" s="1291" t="s">
        <v>1730</v>
      </c>
      <c r="C46" s="317"/>
      <c r="D46" s="317"/>
    </row>
    <row r="47" spans="1:6" s="322" customFormat="1" ht="11.25" customHeight="1">
      <c r="A47" s="1292"/>
      <c r="B47" s="1293"/>
      <c r="C47" s="1293"/>
      <c r="D47" s="1293"/>
      <c r="E47" s="1293"/>
      <c r="F47" s="1293"/>
    </row>
    <row r="48" spans="1:6" s="322" customFormat="1" ht="6" customHeight="1">
      <c r="A48" s="1294"/>
    </row>
    <row r="49" spans="1:5" s="1296" customFormat="1" ht="23.25" customHeight="1">
      <c r="A49" s="1295">
        <v>5</v>
      </c>
      <c r="B49" s="2502" t="s">
        <v>1590</v>
      </c>
      <c r="C49" s="2502"/>
      <c r="D49" s="2502"/>
      <c r="E49" s="1395"/>
    </row>
    <row r="50" spans="1:5" s="1296" customFormat="1" ht="3.75" customHeight="1">
      <c r="A50" s="1295"/>
      <c r="B50" s="1844"/>
      <c r="C50" s="1844"/>
      <c r="D50" s="1844"/>
      <c r="E50" s="1395"/>
    </row>
    <row r="51" spans="1:5" s="1296" customFormat="1" ht="20.25" customHeight="1">
      <c r="A51" s="1297">
        <v>6</v>
      </c>
      <c r="B51" s="2498" t="s">
        <v>1551</v>
      </c>
      <c r="C51" s="2498"/>
      <c r="D51" s="2498"/>
    </row>
    <row r="52" spans="1:5" ht="14.25" customHeight="1">
      <c r="A52" s="1297"/>
      <c r="B52" s="2498"/>
      <c r="C52" s="2498"/>
      <c r="D52" s="2498"/>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8" colorId="8" zoomScale="110" zoomScaleNormal="110" workbookViewId="0">
      <selection activeCell="B49" sqref="B49"/>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4" customHeight="1">
      <c r="A2" s="2111" t="s">
        <v>1168</v>
      </c>
      <c r="B2" s="2111"/>
      <c r="C2" s="2111"/>
      <c r="D2" s="2111"/>
      <c r="E2" s="2111"/>
      <c r="F2" s="2111"/>
      <c r="G2" s="2111"/>
      <c r="H2" s="2111"/>
      <c r="I2" s="2111"/>
      <c r="J2" s="2111"/>
    </row>
    <row r="3" spans="1:11" s="181" customFormat="1" ht="17.25" customHeight="1">
      <c r="A3" s="207"/>
      <c r="B3" s="207"/>
      <c r="C3" s="208"/>
      <c r="D3" s="209"/>
      <c r="E3" s="210"/>
    </row>
    <row r="4" spans="1:11">
      <c r="A4" s="344" t="s">
        <v>1637</v>
      </c>
      <c r="B4" s="344"/>
      <c r="C4" s="344"/>
      <c r="D4" s="344"/>
      <c r="E4" s="344"/>
      <c r="F4" s="344"/>
      <c r="G4" s="344"/>
      <c r="H4" s="344"/>
      <c r="I4" s="344"/>
      <c r="J4" s="344"/>
      <c r="K4" s="344"/>
    </row>
    <row r="5" spans="1:11">
      <c r="A5" s="237" t="s">
        <v>1638</v>
      </c>
      <c r="B5" s="344"/>
      <c r="C5" s="344"/>
      <c r="D5" s="344"/>
      <c r="E5" s="344"/>
      <c r="F5" s="344"/>
      <c r="G5" s="344"/>
      <c r="H5" s="344"/>
      <c r="I5" s="344"/>
      <c r="J5" s="344"/>
      <c r="K5" s="344"/>
    </row>
    <row r="6" spans="1:11" ht="16.7" customHeight="1">
      <c r="A6" s="211"/>
      <c r="B6" s="212"/>
      <c r="C6" s="213"/>
      <c r="D6" s="212"/>
    </row>
    <row r="7" spans="1:11" ht="15" customHeight="1">
      <c r="A7" s="214" t="s">
        <v>839</v>
      </c>
      <c r="B7" s="212"/>
      <c r="C7" s="213"/>
      <c r="D7" s="215"/>
    </row>
    <row r="8" spans="1:11">
      <c r="A8" s="216"/>
      <c r="B8" s="217"/>
      <c r="D8" s="218"/>
    </row>
    <row r="9" spans="1:11" s="181" customFormat="1">
      <c r="A9" s="219"/>
      <c r="B9" s="220" t="s">
        <v>2069</v>
      </c>
      <c r="C9" s="179">
        <v>1</v>
      </c>
      <c r="D9" s="221" t="s">
        <v>1558</v>
      </c>
    </row>
    <row r="10" spans="1:11" s="181" customFormat="1">
      <c r="A10" s="222"/>
      <c r="B10" s="223"/>
      <c r="C10" s="224"/>
      <c r="D10" s="225" t="s">
        <v>1624</v>
      </c>
    </row>
    <row r="11" spans="1:11" s="181" customFormat="1">
      <c r="A11" s="219"/>
      <c r="B11" s="226"/>
      <c r="C11" s="227">
        <v>2</v>
      </c>
      <c r="D11" s="228" t="s">
        <v>1625</v>
      </c>
    </row>
    <row r="12" spans="1:11" s="181" customFormat="1" hidden="1">
      <c r="A12" s="219"/>
      <c r="B12" s="229"/>
      <c r="C12" s="227"/>
      <c r="D12" s="230"/>
    </row>
    <row r="13" spans="1:11" s="181" customFormat="1">
      <c r="A13" s="219"/>
      <c r="B13" s="226"/>
      <c r="C13" s="227">
        <v>3</v>
      </c>
      <c r="D13" s="228" t="s">
        <v>1626</v>
      </c>
    </row>
    <row r="14" spans="1:11" s="181" customFormat="1">
      <c r="A14" s="219"/>
      <c r="B14" s="226"/>
      <c r="C14" s="227">
        <v>4</v>
      </c>
      <c r="D14" s="228" t="s">
        <v>1627</v>
      </c>
    </row>
    <row r="15" spans="1:11" s="181" customFormat="1">
      <c r="A15" s="219"/>
      <c r="B15" s="226"/>
      <c r="C15" s="227">
        <v>5</v>
      </c>
      <c r="D15" s="231" t="s">
        <v>969</v>
      </c>
    </row>
    <row r="16" spans="1:11" s="181" customFormat="1">
      <c r="A16" s="219"/>
      <c r="B16" s="226"/>
      <c r="C16" s="227">
        <v>6</v>
      </c>
      <c r="D16" s="231" t="s">
        <v>1459</v>
      </c>
    </row>
    <row r="17" spans="1:4" s="181" customFormat="1" ht="6" hidden="1" customHeight="1">
      <c r="A17" s="219"/>
      <c r="B17" s="229"/>
      <c r="C17" s="227"/>
      <c r="D17" s="232"/>
    </row>
    <row r="18" spans="1:4" s="181" customFormat="1" ht="12" customHeight="1">
      <c r="A18" s="219"/>
      <c r="B18" s="226"/>
      <c r="C18" s="227">
        <v>7</v>
      </c>
      <c r="D18" s="231" t="s">
        <v>1458</v>
      </c>
    </row>
    <row r="19" spans="1:4" s="181" customFormat="1" hidden="1">
      <c r="A19" s="219"/>
      <c r="B19" s="229"/>
      <c r="C19" s="227"/>
      <c r="D19" s="232"/>
    </row>
    <row r="20" spans="1:4" s="181" customFormat="1">
      <c r="A20" s="219"/>
      <c r="B20" s="226"/>
      <c r="C20" s="227">
        <v>8</v>
      </c>
      <c r="D20" s="231" t="s">
        <v>1628</v>
      </c>
    </row>
    <row r="21" spans="1:4" s="181" customFormat="1">
      <c r="A21" s="219"/>
      <c r="B21" s="229"/>
      <c r="C21" s="227"/>
      <c r="D21" s="233" t="s">
        <v>1555</v>
      </c>
    </row>
    <row r="22" spans="1:4" s="181" customFormat="1">
      <c r="A22" s="219"/>
      <c r="B22" s="226"/>
      <c r="C22" s="227">
        <v>9</v>
      </c>
      <c r="D22" s="231" t="s">
        <v>1629</v>
      </c>
    </row>
    <row r="23" spans="1:4" s="181" customFormat="1">
      <c r="A23" s="219"/>
      <c r="B23" s="234"/>
      <c r="C23" s="227"/>
      <c r="D23" s="235" t="s">
        <v>1556</v>
      </c>
    </row>
    <row r="24" spans="1:4" s="181" customFormat="1">
      <c r="A24" s="219"/>
      <c r="B24" s="226"/>
      <c r="C24" s="227">
        <v>10</v>
      </c>
      <c r="D24" s="231" t="s">
        <v>1630</v>
      </c>
    </row>
    <row r="25" spans="1:4" s="181" customFormat="1">
      <c r="A25" s="219"/>
      <c r="B25" s="226"/>
      <c r="C25" s="227">
        <v>11</v>
      </c>
      <c r="D25" s="231" t="s">
        <v>1631</v>
      </c>
    </row>
    <row r="26" spans="1:4" s="181" customFormat="1">
      <c r="A26" s="219"/>
      <c r="B26" s="234"/>
      <c r="C26" s="227"/>
      <c r="D26" s="235" t="s">
        <v>1557</v>
      </c>
    </row>
    <row r="27" spans="1:4" s="181" customFormat="1">
      <c r="A27" s="219"/>
      <c r="B27" s="226"/>
      <c r="C27" s="227">
        <v>12</v>
      </c>
      <c r="D27" s="231" t="s">
        <v>1559</v>
      </c>
    </row>
    <row r="28" spans="1:4" s="181" customFormat="1">
      <c r="A28" s="219"/>
      <c r="B28" s="229"/>
      <c r="C28" s="227"/>
      <c r="D28" s="225"/>
    </row>
    <row r="29" spans="1:4" s="181" customFormat="1">
      <c r="A29" s="219"/>
      <c r="B29" s="226"/>
      <c r="C29" s="227">
        <v>13</v>
      </c>
      <c r="D29" s="231" t="s">
        <v>525</v>
      </c>
    </row>
    <row r="30" spans="1:4" s="181" customFormat="1">
      <c r="A30" s="219"/>
      <c r="B30" s="229"/>
      <c r="C30" s="227"/>
      <c r="D30" s="225" t="s">
        <v>1632</v>
      </c>
    </row>
    <row r="31" spans="1:4" s="181" customFormat="1">
      <c r="A31" s="219"/>
      <c r="B31" s="226"/>
      <c r="C31" s="227">
        <v>14</v>
      </c>
      <c r="D31" s="231" t="s">
        <v>1943</v>
      </c>
    </row>
    <row r="32" spans="1:4" s="181" customFormat="1">
      <c r="A32" s="219"/>
      <c r="B32" s="236"/>
      <c r="C32" s="227"/>
      <c r="D32" s="237" t="s">
        <v>1790</v>
      </c>
    </row>
    <row r="33" spans="1:9" s="181" customFormat="1" ht="12" customHeight="1">
      <c r="A33" s="219"/>
      <c r="B33" s="236"/>
      <c r="C33" s="227"/>
      <c r="D33" s="238" t="s">
        <v>1169</v>
      </c>
    </row>
    <row r="34" spans="1:9" s="181" customFormat="1" ht="8.25" hidden="1" customHeight="1">
      <c r="A34" s="219"/>
      <c r="B34" s="229"/>
      <c r="C34" s="227"/>
      <c r="D34" s="239"/>
    </row>
    <row r="35" spans="1:9" s="181" customFormat="1">
      <c r="A35" s="2125" t="s">
        <v>1633</v>
      </c>
      <c r="B35" s="2126"/>
      <c r="C35" s="2126"/>
      <c r="D35" s="2126"/>
      <c r="E35" s="2127"/>
      <c r="F35" s="2127"/>
      <c r="G35" s="2127"/>
      <c r="H35" s="2127"/>
      <c r="I35" s="2127"/>
    </row>
    <row r="36" spans="1:9" s="181" customFormat="1">
      <c r="A36" s="219"/>
      <c r="B36" s="229"/>
      <c r="C36" s="227"/>
      <c r="D36" s="239"/>
    </row>
    <row r="37" spans="1:9" s="181" customFormat="1">
      <c r="A37" s="219"/>
      <c r="B37" s="226"/>
      <c r="C37" s="227">
        <v>15</v>
      </c>
      <c r="D37" s="231" t="s">
        <v>362</v>
      </c>
    </row>
    <row r="38" spans="1:9" s="181" customFormat="1">
      <c r="A38" s="219"/>
      <c r="B38" s="229"/>
      <c r="C38" s="227"/>
      <c r="D38" s="240" t="s">
        <v>1634</v>
      </c>
    </row>
    <row r="39" spans="1:9" s="181" customFormat="1" hidden="1">
      <c r="A39" s="219"/>
      <c r="B39" s="229"/>
      <c r="C39" s="227"/>
      <c r="D39" s="241"/>
    </row>
    <row r="40" spans="1:9" s="181" customFormat="1">
      <c r="A40" s="219"/>
      <c r="B40" s="226"/>
      <c r="C40" s="227">
        <v>16</v>
      </c>
      <c r="D40" s="242" t="s">
        <v>364</v>
      </c>
    </row>
    <row r="41" spans="1:9" s="181" customFormat="1">
      <c r="A41" s="219"/>
      <c r="B41" s="229"/>
      <c r="C41" s="227"/>
      <c r="D41" s="240" t="s">
        <v>609</v>
      </c>
    </row>
    <row r="42" spans="1:9" s="181" customFormat="1">
      <c r="A42" s="219"/>
      <c r="B42" s="226"/>
      <c r="C42" s="227">
        <v>17</v>
      </c>
      <c r="D42" s="242" t="s">
        <v>1635</v>
      </c>
    </row>
    <row r="43" spans="1:9" s="181" customFormat="1">
      <c r="A43" s="219"/>
      <c r="B43" s="229"/>
      <c r="C43" s="227"/>
      <c r="D43" s="240" t="s">
        <v>1636</v>
      </c>
    </row>
    <row r="44" spans="1:9" s="181" customFormat="1">
      <c r="A44" s="219"/>
      <c r="B44" s="226"/>
      <c r="C44" s="227">
        <v>18</v>
      </c>
      <c r="D44" s="242" t="s">
        <v>301</v>
      </c>
    </row>
    <row r="45" spans="1:9" s="181" customFormat="1">
      <c r="A45" s="219"/>
      <c r="B45" s="229"/>
      <c r="C45" s="227"/>
      <c r="D45" s="240" t="s">
        <v>188</v>
      </c>
    </row>
    <row r="46" spans="1:9" s="181" customFormat="1" ht="16.7" customHeight="1">
      <c r="A46" s="219"/>
      <c r="B46" s="229"/>
      <c r="C46" s="227"/>
      <c r="D46" s="239"/>
    </row>
    <row r="47" spans="1:9" s="181" customFormat="1">
      <c r="A47" s="2125" t="s">
        <v>313</v>
      </c>
      <c r="B47" s="2128"/>
      <c r="C47" s="2128"/>
      <c r="D47" s="2128"/>
      <c r="E47" s="2129"/>
      <c r="F47" s="2129"/>
      <c r="G47" s="2129"/>
      <c r="H47" s="2129"/>
      <c r="I47" s="2129"/>
    </row>
    <row r="48" spans="1:9" s="181" customFormat="1">
      <c r="A48" s="219"/>
      <c r="B48" s="229"/>
      <c r="C48" s="227"/>
      <c r="D48" s="239"/>
    </row>
    <row r="49" spans="1:10" s="181" customFormat="1">
      <c r="A49" s="219"/>
      <c r="B49" s="226"/>
      <c r="C49" s="227">
        <v>19</v>
      </c>
      <c r="D49" s="243" t="s">
        <v>363</v>
      </c>
    </row>
    <row r="50" spans="1:10" s="181" customFormat="1">
      <c r="A50" s="219"/>
      <c r="B50" s="226"/>
      <c r="C50" s="227">
        <v>20</v>
      </c>
      <c r="D50" s="243" t="s">
        <v>1639</v>
      </c>
    </row>
    <row r="51" spans="1:10">
      <c r="B51" s="244"/>
      <c r="C51" s="245">
        <v>21</v>
      </c>
      <c r="D51" s="218" t="s">
        <v>1049</v>
      </c>
    </row>
    <row r="52" spans="1:10">
      <c r="B52" s="246"/>
      <c r="C52" s="245"/>
      <c r="D52" s="240" t="s">
        <v>840</v>
      </c>
    </row>
    <row r="53" spans="1:10" s="181" customFormat="1" ht="15.75" customHeight="1">
      <c r="A53" s="219"/>
      <c r="B53" s="220"/>
      <c r="C53" s="179">
        <v>22</v>
      </c>
      <c r="D53" s="247" t="s">
        <v>1462</v>
      </c>
      <c r="E53" s="248"/>
      <c r="F53" s="249"/>
      <c r="G53" s="249" t="s">
        <v>1461</v>
      </c>
      <c r="H53" s="250"/>
      <c r="I53" s="237" t="s">
        <v>1483</v>
      </c>
    </row>
    <row r="54" spans="1:10" s="181" customFormat="1">
      <c r="A54" s="219"/>
      <c r="B54" s="220" t="s">
        <v>2069</v>
      </c>
      <c r="C54" s="179">
        <v>23</v>
      </c>
      <c r="D54" s="243" t="s">
        <v>1362</v>
      </c>
      <c r="E54" s="248"/>
      <c r="F54" s="249"/>
    </row>
    <row r="55" spans="1:10" s="181" customFormat="1">
      <c r="A55" s="214"/>
      <c r="B55" s="251"/>
      <c r="C55" s="251"/>
      <c r="D55" s="231" t="s">
        <v>1789</v>
      </c>
      <c r="E55" s="252"/>
      <c r="F55" s="252"/>
      <c r="G55" s="252"/>
      <c r="H55" s="252"/>
      <c r="I55" s="252"/>
    </row>
    <row r="56" spans="1:10" s="181" customFormat="1">
      <c r="A56" s="214"/>
      <c r="B56" s="251"/>
      <c r="E56" s="252"/>
      <c r="F56" s="252"/>
      <c r="G56" s="252"/>
      <c r="H56" s="252"/>
      <c r="I56" s="252"/>
    </row>
    <row r="57" spans="1:10" s="181" customFormat="1" ht="13.15" customHeight="1">
      <c r="A57" s="253"/>
      <c r="B57" s="2132" t="s">
        <v>2229</v>
      </c>
      <c r="C57" s="2133"/>
      <c r="D57" s="2133"/>
      <c r="E57" s="2133"/>
      <c r="F57" s="2133"/>
      <c r="G57" s="2133"/>
      <c r="H57" s="2133"/>
      <c r="I57" s="2133"/>
      <c r="J57" s="2134"/>
    </row>
    <row r="58" spans="1:10" s="181" customFormat="1">
      <c r="A58" s="253"/>
      <c r="B58" s="2135"/>
      <c r="C58" s="2136"/>
      <c r="D58" s="2136"/>
      <c r="E58" s="2136"/>
      <c r="F58" s="2136"/>
      <c r="G58" s="2136"/>
      <c r="H58" s="2136"/>
      <c r="I58" s="2136"/>
      <c r="J58" s="2137"/>
    </row>
    <row r="59" spans="1:10" s="181" customFormat="1">
      <c r="A59" s="253"/>
      <c r="B59" s="2135"/>
      <c r="C59" s="2136"/>
      <c r="D59" s="2136"/>
      <c r="E59" s="2136"/>
      <c r="F59" s="2136"/>
      <c r="G59" s="2136"/>
      <c r="H59" s="2136"/>
      <c r="I59" s="2136"/>
      <c r="J59" s="2137"/>
    </row>
    <row r="60" spans="1:10" s="181" customFormat="1">
      <c r="A60" s="253"/>
      <c r="B60" s="2135"/>
      <c r="C60" s="2136"/>
      <c r="D60" s="2136"/>
      <c r="E60" s="2136"/>
      <c r="F60" s="2136"/>
      <c r="G60" s="2136"/>
      <c r="H60" s="2136"/>
      <c r="I60" s="2136"/>
      <c r="J60" s="2137"/>
    </row>
    <row r="61" spans="1:10" s="181" customFormat="1">
      <c r="A61" s="253"/>
      <c r="B61" s="2135"/>
      <c r="C61" s="2136"/>
      <c r="D61" s="2136"/>
      <c r="E61" s="2136"/>
      <c r="F61" s="2136"/>
      <c r="G61" s="2136"/>
      <c r="H61" s="2136"/>
      <c r="I61" s="2136"/>
      <c r="J61" s="2137"/>
    </row>
    <row r="62" spans="1:10" s="181" customFormat="1">
      <c r="A62" s="253"/>
      <c r="B62" s="2135"/>
      <c r="C62" s="2136"/>
      <c r="D62" s="2136"/>
      <c r="E62" s="2136"/>
      <c r="F62" s="2136"/>
      <c r="G62" s="2136"/>
      <c r="H62" s="2136"/>
      <c r="I62" s="2136"/>
      <c r="J62" s="2137"/>
    </row>
    <row r="63" spans="1:10" s="181" customFormat="1">
      <c r="A63" s="253"/>
      <c r="B63" s="2135"/>
      <c r="C63" s="2136"/>
      <c r="D63" s="2136"/>
      <c r="E63" s="2136"/>
      <c r="F63" s="2136"/>
      <c r="G63" s="2136"/>
      <c r="H63" s="2136"/>
      <c r="I63" s="2136"/>
      <c r="J63" s="2137"/>
    </row>
    <row r="64" spans="1:10" s="181" customFormat="1">
      <c r="A64" s="253"/>
      <c r="B64" s="2135"/>
      <c r="C64" s="2136"/>
      <c r="D64" s="2136"/>
      <c r="E64" s="2136"/>
      <c r="F64" s="2136"/>
      <c r="G64" s="2136"/>
      <c r="H64" s="2136"/>
      <c r="I64" s="2136"/>
      <c r="J64" s="2137"/>
    </row>
    <row r="65" spans="1:10" s="181" customFormat="1">
      <c r="A65" s="253"/>
      <c r="B65" s="2135"/>
      <c r="C65" s="2136"/>
      <c r="D65" s="2136"/>
      <c r="E65" s="2136"/>
      <c r="F65" s="2136"/>
      <c r="G65" s="2136"/>
      <c r="H65" s="2136"/>
      <c r="I65" s="2136"/>
      <c r="J65" s="2137"/>
    </row>
    <row r="66" spans="1:10" s="181" customFormat="1">
      <c r="A66" s="253"/>
      <c r="B66" s="2135"/>
      <c r="C66" s="2136"/>
      <c r="D66" s="2136"/>
      <c r="E66" s="2136"/>
      <c r="F66" s="2136"/>
      <c r="G66" s="2136"/>
      <c r="H66" s="2136"/>
      <c r="I66" s="2136"/>
      <c r="J66" s="2137"/>
    </row>
    <row r="67" spans="1:10" s="181" customFormat="1" ht="9.4" customHeight="1">
      <c r="A67" s="254"/>
      <c r="B67" s="2138"/>
      <c r="C67" s="2139"/>
      <c r="D67" s="2139"/>
      <c r="E67" s="2139"/>
      <c r="F67" s="2139"/>
      <c r="G67" s="2139"/>
      <c r="H67" s="2139"/>
      <c r="I67" s="2139"/>
      <c r="J67" s="2140"/>
    </row>
    <row r="68" spans="1:10" s="181" customFormat="1" ht="9.4" customHeight="1">
      <c r="A68" s="219"/>
      <c r="B68" s="255"/>
      <c r="C68" s="256"/>
      <c r="D68" s="256"/>
      <c r="E68" s="256"/>
      <c r="F68" s="256"/>
      <c r="G68" s="256"/>
      <c r="H68" s="256"/>
    </row>
    <row r="69" spans="1:10" s="181" customFormat="1" ht="16.7" customHeight="1">
      <c r="A69" s="219"/>
      <c r="B69" s="255"/>
      <c r="C69" s="256"/>
      <c r="D69" s="256"/>
      <c r="E69" s="256"/>
      <c r="F69" s="256"/>
      <c r="G69" s="256"/>
      <c r="H69" s="256"/>
    </row>
    <row r="70" spans="1:10" s="181" customFormat="1">
      <c r="A70" s="2125" t="s">
        <v>1323</v>
      </c>
      <c r="B70" s="2128"/>
      <c r="C70" s="2128"/>
      <c r="D70" s="2128"/>
      <c r="E70" s="2129"/>
      <c r="F70" s="2129"/>
      <c r="G70" s="2129"/>
      <c r="H70" s="2129"/>
      <c r="I70" s="2129"/>
    </row>
    <row r="71" spans="1:10" s="181" customFormat="1">
      <c r="A71" s="219"/>
      <c r="C71" s="257"/>
      <c r="D71" s="258" t="s">
        <v>1322</v>
      </c>
      <c r="E71" s="256"/>
      <c r="F71" s="256"/>
      <c r="G71" s="256"/>
      <c r="H71" s="256"/>
    </row>
    <row r="72" spans="1:10" s="181" customFormat="1" ht="5.25" customHeight="1">
      <c r="B72" s="255"/>
      <c r="C72" s="256"/>
      <c r="D72" s="256"/>
      <c r="E72" s="256"/>
      <c r="F72" s="256"/>
      <c r="G72" s="256"/>
      <c r="H72" s="256"/>
    </row>
    <row r="73" spans="1:10" s="181" customFormat="1">
      <c r="A73" s="259" t="s">
        <v>1927</v>
      </c>
      <c r="B73" s="255"/>
      <c r="C73" s="256"/>
      <c r="D73" s="256"/>
      <c r="E73" s="256"/>
      <c r="F73" s="256"/>
      <c r="G73" s="256"/>
      <c r="H73" s="256"/>
    </row>
    <row r="74" spans="1:10" s="181" customFormat="1">
      <c r="A74" s="259" t="s">
        <v>1425</v>
      </c>
      <c r="B74" s="255"/>
      <c r="C74" s="256"/>
      <c r="D74" s="256"/>
      <c r="E74" s="256"/>
      <c r="F74" s="256"/>
      <c r="G74" s="256"/>
      <c r="H74" s="256"/>
    </row>
    <row r="75" spans="1:10" s="181" customFormat="1">
      <c r="A75" s="259" t="s">
        <v>1944</v>
      </c>
      <c r="B75" s="255"/>
      <c r="C75" s="256"/>
      <c r="D75" s="256"/>
      <c r="E75" s="256"/>
      <c r="F75" s="256"/>
      <c r="G75" s="256"/>
      <c r="H75" s="256"/>
    </row>
    <row r="76" spans="1:10" s="181" customFormat="1" ht="18.75" customHeight="1">
      <c r="A76" s="239" t="s">
        <v>1426</v>
      </c>
      <c r="B76" s="255"/>
      <c r="C76" s="256"/>
      <c r="D76" s="256"/>
      <c r="E76" s="256"/>
      <c r="F76" s="256"/>
      <c r="G76" s="256"/>
      <c r="H76" s="256"/>
    </row>
    <row r="77" spans="1:10" s="181" customFormat="1">
      <c r="C77" s="179">
        <v>24</v>
      </c>
      <c r="D77" s="247" t="s">
        <v>1647</v>
      </c>
      <c r="G77" s="297" t="s">
        <v>1902</v>
      </c>
      <c r="I77" s="1837"/>
      <c r="J77" s="261"/>
    </row>
    <row r="78" spans="1:10" s="181" customFormat="1" ht="6" customHeight="1">
      <c r="A78" s="219"/>
      <c r="B78" s="262"/>
      <c r="C78" s="179"/>
      <c r="D78" s="247"/>
      <c r="E78" s="248"/>
      <c r="F78" s="249"/>
    </row>
    <row r="79" spans="1:10" s="181" customFormat="1">
      <c r="A79" s="219"/>
      <c r="B79" s="262"/>
      <c r="C79" s="179">
        <v>25</v>
      </c>
      <c r="D79" s="247" t="s">
        <v>1645</v>
      </c>
      <c r="E79" s="248"/>
      <c r="F79" s="249"/>
    </row>
    <row r="80" spans="1:10" s="181" customFormat="1">
      <c r="A80" s="219"/>
      <c r="B80" s="262"/>
      <c r="C80" s="179"/>
      <c r="D80" s="247" t="s">
        <v>1646</v>
      </c>
      <c r="E80" s="248"/>
      <c r="F80" s="249"/>
    </row>
    <row r="81" spans="1:10" s="181" customFormat="1">
      <c r="A81" s="219"/>
      <c r="B81" s="262"/>
    </row>
    <row r="82" spans="1:10" s="181" customFormat="1" ht="13.15" customHeight="1">
      <c r="A82" s="219"/>
      <c r="B82" s="262"/>
      <c r="C82" s="247"/>
    </row>
    <row r="83" spans="1:10" s="181" customFormat="1" ht="13.15" customHeight="1" thickBot="1">
      <c r="A83" s="2130" t="s">
        <v>1320</v>
      </c>
      <c r="B83" s="2130"/>
      <c r="C83" s="2130"/>
      <c r="D83" s="2131"/>
      <c r="E83" s="263" t="s">
        <v>1357</v>
      </c>
      <c r="F83" s="263" t="s">
        <v>1358</v>
      </c>
      <c r="G83" s="263" t="s">
        <v>1359</v>
      </c>
      <c r="H83" s="263" t="s">
        <v>1360</v>
      </c>
      <c r="I83" s="263" t="s">
        <v>1361</v>
      </c>
      <c r="J83" s="264" t="s">
        <v>156</v>
      </c>
    </row>
    <row r="84" spans="1:10" s="181" customFormat="1" ht="13.5" customHeight="1" thickTop="1">
      <c r="A84" s="265" t="s">
        <v>1444</v>
      </c>
      <c r="B84" s="266"/>
      <c r="C84" s="267"/>
      <c r="D84" s="268"/>
      <c r="E84" s="269"/>
      <c r="F84" s="269"/>
      <c r="G84" s="269"/>
      <c r="H84" s="269"/>
      <c r="I84" s="269"/>
      <c r="J84" s="270"/>
    </row>
    <row r="85" spans="1:10" s="181" customFormat="1" ht="13.5" customHeight="1">
      <c r="A85" s="271" t="s">
        <v>1925</v>
      </c>
      <c r="B85" s="272"/>
      <c r="C85" s="273"/>
      <c r="D85" s="274"/>
      <c r="E85" s="275"/>
      <c r="F85" s="276">
        <v>1</v>
      </c>
      <c r="G85" s="276"/>
      <c r="H85" s="276"/>
      <c r="I85" s="276"/>
      <c r="J85" s="277">
        <f>SUM(E85:I85)</f>
        <v>1</v>
      </c>
    </row>
    <row r="86" spans="1:10" s="181" customFormat="1" ht="13.5" customHeight="1">
      <c r="A86" s="278"/>
      <c r="B86" s="279"/>
      <c r="C86" s="280"/>
      <c r="D86" s="281"/>
      <c r="E86" s="269"/>
      <c r="F86" s="269"/>
      <c r="G86" s="269"/>
      <c r="H86" s="269"/>
      <c r="I86" s="269"/>
      <c r="J86" s="270"/>
    </row>
    <row r="87" spans="1:10" s="181" customFormat="1" ht="13.5" customHeight="1">
      <c r="A87" s="282" t="s">
        <v>1321</v>
      </c>
      <c r="B87" s="283"/>
      <c r="C87" s="284"/>
      <c r="D87" s="281"/>
      <c r="E87" s="269"/>
      <c r="F87" s="269"/>
      <c r="G87" s="269"/>
      <c r="H87" s="269"/>
      <c r="I87" s="269"/>
      <c r="J87" s="270"/>
    </row>
    <row r="88" spans="1:10" s="181" customFormat="1" ht="13.5" customHeight="1">
      <c r="A88" s="285" t="s">
        <v>1925</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156</v>
      </c>
      <c r="B90" s="283"/>
      <c r="C90" s="284"/>
      <c r="D90" s="293"/>
      <c r="E90" s="294"/>
      <c r="F90" s="294"/>
      <c r="G90" s="294"/>
      <c r="H90" s="294"/>
      <c r="I90" s="294"/>
      <c r="J90" s="295">
        <f>SUM(J85:J89)</f>
        <v>1</v>
      </c>
    </row>
    <row r="91" spans="1:10" s="181" customFormat="1">
      <c r="A91" s="219"/>
      <c r="B91" s="262"/>
      <c r="C91" s="179"/>
      <c r="E91" s="260"/>
      <c r="F91" s="296"/>
      <c r="H91" s="297"/>
    </row>
    <row r="92" spans="1:10" s="181" customFormat="1">
      <c r="A92" s="219"/>
      <c r="B92" s="247" t="s">
        <v>1640</v>
      </c>
      <c r="C92" s="179"/>
      <c r="E92" s="260"/>
      <c r="F92" s="296"/>
      <c r="H92" s="297"/>
    </row>
    <row r="93" spans="1:10" s="181" customFormat="1" ht="16.7" customHeight="1">
      <c r="A93" s="219"/>
      <c r="B93" s="298" t="s">
        <v>1926</v>
      </c>
      <c r="C93" s="179"/>
      <c r="E93" s="260"/>
      <c r="F93" s="296"/>
      <c r="H93" s="297"/>
    </row>
    <row r="94" spans="1:10" s="181" customFormat="1">
      <c r="A94" s="299" t="s">
        <v>1331</v>
      </c>
      <c r="B94" s="300"/>
      <c r="C94" s="300"/>
      <c r="D94" s="301"/>
      <c r="E94" s="302"/>
      <c r="F94" s="303"/>
      <c r="G94" s="304"/>
      <c r="H94" s="305"/>
      <c r="I94" s="306"/>
    </row>
    <row r="95" spans="1:10" s="181" customFormat="1">
      <c r="A95" s="307"/>
      <c r="B95" s="308" t="s">
        <v>1641</v>
      </c>
      <c r="C95" s="309"/>
      <c r="D95" s="310"/>
      <c r="E95" s="304"/>
      <c r="F95" s="304"/>
      <c r="G95" s="304"/>
      <c r="H95" s="304"/>
      <c r="I95" s="304"/>
    </row>
    <row r="96" spans="1:10" s="181" customFormat="1">
      <c r="A96" s="307" t="s">
        <v>1169</v>
      </c>
      <c r="B96" s="345" t="s">
        <v>1643</v>
      </c>
      <c r="C96" s="309"/>
      <c r="D96" s="311"/>
      <c r="E96" s="311"/>
      <c r="F96" s="311"/>
      <c r="G96" s="311"/>
      <c r="H96" s="311"/>
      <c r="I96" s="304"/>
    </row>
    <row r="97" spans="1:9" s="181" customFormat="1">
      <c r="A97" s="307"/>
      <c r="B97" s="308" t="s">
        <v>1642</v>
      </c>
      <c r="C97" s="309"/>
      <c r="D97" s="311"/>
      <c r="E97" s="311"/>
      <c r="F97" s="311"/>
      <c r="G97" s="311"/>
      <c r="H97" s="311"/>
      <c r="I97" s="304"/>
    </row>
    <row r="98" spans="1:9" s="181" customFormat="1">
      <c r="A98" s="308"/>
      <c r="B98" s="312" t="s">
        <v>1644</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1166</v>
      </c>
      <c r="C101" s="310"/>
      <c r="D101" s="310"/>
      <c r="E101" s="304"/>
      <c r="F101" s="304"/>
      <c r="G101" s="304"/>
      <c r="H101" s="304"/>
      <c r="I101" s="304"/>
    </row>
    <row r="102" spans="1:9" s="181" customFormat="1">
      <c r="A102" s="316"/>
      <c r="B102" s="2112"/>
      <c r="C102" s="2113"/>
      <c r="D102" s="2113"/>
      <c r="E102" s="2113"/>
      <c r="F102" s="2113"/>
      <c r="G102" s="2113"/>
      <c r="H102" s="2113"/>
      <c r="I102" s="2114"/>
    </row>
    <row r="103" spans="1:9" s="181" customFormat="1" ht="11.25" customHeight="1">
      <c r="A103" s="316"/>
      <c r="B103" s="2115"/>
      <c r="C103" s="2116"/>
      <c r="D103" s="2116"/>
      <c r="E103" s="2116"/>
      <c r="F103" s="2116"/>
      <c r="G103" s="2116"/>
      <c r="H103" s="2116"/>
      <c r="I103" s="2117"/>
    </row>
    <row r="104" spans="1:9" s="181" customFormat="1" ht="11.25" customHeight="1">
      <c r="A104" s="316"/>
      <c r="B104" s="2115"/>
      <c r="C104" s="2116"/>
      <c r="D104" s="2116"/>
      <c r="E104" s="2116"/>
      <c r="F104" s="2116"/>
      <c r="G104" s="2116"/>
      <c r="H104" s="2116"/>
      <c r="I104" s="2117"/>
    </row>
    <row r="105" spans="1:9" s="181" customFormat="1">
      <c r="A105" s="316"/>
      <c r="B105" s="2115"/>
      <c r="C105" s="2116"/>
      <c r="D105" s="2116"/>
      <c r="E105" s="2116"/>
      <c r="F105" s="2116"/>
      <c r="G105" s="2116"/>
      <c r="H105" s="2116"/>
      <c r="I105" s="2117"/>
    </row>
    <row r="106" spans="1:9" s="181" customFormat="1" ht="11.25" customHeight="1">
      <c r="A106" s="316"/>
      <c r="B106" s="2115"/>
      <c r="C106" s="2116"/>
      <c r="D106" s="2116"/>
      <c r="E106" s="2116"/>
      <c r="F106" s="2116"/>
      <c r="G106" s="2116"/>
      <c r="H106" s="2116"/>
      <c r="I106" s="2117"/>
    </row>
    <row r="107" spans="1:9" s="181" customFormat="1" ht="11.25" customHeight="1">
      <c r="A107" s="316"/>
      <c r="B107" s="2115"/>
      <c r="C107" s="2116"/>
      <c r="D107" s="2116"/>
      <c r="E107" s="2116"/>
      <c r="F107" s="2116"/>
      <c r="G107" s="2116"/>
      <c r="H107" s="2116"/>
      <c r="I107" s="2117"/>
    </row>
    <row r="108" spans="1:9" s="181" customFormat="1" ht="11.25" customHeight="1">
      <c r="A108" s="316"/>
      <c r="B108" s="2115"/>
      <c r="C108" s="2116"/>
      <c r="D108" s="2116"/>
      <c r="E108" s="2116"/>
      <c r="F108" s="2116"/>
      <c r="G108" s="2116"/>
      <c r="H108" s="2116"/>
      <c r="I108" s="2117"/>
    </row>
    <row r="109" spans="1:9" s="181" customFormat="1" ht="11.25" customHeight="1">
      <c r="A109" s="316"/>
      <c r="B109" s="2115"/>
      <c r="C109" s="2116"/>
      <c r="D109" s="2116"/>
      <c r="E109" s="2116"/>
      <c r="F109" s="2116"/>
      <c r="G109" s="2116"/>
      <c r="H109" s="2116"/>
      <c r="I109" s="2117"/>
    </row>
    <row r="110" spans="1:9" s="181" customFormat="1" ht="11.25" customHeight="1">
      <c r="A110" s="316"/>
      <c r="B110" s="2115"/>
      <c r="C110" s="2116"/>
      <c r="D110" s="2116"/>
      <c r="E110" s="2116"/>
      <c r="F110" s="2116"/>
      <c r="G110" s="2116"/>
      <c r="H110" s="2116"/>
      <c r="I110" s="2117"/>
    </row>
    <row r="111" spans="1:9" s="181" customFormat="1" ht="11.25" customHeight="1">
      <c r="A111" s="316"/>
      <c r="B111" s="2115"/>
      <c r="C111" s="2116"/>
      <c r="D111" s="2116"/>
      <c r="E111" s="2116"/>
      <c r="F111" s="2116"/>
      <c r="G111" s="2116"/>
      <c r="H111" s="2116"/>
      <c r="I111" s="2117"/>
    </row>
    <row r="112" spans="1:9" s="181" customFormat="1" ht="11.25" customHeight="1">
      <c r="A112" s="316"/>
      <c r="B112" s="2118"/>
      <c r="C112" s="2119"/>
      <c r="D112" s="2119"/>
      <c r="E112" s="2119"/>
      <c r="F112" s="2119"/>
      <c r="G112" s="2119"/>
      <c r="H112" s="2119"/>
      <c r="I112" s="2120"/>
    </row>
    <row r="113" spans="1:9" s="181" customFormat="1" ht="11.25" customHeight="1">
      <c r="A113" s="317"/>
      <c r="B113" s="311"/>
      <c r="C113" s="311"/>
      <c r="D113" s="311"/>
      <c r="E113" s="304"/>
      <c r="F113" s="304"/>
      <c r="G113" s="304"/>
      <c r="H113" s="304"/>
      <c r="I113" s="304"/>
    </row>
    <row r="114" spans="1:9" s="181" customFormat="1" ht="18" customHeight="1">
      <c r="A114" s="316"/>
      <c r="B114" s="317"/>
      <c r="C114" s="2121" t="s">
        <v>2061</v>
      </c>
      <c r="D114" s="2121"/>
      <c r="E114" s="304"/>
      <c r="F114" s="304"/>
      <c r="G114" s="304"/>
      <c r="H114" s="304"/>
      <c r="I114" s="304"/>
    </row>
    <row r="115" spans="1:9" s="181" customFormat="1" ht="11.25" customHeight="1">
      <c r="A115" s="316"/>
      <c r="B115" s="316"/>
      <c r="C115" s="318"/>
      <c r="D115" s="319" t="s">
        <v>1167</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122" t="s">
        <v>1330</v>
      </c>
      <c r="D117" s="2123"/>
      <c r="E117" s="2124"/>
      <c r="F117" s="2124"/>
      <c r="G117" s="2124"/>
      <c r="H117" s="2124"/>
      <c r="I117" s="304"/>
    </row>
    <row r="118" spans="1:9" s="181" customFormat="1" ht="24" customHeight="1">
      <c r="A118" s="316"/>
      <c r="B118" s="316"/>
      <c r="C118" s="316"/>
      <c r="D118" s="323"/>
      <c r="E118" s="322"/>
      <c r="F118" s="324"/>
      <c r="G118" s="1839"/>
      <c r="H118" s="322"/>
      <c r="I118" s="304"/>
    </row>
    <row r="119" spans="1:9" s="181" customFormat="1" ht="11.25" customHeight="1">
      <c r="A119" s="325"/>
      <c r="B119" s="325"/>
      <c r="C119" s="326"/>
      <c r="D119" s="327" t="s">
        <v>361</v>
      </c>
      <c r="E119" s="310"/>
      <c r="F119" s="1838" t="s">
        <v>1903</v>
      </c>
      <c r="G119" s="328"/>
      <c r="H119" s="328"/>
      <c r="I119" s="304"/>
    </row>
    <row r="120" spans="1:9">
      <c r="A120" s="329"/>
      <c r="B120" s="180"/>
      <c r="C120" s="330"/>
      <c r="D120" s="256"/>
      <c r="E120" s="256"/>
      <c r="F120" s="256"/>
      <c r="G120" s="256"/>
      <c r="H120" s="256"/>
      <c r="I120" s="304"/>
    </row>
    <row r="121" spans="1:9">
      <c r="A121" s="329"/>
      <c r="B121" s="1487" t="s">
        <v>1601</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B49" sqref="B49"/>
    </sheetView>
  </sheetViews>
  <sheetFormatPr defaultColWidth="33.5703125" defaultRowHeight="12.75"/>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c r="B1" s="2447" t="str">
        <f>'Single Audit Cover'!A7</f>
        <v>East Moline SD 37</v>
      </c>
      <c r="C1" s="2503"/>
      <c r="D1" s="2503"/>
      <c r="E1" s="2503"/>
      <c r="F1" s="2503"/>
      <c r="G1" s="2503"/>
      <c r="H1" s="2503"/>
      <c r="I1" s="2503"/>
      <c r="J1" s="2503"/>
      <c r="K1" s="2503"/>
      <c r="L1" s="2503"/>
      <c r="M1" s="2503"/>
    </row>
    <row r="2" spans="2:14" ht="15">
      <c r="B2" s="2492">
        <f>'Single Audit Cover'!E7</f>
        <v>49081037002</v>
      </c>
      <c r="C2" s="2492"/>
      <c r="D2" s="2492"/>
      <c r="E2" s="2492"/>
      <c r="F2" s="2492"/>
      <c r="G2" s="2492"/>
      <c r="H2" s="2492"/>
      <c r="I2" s="2492"/>
      <c r="J2" s="2492"/>
      <c r="K2" s="2492"/>
      <c r="L2" s="2492"/>
      <c r="M2" s="2492"/>
      <c r="N2" s="1298"/>
    </row>
    <row r="3" spans="2:14" ht="15">
      <c r="B3" s="2504" t="s">
        <v>1219</v>
      </c>
      <c r="C3" s="2504"/>
      <c r="D3" s="2504"/>
      <c r="E3" s="2504"/>
      <c r="F3" s="2504"/>
      <c r="G3" s="2504"/>
      <c r="H3" s="2504"/>
      <c r="I3" s="2504"/>
      <c r="J3" s="2504"/>
      <c r="K3" s="2504"/>
      <c r="L3" s="2504"/>
      <c r="M3" s="2504"/>
      <c r="N3" s="1298"/>
    </row>
    <row r="4" spans="2:14" ht="15">
      <c r="B4" s="2505" t="str">
        <f>'Single Audit Cover'!A4</f>
        <v>Year Ending June 30, 2019</v>
      </c>
      <c r="C4" s="2505"/>
      <c r="D4" s="2505"/>
      <c r="E4" s="2505"/>
      <c r="F4" s="2505"/>
      <c r="G4" s="2505"/>
      <c r="H4" s="2505"/>
      <c r="I4" s="2505"/>
      <c r="J4" s="2505"/>
      <c r="K4" s="2505"/>
      <c r="L4" s="2505"/>
      <c r="M4" s="2505"/>
      <c r="N4" s="1298"/>
    </row>
    <row r="6" spans="2:14">
      <c r="B6" s="1299"/>
      <c r="C6" s="1300"/>
      <c r="D6" s="1301" t="s">
        <v>1265</v>
      </c>
      <c r="E6" s="1302" t="s">
        <v>527</v>
      </c>
      <c r="F6" s="1303"/>
      <c r="G6" s="1304" t="s">
        <v>1731</v>
      </c>
      <c r="H6" s="1302"/>
      <c r="I6" s="1302"/>
      <c r="J6" s="1302"/>
      <c r="K6" s="1305"/>
      <c r="L6" s="1306"/>
      <c r="M6" s="1307"/>
    </row>
    <row r="7" spans="2:14">
      <c r="B7" s="1308" t="s">
        <v>1581</v>
      </c>
      <c r="C7" s="1309"/>
      <c r="D7" s="1310"/>
      <c r="E7" s="1311"/>
      <c r="F7" s="1312"/>
      <c r="G7" s="1311"/>
      <c r="H7" s="1313" t="s">
        <v>1262</v>
      </c>
      <c r="I7" s="1311"/>
      <c r="J7" s="1314" t="s">
        <v>1262</v>
      </c>
      <c r="K7" s="1315"/>
      <c r="L7" s="1316" t="s">
        <v>1260</v>
      </c>
      <c r="M7" s="1317"/>
    </row>
    <row r="8" spans="2:14">
      <c r="B8" s="1664"/>
      <c r="C8" s="1309" t="s">
        <v>1264</v>
      </c>
      <c r="D8" s="1310" t="s">
        <v>1263</v>
      </c>
      <c r="E8" s="1318" t="s">
        <v>1262</v>
      </c>
      <c r="F8" s="1319" t="s">
        <v>1262</v>
      </c>
      <c r="G8" s="1320" t="s">
        <v>1262</v>
      </c>
      <c r="H8" s="1313" t="s">
        <v>1836</v>
      </c>
      <c r="I8" s="1315" t="s">
        <v>1262</v>
      </c>
      <c r="J8" s="1314" t="s">
        <v>1987</v>
      </c>
      <c r="K8" s="1315" t="s">
        <v>1261</v>
      </c>
      <c r="L8" s="1316" t="s">
        <v>1257</v>
      </c>
      <c r="M8" s="1317" t="s">
        <v>30</v>
      </c>
    </row>
    <row r="9" spans="2:14" ht="14.25">
      <c r="B9" s="1321" t="s">
        <v>1259</v>
      </c>
      <c r="C9" s="1309" t="s">
        <v>1732</v>
      </c>
      <c r="D9" s="1310" t="s">
        <v>1733</v>
      </c>
      <c r="E9" s="1318" t="s">
        <v>1836</v>
      </c>
      <c r="F9" s="1319" t="s">
        <v>1987</v>
      </c>
      <c r="G9" s="1320" t="s">
        <v>1836</v>
      </c>
      <c r="H9" s="1313" t="s">
        <v>1582</v>
      </c>
      <c r="I9" s="1315" t="s">
        <v>1987</v>
      </c>
      <c r="J9" s="1314" t="s">
        <v>1582</v>
      </c>
      <c r="K9" s="1315" t="s">
        <v>1258</v>
      </c>
      <c r="L9" s="1322" t="s">
        <v>1583</v>
      </c>
      <c r="M9" s="1317"/>
    </row>
    <row r="10" spans="2:14" ht="11.85" customHeight="1">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25" customHeight="1">
      <c r="B11" s="1333"/>
      <c r="C11" s="1334"/>
      <c r="D11" s="1335"/>
      <c r="E11" s="1336"/>
      <c r="F11" s="1336"/>
      <c r="G11" s="1336"/>
      <c r="H11" s="1336"/>
      <c r="I11" s="1336"/>
      <c r="J11" s="1336"/>
      <c r="K11" s="1336"/>
      <c r="L11" s="1336">
        <f>+G11+I11+K11</f>
        <v>0</v>
      </c>
      <c r="M11" s="1336"/>
    </row>
    <row r="12" spans="2:14" ht="20.25" customHeight="1">
      <c r="B12" s="1333"/>
      <c r="C12" s="1337"/>
      <c r="D12" s="1338"/>
      <c r="E12" s="1339"/>
      <c r="F12" s="1339"/>
      <c r="G12" s="1339"/>
      <c r="H12" s="1339"/>
      <c r="I12" s="1339"/>
      <c r="J12" s="1339"/>
      <c r="K12" s="1339"/>
      <c r="L12" s="1336">
        <f t="shared" ref="L12:L27" si="0">+G12+I12+K12</f>
        <v>0</v>
      </c>
      <c r="M12" s="1339"/>
    </row>
    <row r="13" spans="2:14" ht="20.25" customHeight="1">
      <c r="B13" s="1333"/>
      <c r="C13" s="1337"/>
      <c r="D13" s="1338"/>
      <c r="E13" s="1339"/>
      <c r="F13" s="1339"/>
      <c r="G13" s="1339"/>
      <c r="H13" s="1339"/>
      <c r="I13" s="1339"/>
      <c r="J13" s="1339"/>
      <c r="K13" s="1339"/>
      <c r="L13" s="1336">
        <f t="shared" si="0"/>
        <v>0</v>
      </c>
      <c r="M13" s="1339"/>
    </row>
    <row r="14" spans="2:14" ht="20.25" customHeight="1">
      <c r="B14" s="1333"/>
      <c r="C14" s="1337"/>
      <c r="D14" s="1338"/>
      <c r="E14" s="1339"/>
      <c r="F14" s="1339"/>
      <c r="G14" s="1339"/>
      <c r="H14" s="1339"/>
      <c r="I14" s="1339"/>
      <c r="J14" s="1339"/>
      <c r="K14" s="1339"/>
      <c r="L14" s="1336">
        <f t="shared" si="0"/>
        <v>0</v>
      </c>
      <c r="M14" s="1339"/>
    </row>
    <row r="15" spans="2:14" ht="20.25" customHeight="1">
      <c r="B15" s="1333" t="s">
        <v>1169</v>
      </c>
      <c r="C15" s="1337"/>
      <c r="D15" s="1338"/>
      <c r="E15" s="1339"/>
      <c r="F15" s="1339"/>
      <c r="G15" s="1339"/>
      <c r="H15" s="1339"/>
      <c r="I15" s="1339"/>
      <c r="J15" s="1339"/>
      <c r="K15" s="1339"/>
      <c r="L15" s="1336">
        <f t="shared" si="0"/>
        <v>0</v>
      </c>
      <c r="M15" s="1339"/>
    </row>
    <row r="16" spans="2:14" ht="20.25" customHeight="1">
      <c r="B16" s="1333"/>
      <c r="C16" s="1337"/>
      <c r="D16" s="1338"/>
      <c r="E16" s="1339"/>
      <c r="F16" s="1339"/>
      <c r="G16" s="1339"/>
      <c r="H16" s="1339"/>
      <c r="I16" s="1339"/>
      <c r="J16" s="1339"/>
      <c r="K16" s="1339"/>
      <c r="L16" s="1336">
        <f t="shared" si="0"/>
        <v>0</v>
      </c>
      <c r="M16" s="1339"/>
    </row>
    <row r="17" spans="2:14" ht="20.25" customHeight="1">
      <c r="B17" s="1333"/>
      <c r="C17" s="1337"/>
      <c r="D17" s="1338"/>
      <c r="E17" s="1339"/>
      <c r="F17" s="1339"/>
      <c r="G17" s="1339"/>
      <c r="H17" s="1339"/>
      <c r="I17" s="1339"/>
      <c r="J17" s="1339"/>
      <c r="K17" s="1339"/>
      <c r="L17" s="1336">
        <f t="shared" si="0"/>
        <v>0</v>
      </c>
      <c r="M17" s="1339"/>
    </row>
    <row r="18" spans="2:14" ht="20.25" customHeight="1">
      <c r="B18" s="1333"/>
      <c r="C18" s="1337"/>
      <c r="D18" s="1338"/>
      <c r="E18" s="1339"/>
      <c r="F18" s="1339"/>
      <c r="G18" s="1339"/>
      <c r="H18" s="1339"/>
      <c r="I18" s="1339"/>
      <c r="J18" s="1339"/>
      <c r="K18" s="1339"/>
      <c r="L18" s="1336">
        <f t="shared" si="0"/>
        <v>0</v>
      </c>
      <c r="M18" s="1339"/>
    </row>
    <row r="19" spans="2:14" ht="20.25" customHeight="1">
      <c r="B19" s="1333"/>
      <c r="C19" s="1337"/>
      <c r="D19" s="1338"/>
      <c r="E19" s="1339"/>
      <c r="F19" s="1339"/>
      <c r="G19" s="1339"/>
      <c r="H19" s="1339"/>
      <c r="I19" s="1339"/>
      <c r="J19" s="1339"/>
      <c r="K19" s="1339"/>
      <c r="L19" s="1336">
        <f t="shared" si="0"/>
        <v>0</v>
      </c>
      <c r="M19" s="1339"/>
    </row>
    <row r="20" spans="2:14" ht="20.25" customHeight="1">
      <c r="B20" s="1333"/>
      <c r="C20" s="1337"/>
      <c r="D20" s="1338"/>
      <c r="E20" s="1339"/>
      <c r="F20" s="1339"/>
      <c r="G20" s="1339"/>
      <c r="H20" s="1339"/>
      <c r="I20" s="1339"/>
      <c r="J20" s="1339"/>
      <c r="K20" s="1339"/>
      <c r="L20" s="1336">
        <f t="shared" si="0"/>
        <v>0</v>
      </c>
      <c r="M20" s="1339"/>
    </row>
    <row r="21" spans="2:14" ht="20.25" customHeight="1">
      <c r="B21" s="1333"/>
      <c r="C21" s="1337"/>
      <c r="D21" s="1338"/>
      <c r="E21" s="1339"/>
      <c r="F21" s="1339"/>
      <c r="G21" s="1339"/>
      <c r="H21" s="1339"/>
      <c r="I21" s="1339"/>
      <c r="J21" s="1339"/>
      <c r="K21" s="1339"/>
      <c r="L21" s="1336">
        <f t="shared" si="0"/>
        <v>0</v>
      </c>
      <c r="M21" s="1339"/>
    </row>
    <row r="22" spans="2:14" ht="20.25" customHeight="1">
      <c r="B22" s="1333"/>
      <c r="C22" s="1337"/>
      <c r="D22" s="1338"/>
      <c r="E22" s="1339"/>
      <c r="F22" s="1339"/>
      <c r="G22" s="1339"/>
      <c r="H22" s="1339"/>
      <c r="I22" s="1339"/>
      <c r="J22" s="1339"/>
      <c r="K22" s="1339"/>
      <c r="L22" s="1336">
        <f t="shared" si="0"/>
        <v>0</v>
      </c>
      <c r="M22" s="1339"/>
    </row>
    <row r="23" spans="2:14" ht="20.25" customHeight="1">
      <c r="B23" s="1333"/>
      <c r="C23" s="1337"/>
      <c r="D23" s="1338"/>
      <c r="E23" s="1339"/>
      <c r="F23" s="1339"/>
      <c r="G23" s="1339"/>
      <c r="H23" s="1339"/>
      <c r="I23" s="1339"/>
      <c r="J23" s="1339"/>
      <c r="K23" s="1339"/>
      <c r="L23" s="1336">
        <f t="shared" si="0"/>
        <v>0</v>
      </c>
      <c r="M23" s="1339"/>
    </row>
    <row r="24" spans="2:14" ht="20.25" customHeight="1">
      <c r="B24" s="1333"/>
      <c r="C24" s="1337"/>
      <c r="D24" s="1338"/>
      <c r="E24" s="1339"/>
      <c r="F24" s="1339"/>
      <c r="G24" s="1339"/>
      <c r="H24" s="1339"/>
      <c r="I24" s="1339"/>
      <c r="J24" s="1339"/>
      <c r="K24" s="1339"/>
      <c r="L24" s="1336">
        <f t="shared" si="0"/>
        <v>0</v>
      </c>
      <c r="M24" s="1339"/>
    </row>
    <row r="25" spans="2:14" ht="20.25" customHeight="1">
      <c r="B25" s="1333"/>
      <c r="C25" s="1337"/>
      <c r="D25" s="1338"/>
      <c r="E25" s="1339"/>
      <c r="F25" s="1339"/>
      <c r="G25" s="1339"/>
      <c r="H25" s="1339"/>
      <c r="I25" s="1339"/>
      <c r="J25" s="1339"/>
      <c r="K25" s="1339"/>
      <c r="L25" s="1336">
        <f t="shared" si="0"/>
        <v>0</v>
      </c>
      <c r="M25" s="1339"/>
    </row>
    <row r="26" spans="2:14" ht="20.25" customHeight="1">
      <c r="B26" s="1333"/>
      <c r="C26" s="1337"/>
      <c r="D26" s="1338"/>
      <c r="E26" s="1339"/>
      <c r="F26" s="1339"/>
      <c r="G26" s="1339"/>
      <c r="H26" s="1339"/>
      <c r="I26" s="1339"/>
      <c r="J26" s="1339"/>
      <c r="K26" s="1339"/>
      <c r="L26" s="1336">
        <f t="shared" si="0"/>
        <v>0</v>
      </c>
      <c r="M26" s="1339"/>
    </row>
    <row r="27" spans="2:14" ht="20.25" customHeight="1">
      <c r="B27" s="1333"/>
      <c r="C27" s="1337"/>
      <c r="D27" s="1338"/>
      <c r="E27" s="1339"/>
      <c r="F27" s="1339"/>
      <c r="G27" s="1339"/>
      <c r="H27" s="1339"/>
      <c r="I27" s="1339"/>
      <c r="J27" s="1339"/>
      <c r="K27" s="1339"/>
      <c r="L27" s="1336">
        <f t="shared" si="0"/>
        <v>0</v>
      </c>
      <c r="M27" s="1339"/>
      <c r="N27" s="1340"/>
    </row>
    <row r="28" spans="2:14" ht="13.15" customHeight="1">
      <c r="B28" s="1341"/>
      <c r="C28" s="1342"/>
      <c r="D28" s="1343"/>
      <c r="E28" s="1344"/>
      <c r="F28" s="1344"/>
      <c r="G28" s="1344"/>
      <c r="H28" s="1344"/>
      <c r="I28" s="1344"/>
      <c r="J28" s="1344"/>
      <c r="K28" s="1344"/>
      <c r="L28" s="1344"/>
      <c r="M28" s="1344"/>
      <c r="N28" s="1340"/>
    </row>
    <row r="29" spans="2:14">
      <c r="B29" s="1254"/>
      <c r="C29" s="1345"/>
      <c r="D29" s="1346"/>
      <c r="E29" s="1254"/>
      <c r="F29" s="1254"/>
      <c r="G29" s="1247"/>
      <c r="H29" s="1247"/>
      <c r="I29" s="1247"/>
      <c r="J29" s="1247"/>
      <c r="K29" s="1247"/>
      <c r="L29" s="1247"/>
      <c r="M29" s="1254"/>
      <c r="N29" s="1340"/>
    </row>
    <row r="30" spans="2:14" ht="13.5" customHeight="1">
      <c r="B30" s="1278" t="s">
        <v>1734</v>
      </c>
      <c r="C30" s="1345"/>
      <c r="D30" s="1346"/>
      <c r="E30" s="1254"/>
      <c r="F30" s="1254"/>
      <c r="G30" s="1247"/>
      <c r="H30" s="1247"/>
      <c r="I30" s="1247"/>
      <c r="J30" s="1247"/>
      <c r="K30" s="1247"/>
      <c r="L30" s="1247"/>
      <c r="M30" s="1254"/>
      <c r="N30" s="1340"/>
    </row>
    <row r="31" spans="2:14" ht="8.25" customHeight="1">
      <c r="B31" s="1278"/>
      <c r="C31" s="1345"/>
      <c r="D31" s="1346"/>
      <c r="E31" s="1254"/>
      <c r="F31" s="1254"/>
      <c r="G31" s="1247"/>
      <c r="H31" s="1247"/>
      <c r="I31" s="1247"/>
      <c r="J31" s="1247"/>
      <c r="K31" s="1247"/>
      <c r="L31" s="1247"/>
      <c r="M31" s="1254"/>
      <c r="N31" s="1340"/>
    </row>
    <row r="32" spans="2:14">
      <c r="B32" s="1347" t="s">
        <v>1837</v>
      </c>
      <c r="C32" s="1348"/>
      <c r="D32" s="1349"/>
      <c r="E32" s="1350"/>
      <c r="F32" s="1350"/>
      <c r="G32" s="1350"/>
      <c r="H32" s="1350"/>
      <c r="I32" s="317"/>
      <c r="J32" s="317"/>
    </row>
    <row r="33" spans="2:13">
      <c r="B33" s="1273"/>
      <c r="C33" s="1351"/>
      <c r="D33" s="1352"/>
      <c r="E33" s="1274"/>
      <c r="F33" s="1274"/>
      <c r="G33" s="317"/>
      <c r="H33" s="317"/>
      <c r="I33" s="317"/>
      <c r="J33" s="317"/>
    </row>
    <row r="34" spans="2:13" ht="13.5" customHeight="1">
      <c r="B34" s="1272" t="s">
        <v>1246</v>
      </c>
      <c r="G34" s="317"/>
      <c r="H34" s="317"/>
      <c r="I34" s="317"/>
      <c r="J34" s="317"/>
    </row>
    <row r="35" spans="2:13" ht="13.5" customHeight="1">
      <c r="B35" s="1355"/>
      <c r="C35" s="1356"/>
      <c r="D35" s="1357"/>
      <c r="E35" s="1293"/>
      <c r="F35" s="1293"/>
      <c r="G35" s="1293"/>
      <c r="H35" s="1293"/>
      <c r="I35" s="1293"/>
      <c r="J35" s="1293"/>
      <c r="K35" s="1358"/>
      <c r="L35" s="1358"/>
      <c r="M35" s="1293"/>
    </row>
    <row r="36" spans="2:13" ht="9.6" customHeight="1">
      <c r="B36" s="1359"/>
      <c r="G36" s="317"/>
      <c r="H36" s="317"/>
      <c r="I36" s="317"/>
      <c r="J36" s="317"/>
    </row>
    <row r="37" spans="2:13" ht="11.25" customHeight="1">
      <c r="B37" s="1360" t="s">
        <v>1735</v>
      </c>
      <c r="C37" s="1361"/>
      <c r="D37" s="1361"/>
      <c r="E37" s="1361"/>
      <c r="F37" s="1361"/>
      <c r="G37" s="1361"/>
      <c r="H37" s="1361"/>
      <c r="I37" s="1362"/>
      <c r="J37" s="1362"/>
      <c r="K37" s="1362"/>
      <c r="L37" s="1362"/>
      <c r="M37" s="1362"/>
    </row>
    <row r="38" spans="2:13" ht="11.25" customHeight="1">
      <c r="B38" s="1363" t="s">
        <v>1584</v>
      </c>
      <c r="C38" s="1362"/>
      <c r="D38" s="1362"/>
      <c r="E38" s="1362"/>
      <c r="F38" s="1362"/>
      <c r="G38" s="1362"/>
      <c r="H38" s="1362"/>
      <c r="I38" s="1362"/>
      <c r="J38" s="1362"/>
      <c r="K38" s="1362"/>
      <c r="L38" s="1362"/>
      <c r="M38" s="1362"/>
    </row>
    <row r="39" spans="2:13" ht="3.95" customHeight="1">
      <c r="B39" s="1363"/>
      <c r="C39" s="1362"/>
      <c r="D39" s="1362"/>
      <c r="E39" s="1362"/>
      <c r="F39" s="1362"/>
      <c r="G39" s="1362"/>
      <c r="H39" s="1362"/>
      <c r="I39" s="1362"/>
      <c r="J39" s="1362"/>
      <c r="K39" s="1362"/>
      <c r="L39" s="1362"/>
      <c r="M39" s="1362"/>
    </row>
    <row r="40" spans="2:13" ht="11.25" customHeight="1">
      <c r="B40" s="1360" t="s">
        <v>1736</v>
      </c>
      <c r="C40" s="1362"/>
      <c r="D40" s="1362"/>
      <c r="E40" s="1362"/>
      <c r="F40" s="1362"/>
      <c r="G40" s="1362"/>
      <c r="H40" s="1362"/>
      <c r="I40" s="1362"/>
      <c r="J40" s="1362"/>
      <c r="K40" s="1362"/>
      <c r="L40" s="1362"/>
      <c r="M40" s="1362"/>
    </row>
    <row r="41" spans="2:13" ht="11.25" customHeight="1">
      <c r="B41" s="1296" t="s">
        <v>1585</v>
      </c>
      <c r="C41" s="1364"/>
      <c r="D41" s="1365"/>
      <c r="E41" s="1296"/>
      <c r="F41" s="1296"/>
      <c r="G41" s="1296"/>
      <c r="H41" s="1296"/>
      <c r="I41" s="1296"/>
      <c r="J41" s="1296"/>
      <c r="K41" s="1366"/>
      <c r="L41" s="1366"/>
      <c r="M41" s="1296"/>
    </row>
    <row r="42" spans="2:13" ht="3.95" customHeight="1">
      <c r="B42" s="1296"/>
      <c r="C42" s="1364"/>
      <c r="D42" s="1365"/>
      <c r="E42" s="1296"/>
      <c r="F42" s="1296"/>
      <c r="G42" s="1296"/>
      <c r="H42" s="1296"/>
      <c r="I42" s="1296"/>
      <c r="J42" s="1296"/>
      <c r="K42" s="1366"/>
      <c r="L42" s="1366"/>
      <c r="M42" s="1296"/>
    </row>
    <row r="43" spans="2:13" ht="11.25" customHeight="1">
      <c r="B43" s="1367" t="s">
        <v>1737</v>
      </c>
      <c r="C43" s="1364"/>
      <c r="D43" s="1365"/>
      <c r="E43" s="1296"/>
      <c r="F43" s="1296"/>
      <c r="G43" s="1296"/>
      <c r="H43" s="1296"/>
      <c r="I43" s="1296"/>
      <c r="J43" s="1296"/>
      <c r="K43" s="1366"/>
      <c r="L43" s="1366"/>
      <c r="M43" s="1296"/>
    </row>
    <row r="44" spans="2:13" ht="3.95" customHeight="1">
      <c r="B44" s="1367"/>
      <c r="C44" s="1364"/>
      <c r="D44" s="1365"/>
      <c r="E44" s="1296"/>
      <c r="F44" s="1296"/>
      <c r="G44" s="1296"/>
      <c r="H44" s="1296"/>
      <c r="I44" s="1296"/>
      <c r="J44" s="1296"/>
      <c r="K44" s="1366"/>
      <c r="L44" s="1366"/>
      <c r="M44" s="1296"/>
    </row>
    <row r="45" spans="2:13" ht="11.25" customHeight="1">
      <c r="B45" s="1368" t="s">
        <v>1738</v>
      </c>
      <c r="C45" s="1364"/>
      <c r="D45" s="1365"/>
      <c r="E45" s="1296"/>
      <c r="F45" s="1296"/>
      <c r="G45" s="1296"/>
      <c r="H45" s="1296"/>
      <c r="I45" s="1296"/>
      <c r="J45" s="1296"/>
      <c r="K45" s="1366"/>
      <c r="L45" s="1366"/>
      <c r="M45" s="1296"/>
    </row>
    <row r="46" spans="2:13" ht="11.25" customHeight="1">
      <c r="B46" s="1296" t="s">
        <v>1586</v>
      </c>
      <c r="G46" s="317"/>
      <c r="H46" s="317"/>
      <c r="I46" s="317"/>
      <c r="J46" s="317"/>
    </row>
    <row r="47" spans="2:13" ht="11.1" customHeight="1">
      <c r="B47" s="1296"/>
      <c r="G47" s="317"/>
      <c r="H47" s="317"/>
      <c r="I47" s="317"/>
      <c r="J47" s="317"/>
    </row>
    <row r="48" spans="2:13" ht="11.1" customHeight="1">
      <c r="B48" s="1296"/>
      <c r="G48" s="317"/>
      <c r="H48" s="317"/>
      <c r="I48" s="317"/>
      <c r="J48" s="317"/>
    </row>
    <row r="49" spans="7:13" ht="13.5" customHeight="1">
      <c r="M49" s="1369"/>
    </row>
    <row r="50" spans="7:13" ht="13.5" customHeight="1">
      <c r="M50" s="1369"/>
    </row>
    <row r="51" spans="7:13" ht="13.5" customHeight="1">
      <c r="M51" s="1369"/>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9000000000000004" customHeight="1"/>
    <row r="112" ht="12.4"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9000000000000004" customHeight="1"/>
    <row r="152" ht="12.4" customHeight="1"/>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6E391-7591-4F70-A8A8-55306B0517F6}">
  <sheetPr>
    <pageSetUpPr fitToPage="1"/>
  </sheetPr>
  <dimension ref="A1:P91"/>
  <sheetViews>
    <sheetView topLeftCell="A70" zoomScaleNormal="100" zoomScaleSheetLayoutView="166" workbookViewId="0">
      <selection activeCell="B49" sqref="B49"/>
    </sheetView>
  </sheetViews>
  <sheetFormatPr defaultRowHeight="12.75"/>
  <cols>
    <col min="1" max="1" width="7.5703125" customWidth="1"/>
    <col min="2" max="2" width="39.140625" customWidth="1"/>
    <col min="3" max="3" width="6.140625" bestFit="1" customWidth="1"/>
    <col min="4" max="4" width="13" bestFit="1" customWidth="1"/>
    <col min="5" max="5" width="13.85546875" bestFit="1" customWidth="1"/>
    <col min="6" max="7" width="9.28515625" bestFit="1" customWidth="1"/>
    <col min="8" max="8" width="11.140625" customWidth="1"/>
    <col min="9" max="9" width="11.42578125" customWidth="1"/>
    <col min="10" max="10" width="11.28515625" customWidth="1"/>
    <col min="11" max="11" width="11.85546875" customWidth="1"/>
    <col min="12" max="12" width="9.5703125" customWidth="1"/>
    <col min="13" max="15" width="9.28515625" bestFit="1" customWidth="1"/>
    <col min="16" max="16" width="3.7109375" bestFit="1" customWidth="1"/>
  </cols>
  <sheetData>
    <row r="1" spans="1:16">
      <c r="A1" s="2506" t="s">
        <v>2086</v>
      </c>
      <c r="B1" s="2506"/>
      <c r="C1" s="2506"/>
      <c r="D1" s="2506"/>
      <c r="E1" s="2506"/>
      <c r="F1" s="2506"/>
      <c r="G1" s="2506"/>
      <c r="H1" s="2506"/>
      <c r="I1" s="2506"/>
      <c r="J1" s="2506"/>
      <c r="K1" s="2506"/>
      <c r="L1" s="2506"/>
      <c r="M1" s="2506"/>
      <c r="N1" s="2506"/>
      <c r="O1" s="1938"/>
      <c r="P1" s="1938"/>
    </row>
    <row r="2" spans="1:16">
      <c r="A2" s="2506" t="s">
        <v>2070</v>
      </c>
      <c r="B2" s="2506"/>
      <c r="C2" s="2506"/>
      <c r="D2" s="2506"/>
      <c r="E2" s="2506"/>
      <c r="F2" s="2506"/>
      <c r="G2" s="2506"/>
      <c r="H2" s="2506"/>
      <c r="I2" s="2506"/>
      <c r="J2" s="2506"/>
      <c r="K2" s="2506"/>
      <c r="L2" s="2506"/>
      <c r="M2" s="2506"/>
      <c r="N2" s="2506"/>
      <c r="O2" s="1938"/>
      <c r="P2" s="1938"/>
    </row>
    <row r="3" spans="1:16">
      <c r="A3" s="2506" t="s">
        <v>1219</v>
      </c>
      <c r="B3" s="2506"/>
      <c r="C3" s="2506"/>
      <c r="D3" s="2506"/>
      <c r="E3" s="2506"/>
      <c r="F3" s="2506"/>
      <c r="G3" s="2506"/>
      <c r="H3" s="2506"/>
      <c r="I3" s="2506"/>
      <c r="J3" s="2506"/>
      <c r="K3" s="2506"/>
      <c r="L3" s="2506"/>
      <c r="M3" s="2506"/>
      <c r="N3" s="2506"/>
      <c r="O3" s="1938"/>
      <c r="P3" s="1938"/>
    </row>
    <row r="4" spans="1:16">
      <c r="A4" s="2506" t="s">
        <v>2181</v>
      </c>
      <c r="B4" s="2506"/>
      <c r="C4" s="2506"/>
      <c r="D4" s="2506"/>
      <c r="E4" s="2506"/>
      <c r="F4" s="2506"/>
      <c r="G4" s="2506"/>
      <c r="H4" s="2506"/>
      <c r="I4" s="2506"/>
      <c r="J4" s="2506"/>
      <c r="K4" s="2506"/>
      <c r="L4" s="2506"/>
      <c r="M4" s="2506"/>
      <c r="N4" s="2506"/>
      <c r="O4" s="1938"/>
      <c r="P4" s="1938"/>
    </row>
    <row r="5" spans="1:16" ht="13.5" thickBot="1">
      <c r="A5" s="1942"/>
      <c r="B5" s="1942"/>
      <c r="C5" s="1942"/>
      <c r="D5" s="1942"/>
      <c r="E5" s="1942"/>
      <c r="F5" s="1942"/>
      <c r="G5" s="1942"/>
      <c r="H5" s="1942"/>
      <c r="I5" s="1942"/>
      <c r="J5" s="1942"/>
      <c r="K5" s="1942"/>
      <c r="L5" s="1942"/>
      <c r="M5" s="1942"/>
      <c r="N5" s="1942"/>
      <c r="O5" s="1938"/>
      <c r="P5" s="1938"/>
    </row>
    <row r="6" spans="1:16" ht="85.35" customHeight="1" thickBot="1">
      <c r="A6" s="1973"/>
      <c r="B6" s="1974" t="s">
        <v>2087</v>
      </c>
      <c r="C6" s="1974" t="s">
        <v>2088</v>
      </c>
      <c r="D6" s="1975" t="s">
        <v>2089</v>
      </c>
      <c r="E6" s="1975" t="s">
        <v>2090</v>
      </c>
      <c r="F6" s="1975" t="s">
        <v>2091</v>
      </c>
      <c r="G6" s="1975" t="s">
        <v>2182</v>
      </c>
      <c r="H6" s="1975" t="s">
        <v>2092</v>
      </c>
      <c r="I6" s="1975" t="s">
        <v>2093</v>
      </c>
      <c r="J6" s="1975" t="s">
        <v>2183</v>
      </c>
      <c r="K6" s="1975" t="s">
        <v>2184</v>
      </c>
      <c r="L6" s="1975" t="s">
        <v>2094</v>
      </c>
      <c r="M6" s="1975" t="s">
        <v>2095</v>
      </c>
      <c r="N6" s="1975" t="s">
        <v>2096</v>
      </c>
      <c r="O6" s="1976" t="s">
        <v>30</v>
      </c>
      <c r="P6" s="1939"/>
    </row>
    <row r="7" spans="1:16">
      <c r="A7" s="1992" t="s">
        <v>2097</v>
      </c>
      <c r="B7" s="1940"/>
      <c r="C7" s="1993"/>
      <c r="D7" s="1993"/>
      <c r="E7" s="1993"/>
      <c r="F7" s="1940"/>
      <c r="G7" s="1940"/>
      <c r="H7" s="1940"/>
      <c r="I7" s="1940"/>
      <c r="J7" s="1940"/>
      <c r="K7" s="1940"/>
      <c r="L7" s="1940"/>
      <c r="M7" s="1940"/>
      <c r="N7" s="1940"/>
      <c r="O7" s="1940"/>
      <c r="P7" s="1939"/>
    </row>
    <row r="8" spans="1:16">
      <c r="A8" s="1985" t="s">
        <v>2098</v>
      </c>
      <c r="B8" s="1940"/>
      <c r="C8" s="1993"/>
      <c r="D8" s="1993"/>
      <c r="E8" s="1993"/>
      <c r="F8" s="1940"/>
      <c r="G8" s="1940"/>
      <c r="H8" s="1940"/>
      <c r="I8" s="1940"/>
      <c r="J8" s="1940"/>
      <c r="K8" s="1940"/>
      <c r="L8" s="1940"/>
      <c r="M8" s="1940"/>
      <c r="N8" s="1940"/>
      <c r="O8" s="1940"/>
      <c r="P8" s="1939"/>
    </row>
    <row r="9" spans="1:16">
      <c r="A9" s="1940"/>
      <c r="B9" s="1992" t="s">
        <v>2099</v>
      </c>
      <c r="C9" s="1993"/>
      <c r="D9" s="1993"/>
      <c r="E9" s="1993"/>
      <c r="F9" s="1940"/>
      <c r="G9" s="1940"/>
      <c r="H9" s="1940"/>
      <c r="I9" s="1940"/>
      <c r="J9" s="1940"/>
      <c r="K9" s="1940"/>
      <c r="L9" s="1940"/>
      <c r="M9" s="1940"/>
      <c r="N9" s="1940"/>
      <c r="O9" s="1940"/>
      <c r="P9" s="1939"/>
    </row>
    <row r="10" spans="1:16">
      <c r="A10" s="1940"/>
      <c r="B10" s="1946" t="s">
        <v>1059</v>
      </c>
      <c r="C10" s="1941">
        <v>10.553000000000001</v>
      </c>
      <c r="D10" s="1945" t="s">
        <v>2102</v>
      </c>
      <c r="E10" s="1990" t="s">
        <v>2103</v>
      </c>
      <c r="F10" s="1983">
        <v>73974</v>
      </c>
      <c r="G10" s="1982">
        <v>0</v>
      </c>
      <c r="H10" s="1983">
        <v>73974</v>
      </c>
      <c r="I10" s="1980">
        <v>0</v>
      </c>
      <c r="J10" s="1982">
        <v>0</v>
      </c>
      <c r="K10" s="1982">
        <v>0</v>
      </c>
      <c r="L10" s="1982"/>
      <c r="M10" s="1981">
        <f t="shared" ref="M10:M19" si="0">SUM(H10:L10)</f>
        <v>73974</v>
      </c>
      <c r="N10" s="1982">
        <v>0</v>
      </c>
      <c r="O10" s="1991" t="s">
        <v>2100</v>
      </c>
      <c r="P10" s="1972" t="s">
        <v>2101</v>
      </c>
    </row>
    <row r="11" spans="1:16">
      <c r="A11" s="1940"/>
      <c r="B11" s="1946" t="s">
        <v>1059</v>
      </c>
      <c r="C11" s="1941">
        <v>10.553000000000001</v>
      </c>
      <c r="D11" s="1945" t="s">
        <v>2104</v>
      </c>
      <c r="E11" s="1990" t="s">
        <v>2105</v>
      </c>
      <c r="F11" s="1950">
        <v>320708</v>
      </c>
      <c r="G11" s="1957">
        <v>118172</v>
      </c>
      <c r="H11" s="1950">
        <v>320708</v>
      </c>
      <c r="I11" s="1940">
        <v>0</v>
      </c>
      <c r="J11" s="1957">
        <v>118172</v>
      </c>
      <c r="K11" s="1951">
        <v>0</v>
      </c>
      <c r="L11" s="1951"/>
      <c r="M11" s="1944">
        <f t="shared" si="0"/>
        <v>438880</v>
      </c>
      <c r="N11" s="1951">
        <v>0</v>
      </c>
      <c r="O11" s="1991" t="s">
        <v>2100</v>
      </c>
      <c r="P11" s="1972" t="s">
        <v>2101</v>
      </c>
    </row>
    <row r="12" spans="1:16">
      <c r="A12" s="1940"/>
      <c r="B12" s="1946" t="s">
        <v>1059</v>
      </c>
      <c r="C12" s="1941">
        <v>10.553000000000001</v>
      </c>
      <c r="D12" s="1945" t="s">
        <v>2185</v>
      </c>
      <c r="E12" s="1990" t="s">
        <v>2186</v>
      </c>
      <c r="F12" s="1950">
        <v>0</v>
      </c>
      <c r="G12" s="1957">
        <v>462826</v>
      </c>
      <c r="H12" s="1950">
        <v>0</v>
      </c>
      <c r="I12" s="1940">
        <v>0</v>
      </c>
      <c r="J12" s="1957">
        <v>462826</v>
      </c>
      <c r="K12" s="1951">
        <v>0</v>
      </c>
      <c r="L12" s="1951"/>
      <c r="M12" s="1944">
        <f t="shared" si="0"/>
        <v>462826</v>
      </c>
      <c r="N12" s="1951">
        <v>0</v>
      </c>
      <c r="O12" s="1991" t="s">
        <v>2100</v>
      </c>
      <c r="P12" s="1972" t="s">
        <v>2101</v>
      </c>
    </row>
    <row r="13" spans="1:16">
      <c r="A13" s="1940"/>
      <c r="B13" s="1946" t="s">
        <v>1058</v>
      </c>
      <c r="C13" s="1941">
        <v>10.555</v>
      </c>
      <c r="D13" s="1947" t="s">
        <v>2106</v>
      </c>
      <c r="E13" s="1990" t="s">
        <v>2103</v>
      </c>
      <c r="F13" s="1950">
        <v>232120</v>
      </c>
      <c r="G13" s="1984">
        <v>0</v>
      </c>
      <c r="H13" s="1950">
        <v>232120</v>
      </c>
      <c r="I13" s="1940">
        <v>0</v>
      </c>
      <c r="J13" s="1984">
        <v>0</v>
      </c>
      <c r="K13" s="1951">
        <v>0</v>
      </c>
      <c r="L13" s="1951"/>
      <c r="M13" s="1944">
        <f t="shared" si="0"/>
        <v>232120</v>
      </c>
      <c r="N13" s="1951">
        <v>0</v>
      </c>
      <c r="O13" s="1991" t="s">
        <v>2100</v>
      </c>
      <c r="P13" s="1972" t="s">
        <v>2101</v>
      </c>
    </row>
    <row r="14" spans="1:16">
      <c r="A14" s="1940"/>
      <c r="B14" s="1946" t="s">
        <v>1058</v>
      </c>
      <c r="C14" s="1941">
        <v>10.555</v>
      </c>
      <c r="D14" s="1947" t="s">
        <v>2107</v>
      </c>
      <c r="E14" s="1990" t="s">
        <v>2105</v>
      </c>
      <c r="F14" s="1950">
        <v>1021842</v>
      </c>
      <c r="G14" s="1957">
        <v>253063</v>
      </c>
      <c r="H14" s="1950">
        <v>1021842</v>
      </c>
      <c r="I14" s="1940">
        <v>0</v>
      </c>
      <c r="J14" s="1957">
        <v>253063</v>
      </c>
      <c r="K14" s="1951">
        <v>0</v>
      </c>
      <c r="L14" s="1951"/>
      <c r="M14" s="1944">
        <f t="shared" si="0"/>
        <v>1274905</v>
      </c>
      <c r="N14" s="1951">
        <v>0</v>
      </c>
      <c r="O14" s="1991" t="s">
        <v>2100</v>
      </c>
      <c r="P14" s="1972" t="s">
        <v>2101</v>
      </c>
    </row>
    <row r="15" spans="1:16">
      <c r="A15" s="1940"/>
      <c r="B15" s="1946" t="s">
        <v>1058</v>
      </c>
      <c r="C15" s="1941">
        <v>10.555</v>
      </c>
      <c r="D15" s="1947" t="s">
        <v>2187</v>
      </c>
      <c r="E15" s="1990" t="s">
        <v>2186</v>
      </c>
      <c r="F15" s="1950">
        <v>0</v>
      </c>
      <c r="G15" s="1957">
        <v>1013402</v>
      </c>
      <c r="H15" s="1950">
        <v>0</v>
      </c>
      <c r="I15" s="1940">
        <v>0</v>
      </c>
      <c r="J15" s="1957">
        <v>1013402</v>
      </c>
      <c r="K15" s="1951">
        <v>0</v>
      </c>
      <c r="L15" s="1951"/>
      <c r="M15" s="1944">
        <f t="shared" si="0"/>
        <v>1013402</v>
      </c>
      <c r="N15" s="1951">
        <v>0</v>
      </c>
      <c r="O15" s="1991" t="s">
        <v>2100</v>
      </c>
      <c r="P15" s="1972" t="s">
        <v>2101</v>
      </c>
    </row>
    <row r="16" spans="1:16">
      <c r="A16" s="1940"/>
      <c r="B16" s="1946" t="s">
        <v>2108</v>
      </c>
      <c r="C16" s="1941">
        <v>10.555</v>
      </c>
      <c r="D16" s="1947" t="s">
        <v>2110</v>
      </c>
      <c r="E16" s="1990" t="s">
        <v>2100</v>
      </c>
      <c r="F16" s="1950">
        <v>100974</v>
      </c>
      <c r="G16" s="1984">
        <v>0</v>
      </c>
      <c r="H16" s="1950">
        <v>100974</v>
      </c>
      <c r="I16" s="1940">
        <v>0</v>
      </c>
      <c r="J16" s="1984">
        <v>0</v>
      </c>
      <c r="K16" s="1951">
        <v>0</v>
      </c>
      <c r="L16" s="1951"/>
      <c r="M16" s="1944">
        <f t="shared" si="0"/>
        <v>100974</v>
      </c>
      <c r="N16" s="1951">
        <v>0</v>
      </c>
      <c r="O16" s="1991" t="s">
        <v>2100</v>
      </c>
      <c r="P16" s="1972" t="s">
        <v>2101</v>
      </c>
    </row>
    <row r="17" spans="1:16">
      <c r="A17" s="1940"/>
      <c r="B17" s="1946" t="s">
        <v>2109</v>
      </c>
      <c r="C17" s="1941">
        <v>10.555</v>
      </c>
      <c r="D17" s="1947" t="s">
        <v>2110</v>
      </c>
      <c r="E17" s="1990" t="s">
        <v>2100</v>
      </c>
      <c r="F17" s="1950">
        <v>53706</v>
      </c>
      <c r="G17" s="1984">
        <v>0</v>
      </c>
      <c r="H17" s="1950">
        <v>53706</v>
      </c>
      <c r="I17" s="1940">
        <v>0</v>
      </c>
      <c r="J17" s="1984">
        <v>0</v>
      </c>
      <c r="K17" s="1951">
        <v>0</v>
      </c>
      <c r="L17" s="1951"/>
      <c r="M17" s="1944">
        <f t="shared" si="0"/>
        <v>53706</v>
      </c>
      <c r="N17" s="1951">
        <v>0</v>
      </c>
      <c r="O17" s="1991" t="s">
        <v>2100</v>
      </c>
      <c r="P17" s="1972" t="s">
        <v>2101</v>
      </c>
    </row>
    <row r="18" spans="1:16">
      <c r="A18" s="1940"/>
      <c r="B18" s="1946" t="s">
        <v>2108</v>
      </c>
      <c r="C18" s="1941">
        <v>10.555</v>
      </c>
      <c r="D18" s="1947" t="s">
        <v>2188</v>
      </c>
      <c r="E18" s="1990" t="s">
        <v>2100</v>
      </c>
      <c r="F18" s="1950">
        <v>0</v>
      </c>
      <c r="G18" s="1957">
        <v>91509</v>
      </c>
      <c r="H18" s="1950">
        <v>0</v>
      </c>
      <c r="I18" s="1940">
        <v>0</v>
      </c>
      <c r="J18" s="1957">
        <v>91509</v>
      </c>
      <c r="K18" s="1951">
        <v>0</v>
      </c>
      <c r="L18" s="1951"/>
      <c r="M18" s="1944">
        <f t="shared" si="0"/>
        <v>91509</v>
      </c>
      <c r="N18" s="1951">
        <v>0</v>
      </c>
      <c r="O18" s="1991" t="s">
        <v>2100</v>
      </c>
      <c r="P18" s="1972" t="s">
        <v>2101</v>
      </c>
    </row>
    <row r="19" spans="1:16">
      <c r="A19" s="1940"/>
      <c r="B19" s="1946" t="s">
        <v>2109</v>
      </c>
      <c r="C19" s="1941">
        <v>10.555</v>
      </c>
      <c r="D19" s="1947" t="s">
        <v>2188</v>
      </c>
      <c r="E19" s="1990" t="s">
        <v>2100</v>
      </c>
      <c r="F19" s="1950">
        <v>0</v>
      </c>
      <c r="G19" s="1957">
        <v>51579</v>
      </c>
      <c r="H19" s="1950">
        <v>0</v>
      </c>
      <c r="I19" s="1940">
        <v>0</v>
      </c>
      <c r="J19" s="1957">
        <v>51579</v>
      </c>
      <c r="K19" s="1951">
        <v>0</v>
      </c>
      <c r="L19" s="1951"/>
      <c r="M19" s="1944">
        <f t="shared" si="0"/>
        <v>51579</v>
      </c>
      <c r="N19" s="1951">
        <v>0</v>
      </c>
      <c r="O19" s="1991" t="s">
        <v>2100</v>
      </c>
      <c r="P19" s="1972" t="s">
        <v>2101</v>
      </c>
    </row>
    <row r="20" spans="1:16">
      <c r="A20" s="1994"/>
      <c r="B20" s="1994"/>
      <c r="C20" s="1948"/>
      <c r="D20" s="1948"/>
      <c r="E20" s="1948"/>
      <c r="F20" s="1949">
        <f>SUM(F10:F19)</f>
        <v>1803324</v>
      </c>
      <c r="G20" s="1949">
        <f>SUM(G10:G19)</f>
        <v>1990551</v>
      </c>
      <c r="H20" s="1949">
        <f>SUM(H10:H19)</f>
        <v>1803324</v>
      </c>
      <c r="I20" s="1949">
        <v>0</v>
      </c>
      <c r="J20" s="1949">
        <f>SUM(J10:J19)</f>
        <v>1990551</v>
      </c>
      <c r="K20" s="1949">
        <v>0</v>
      </c>
      <c r="L20" s="1949">
        <v>0</v>
      </c>
      <c r="M20" s="1949">
        <f>SUM(M10:M19)</f>
        <v>3793875</v>
      </c>
      <c r="N20" s="1949">
        <v>0</v>
      </c>
      <c r="O20" s="1994"/>
      <c r="P20" s="1938"/>
    </row>
    <row r="21" spans="1:16">
      <c r="A21" s="1940"/>
      <c r="B21" s="1940"/>
      <c r="C21" s="1993"/>
      <c r="D21" s="1993"/>
      <c r="E21" s="1993"/>
      <c r="F21" s="1943"/>
      <c r="G21" s="1943"/>
      <c r="H21" s="1943"/>
      <c r="I21" s="1943"/>
      <c r="J21" s="1943"/>
      <c r="K21" s="1943"/>
      <c r="L21" s="1943"/>
      <c r="M21" s="1943"/>
      <c r="N21" s="1943"/>
      <c r="O21" s="1940"/>
      <c r="P21" s="1938"/>
    </row>
    <row r="22" spans="1:16">
      <c r="A22" s="1940"/>
      <c r="B22" s="1940" t="s">
        <v>2111</v>
      </c>
      <c r="C22" s="1993">
        <v>10.582000000000001</v>
      </c>
      <c r="D22" s="1993" t="s">
        <v>2113</v>
      </c>
      <c r="E22" s="1956" t="s">
        <v>2112</v>
      </c>
      <c r="F22" s="1943">
        <v>2949</v>
      </c>
      <c r="G22" s="1943">
        <v>0</v>
      </c>
      <c r="H22" s="1943">
        <v>2949</v>
      </c>
      <c r="I22" s="1943">
        <v>0</v>
      </c>
      <c r="J22" s="1943">
        <v>0</v>
      </c>
      <c r="K22" s="1943">
        <v>0</v>
      </c>
      <c r="L22" s="1943"/>
      <c r="M22" s="1943">
        <f>SUM(H22:L22)</f>
        <v>2949</v>
      </c>
      <c r="N22" s="1943">
        <v>0</v>
      </c>
      <c r="O22" s="1991" t="s">
        <v>2100</v>
      </c>
      <c r="P22" s="1938"/>
    </row>
    <row r="23" spans="1:16">
      <c r="A23" s="1940"/>
      <c r="B23" s="1940" t="s">
        <v>2111</v>
      </c>
      <c r="C23" s="1993">
        <v>10.582000000000001</v>
      </c>
      <c r="D23" s="1993" t="s">
        <v>2114</v>
      </c>
      <c r="E23" s="1956" t="s">
        <v>2115</v>
      </c>
      <c r="F23" s="1943">
        <v>4181</v>
      </c>
      <c r="G23" s="1943">
        <v>0</v>
      </c>
      <c r="H23" s="1943">
        <v>4181</v>
      </c>
      <c r="I23" s="1943">
        <v>0</v>
      </c>
      <c r="J23" s="1943">
        <v>0</v>
      </c>
      <c r="K23" s="1943">
        <v>0</v>
      </c>
      <c r="L23" s="1943"/>
      <c r="M23" s="1943">
        <f>SUM(H23:L23)</f>
        <v>4181</v>
      </c>
      <c r="N23" s="1943">
        <v>0</v>
      </c>
      <c r="O23" s="1991" t="s">
        <v>2100</v>
      </c>
      <c r="P23" s="1938"/>
    </row>
    <row r="24" spans="1:16">
      <c r="A24" s="1940"/>
      <c r="B24" s="1940" t="s">
        <v>2111</v>
      </c>
      <c r="C24" s="1993">
        <v>10.582000000000001</v>
      </c>
      <c r="D24" s="1993" t="s">
        <v>2116</v>
      </c>
      <c r="E24" s="1956" t="s">
        <v>2115</v>
      </c>
      <c r="F24" s="1943">
        <v>18134</v>
      </c>
      <c r="G24" s="1943">
        <v>1852</v>
      </c>
      <c r="H24" s="1943">
        <v>18134</v>
      </c>
      <c r="I24" s="1943">
        <v>0</v>
      </c>
      <c r="J24" s="1943">
        <v>1852</v>
      </c>
      <c r="K24" s="1943">
        <v>0</v>
      </c>
      <c r="L24" s="1943"/>
      <c r="M24" s="1943">
        <f>SUM(H24:L24)</f>
        <v>19986</v>
      </c>
      <c r="N24" s="1943">
        <v>0</v>
      </c>
      <c r="O24" s="1991" t="s">
        <v>2100</v>
      </c>
      <c r="P24" s="1938"/>
    </row>
    <row r="25" spans="1:16" s="1938" customFormat="1">
      <c r="A25" s="1940"/>
      <c r="B25" s="1940" t="s">
        <v>2111</v>
      </c>
      <c r="C25" s="1993">
        <v>10.582000000000001</v>
      </c>
      <c r="D25" s="1993" t="s">
        <v>2190</v>
      </c>
      <c r="E25" s="1956" t="s">
        <v>2192</v>
      </c>
      <c r="F25" s="1943">
        <v>0</v>
      </c>
      <c r="G25" s="1943">
        <v>2854</v>
      </c>
      <c r="H25" s="1943">
        <v>0</v>
      </c>
      <c r="I25" s="1943">
        <v>0</v>
      </c>
      <c r="J25" s="1943">
        <v>2854</v>
      </c>
      <c r="K25" s="1943">
        <v>0</v>
      </c>
      <c r="L25" s="1943"/>
      <c r="M25" s="1943">
        <f>SUM(H25:L25)</f>
        <v>2854</v>
      </c>
      <c r="N25" s="1943"/>
      <c r="O25" s="1991"/>
    </row>
    <row r="26" spans="1:16" s="1938" customFormat="1">
      <c r="A26" s="1940"/>
      <c r="B26" s="1940" t="s">
        <v>2111</v>
      </c>
      <c r="C26" s="1993">
        <v>10.582000000000001</v>
      </c>
      <c r="D26" s="1993" t="s">
        <v>2191</v>
      </c>
      <c r="E26" s="1956" t="s">
        <v>2192</v>
      </c>
      <c r="F26" s="1943">
        <v>0</v>
      </c>
      <c r="G26" s="1943">
        <v>14209</v>
      </c>
      <c r="H26" s="1943">
        <v>0</v>
      </c>
      <c r="I26" s="1943">
        <v>0</v>
      </c>
      <c r="J26" s="1943">
        <v>14209</v>
      </c>
      <c r="K26" s="1943">
        <v>0</v>
      </c>
      <c r="L26" s="1943"/>
      <c r="M26" s="1943">
        <f>SUM(H26:L26)</f>
        <v>14209</v>
      </c>
      <c r="N26" s="1943"/>
      <c r="O26" s="1991"/>
    </row>
    <row r="27" spans="1:16">
      <c r="A27" s="1994"/>
      <c r="B27" s="1994"/>
      <c r="C27" s="1948"/>
      <c r="D27" s="1948"/>
      <c r="E27" s="1948"/>
      <c r="F27" s="1955">
        <f>SUM(F22:F26)</f>
        <v>25264</v>
      </c>
      <c r="G27" s="1955">
        <f>SUM(G22:G26)</f>
        <v>18915</v>
      </c>
      <c r="H27" s="1955">
        <f>SUM(H22:H26)</f>
        <v>25264</v>
      </c>
      <c r="I27" s="1955">
        <v>0</v>
      </c>
      <c r="J27" s="1955">
        <f>SUM(J22:J26)</f>
        <v>18915</v>
      </c>
      <c r="K27" s="1955">
        <v>0</v>
      </c>
      <c r="L27" s="1955">
        <v>0</v>
      </c>
      <c r="M27" s="1955">
        <v>37836</v>
      </c>
      <c r="N27" s="1955">
        <v>0</v>
      </c>
      <c r="O27" s="1994"/>
      <c r="P27" s="1938"/>
    </row>
    <row r="28" spans="1:16">
      <c r="A28" s="1940"/>
      <c r="B28" s="1940"/>
      <c r="C28" s="1993"/>
      <c r="D28" s="1993"/>
      <c r="E28" s="1993"/>
      <c r="F28" s="1943"/>
      <c r="G28" s="1943"/>
      <c r="H28" s="1943"/>
      <c r="I28" s="1943"/>
      <c r="J28" s="1943"/>
      <c r="K28" s="1943"/>
      <c r="L28" s="1943"/>
      <c r="M28" s="1943"/>
      <c r="N28" s="1943"/>
      <c r="O28" s="1940"/>
      <c r="P28" s="1938"/>
    </row>
    <row r="29" spans="1:16">
      <c r="A29" s="1988" t="s">
        <v>2117</v>
      </c>
      <c r="B29" s="1954"/>
      <c r="C29" s="1953"/>
      <c r="D29" s="1953"/>
      <c r="E29" s="1953"/>
      <c r="F29" s="1986">
        <f>+F27+F20</f>
        <v>1828588</v>
      </c>
      <c r="G29" s="1986">
        <f>+G27+G20</f>
        <v>2009466</v>
      </c>
      <c r="H29" s="1986">
        <f>+H27+H20</f>
        <v>1828588</v>
      </c>
      <c r="I29" s="1986">
        <v>0</v>
      </c>
      <c r="J29" s="1986">
        <f>+J27+J20</f>
        <v>2009466</v>
      </c>
      <c r="K29" s="1986">
        <v>0</v>
      </c>
      <c r="L29" s="1986">
        <v>0</v>
      </c>
      <c r="M29" s="1986">
        <f>+M27+M20</f>
        <v>3831711</v>
      </c>
      <c r="N29" s="1986">
        <v>0</v>
      </c>
      <c r="O29" s="1954"/>
      <c r="P29" s="1938"/>
    </row>
    <row r="30" spans="1:16">
      <c r="A30" s="1940"/>
      <c r="B30" s="1940"/>
      <c r="C30" s="1993"/>
      <c r="D30" s="1993"/>
      <c r="E30" s="1993"/>
      <c r="F30" s="1943"/>
      <c r="G30" s="1943"/>
      <c r="H30" s="1943"/>
      <c r="I30" s="1943"/>
      <c r="J30" s="1943"/>
      <c r="K30" s="1943"/>
      <c r="L30" s="1943"/>
      <c r="M30" s="1943"/>
      <c r="N30" s="1943"/>
      <c r="O30" s="1940"/>
      <c r="P30" s="1938"/>
    </row>
    <row r="31" spans="1:16">
      <c r="A31" s="1992" t="s">
        <v>2118</v>
      </c>
      <c r="B31" s="1940"/>
      <c r="C31" s="1993"/>
      <c r="D31" s="1993"/>
      <c r="E31" s="1993"/>
      <c r="F31" s="1943"/>
      <c r="G31" s="1943"/>
      <c r="H31" s="1943"/>
      <c r="I31" s="1943"/>
      <c r="J31" s="1943"/>
      <c r="K31" s="1943"/>
      <c r="L31" s="1943"/>
      <c r="M31" s="1943"/>
      <c r="N31" s="1943"/>
      <c r="O31" s="1940"/>
      <c r="P31" s="1938"/>
    </row>
    <row r="32" spans="1:16">
      <c r="A32" s="1985" t="s">
        <v>2098</v>
      </c>
      <c r="B32" s="1940"/>
      <c r="C32" s="1993"/>
      <c r="D32" s="1993"/>
      <c r="E32" s="1993"/>
      <c r="F32" s="1943"/>
      <c r="G32" s="1943"/>
      <c r="H32" s="1943"/>
      <c r="I32" s="1943"/>
      <c r="J32" s="1943"/>
      <c r="K32" s="1943"/>
      <c r="L32" s="1943"/>
      <c r="M32" s="1943"/>
      <c r="N32" s="1943"/>
      <c r="O32" s="1940"/>
      <c r="P32" s="1938"/>
    </row>
    <row r="33" spans="1:15">
      <c r="A33" s="1940"/>
      <c r="B33" s="1992" t="s">
        <v>2119</v>
      </c>
      <c r="C33" s="1993"/>
      <c r="D33" s="1993"/>
      <c r="E33" s="1993"/>
      <c r="F33" s="1943"/>
      <c r="G33" s="1943"/>
      <c r="H33" s="1943"/>
      <c r="I33" s="1943"/>
      <c r="J33" s="1943"/>
      <c r="K33" s="1943"/>
      <c r="L33" s="1943"/>
      <c r="M33" s="1943"/>
      <c r="N33" s="1943"/>
      <c r="O33" s="1940"/>
    </row>
    <row r="34" spans="1:15">
      <c r="A34" s="1940"/>
      <c r="B34" s="1940" t="s">
        <v>918</v>
      </c>
      <c r="C34" s="1995" t="s">
        <v>2120</v>
      </c>
      <c r="D34" s="1959" t="s">
        <v>2121</v>
      </c>
      <c r="E34" s="1956" t="s">
        <v>2122</v>
      </c>
      <c r="F34" s="1980">
        <v>256327</v>
      </c>
      <c r="G34" s="1980">
        <v>0</v>
      </c>
      <c r="H34" s="1980">
        <v>230147</v>
      </c>
      <c r="I34" s="1980"/>
      <c r="J34" s="1980">
        <v>0</v>
      </c>
      <c r="K34" s="1980"/>
      <c r="L34" s="1980"/>
      <c r="M34" s="1980">
        <f>SUM(H34:L34)</f>
        <v>230147</v>
      </c>
      <c r="N34" s="1980">
        <f>SUM(F34:G34)-M34</f>
        <v>26180</v>
      </c>
      <c r="O34" s="1980">
        <v>1193567</v>
      </c>
    </row>
    <row r="35" spans="1:15">
      <c r="A35" s="1940"/>
      <c r="B35" s="1940" t="s">
        <v>918</v>
      </c>
      <c r="C35" s="1995" t="s">
        <v>2120</v>
      </c>
      <c r="D35" s="1959" t="s">
        <v>2123</v>
      </c>
      <c r="E35" s="1956" t="s">
        <v>2124</v>
      </c>
      <c r="F35" s="1943">
        <v>806471</v>
      </c>
      <c r="G35" s="1943">
        <v>234192</v>
      </c>
      <c r="H35" s="1943">
        <v>876868</v>
      </c>
      <c r="I35" s="1943"/>
      <c r="J35" s="1943">
        <v>163795</v>
      </c>
      <c r="K35" s="1943"/>
      <c r="L35" s="1943"/>
      <c r="M35" s="1943">
        <f>SUM(H35:L35)</f>
        <v>1040663</v>
      </c>
      <c r="N35" s="1943">
        <f>SUM(F35:G35)-M35</f>
        <v>0</v>
      </c>
      <c r="O35" s="1996">
        <v>1241202</v>
      </c>
    </row>
    <row r="36" spans="1:15">
      <c r="A36" s="1940"/>
      <c r="B36" s="1940" t="s">
        <v>918</v>
      </c>
      <c r="C36" s="1995" t="s">
        <v>2120</v>
      </c>
      <c r="D36" s="1959" t="s">
        <v>2193</v>
      </c>
      <c r="E36" s="1956" t="s">
        <v>2194</v>
      </c>
      <c r="F36" s="1943">
        <v>0</v>
      </c>
      <c r="G36" s="1943">
        <v>850586</v>
      </c>
      <c r="H36" s="1943">
        <v>0</v>
      </c>
      <c r="I36" s="1943"/>
      <c r="J36" s="1943">
        <v>878362</v>
      </c>
      <c r="K36" s="1943"/>
      <c r="L36" s="1943"/>
      <c r="M36" s="1943">
        <f>SUM(H36:L36)</f>
        <v>878362</v>
      </c>
      <c r="N36" s="1943">
        <f>SUM(F36:G36)-M36</f>
        <v>-27776</v>
      </c>
      <c r="O36" s="1996">
        <v>1827925</v>
      </c>
    </row>
    <row r="37" spans="1:15">
      <c r="A37" s="1994"/>
      <c r="B37" s="1994"/>
      <c r="C37" s="1948"/>
      <c r="D37" s="1948"/>
      <c r="E37" s="1948"/>
      <c r="F37" s="1955">
        <f>SUM(F34:F36)</f>
        <v>1062798</v>
      </c>
      <c r="G37" s="1955">
        <f>SUM(G34:G36)</f>
        <v>1084778</v>
      </c>
      <c r="H37" s="1955">
        <f>SUM(H34:H36)</f>
        <v>1107015</v>
      </c>
      <c r="I37" s="1955">
        <v>0</v>
      </c>
      <c r="J37" s="1955">
        <f>SUM(J34:J36)</f>
        <v>1042157</v>
      </c>
      <c r="K37" s="1955">
        <v>0</v>
      </c>
      <c r="L37" s="1955">
        <v>0</v>
      </c>
      <c r="M37" s="1955">
        <f>SUM(M34:M36)</f>
        <v>2149172</v>
      </c>
      <c r="N37" s="1955">
        <f>SUM(N34:N36)</f>
        <v>-1596</v>
      </c>
      <c r="O37" s="1958"/>
    </row>
    <row r="38" spans="1:15">
      <c r="A38" s="1940"/>
      <c r="B38" s="1940"/>
      <c r="C38" s="1993"/>
      <c r="D38" s="1993"/>
      <c r="E38" s="1993"/>
      <c r="F38" s="1943"/>
      <c r="G38" s="1943"/>
      <c r="H38" s="1943"/>
      <c r="I38" s="1943"/>
      <c r="J38" s="1943"/>
      <c r="K38" s="1943"/>
      <c r="L38" s="1943"/>
      <c r="M38" s="1943"/>
      <c r="N38" s="1943"/>
      <c r="O38" s="1940"/>
    </row>
    <row r="39" spans="1:15">
      <c r="A39" s="1992" t="s">
        <v>2125</v>
      </c>
      <c r="B39" s="1940"/>
      <c r="C39" s="1993"/>
      <c r="D39" s="1993"/>
      <c r="E39" s="1993"/>
      <c r="F39" s="1943"/>
      <c r="G39" s="1943"/>
      <c r="H39" s="1943"/>
      <c r="I39" s="1943"/>
      <c r="J39" s="1943"/>
      <c r="K39" s="1943"/>
      <c r="L39" s="1943"/>
      <c r="M39" s="1943"/>
      <c r="N39" s="1943"/>
      <c r="O39" s="1940"/>
    </row>
    <row r="40" spans="1:15">
      <c r="A40" s="1940"/>
      <c r="B40" s="1940"/>
      <c r="C40" s="1993"/>
      <c r="D40" s="1993"/>
      <c r="E40" s="1993"/>
      <c r="F40" s="1943"/>
      <c r="G40" s="1943"/>
      <c r="H40" s="1943"/>
      <c r="I40" s="1943"/>
      <c r="J40" s="1943"/>
      <c r="K40" s="1943"/>
      <c r="L40" s="1943"/>
      <c r="M40" s="1943"/>
      <c r="N40" s="1943"/>
      <c r="O40" s="1940"/>
    </row>
    <row r="41" spans="1:15">
      <c r="A41" s="1940" t="s">
        <v>2126</v>
      </c>
      <c r="B41" s="1940"/>
      <c r="C41" s="1993"/>
      <c r="D41" s="1993"/>
      <c r="E41" s="1993"/>
      <c r="F41" s="1943"/>
      <c r="G41" s="1943"/>
      <c r="H41" s="1943"/>
      <c r="I41" s="1943"/>
      <c r="J41" s="1943"/>
      <c r="K41" s="1943"/>
      <c r="L41" s="1943"/>
      <c r="M41" s="1943"/>
      <c r="N41" s="1943"/>
      <c r="O41" s="1940"/>
    </row>
    <row r="42" spans="1:15">
      <c r="A42" s="1940"/>
      <c r="B42" s="1940" t="s">
        <v>2127</v>
      </c>
      <c r="C42" s="1993">
        <v>84.027000000000001</v>
      </c>
      <c r="D42" s="1959" t="s">
        <v>2128</v>
      </c>
      <c r="E42" s="1990" t="s">
        <v>2129</v>
      </c>
      <c r="F42" s="1943">
        <v>0</v>
      </c>
      <c r="G42" s="1943">
        <v>0</v>
      </c>
      <c r="H42" s="1943">
        <v>0</v>
      </c>
      <c r="I42" s="1943"/>
      <c r="J42" s="1943">
        <v>0</v>
      </c>
      <c r="K42" s="1943"/>
      <c r="L42" s="1943">
        <v>0</v>
      </c>
      <c r="M42" s="1943">
        <f>SUM(H42:L42)</f>
        <v>0</v>
      </c>
      <c r="N42" s="1943">
        <f>SUM(F42:G42)-M42</f>
        <v>0</v>
      </c>
      <c r="O42" s="1996">
        <v>579443</v>
      </c>
    </row>
    <row r="43" spans="1:15">
      <c r="A43" s="1940"/>
      <c r="B43" s="1940" t="s">
        <v>2127</v>
      </c>
      <c r="C43" s="1993">
        <v>84.027000000000001</v>
      </c>
      <c r="D43" s="1959" t="s">
        <v>2130</v>
      </c>
      <c r="E43" s="1956" t="s">
        <v>2131</v>
      </c>
      <c r="F43" s="1943">
        <v>496237</v>
      </c>
      <c r="G43" s="1943">
        <v>87731</v>
      </c>
      <c r="H43" s="1943">
        <v>520434</v>
      </c>
      <c r="I43" s="1943"/>
      <c r="J43" s="1943">
        <v>63534</v>
      </c>
      <c r="K43" s="1943"/>
      <c r="L43" s="1943">
        <v>0</v>
      </c>
      <c r="M43" s="1943">
        <f>SUM(H43:L43)</f>
        <v>583968</v>
      </c>
      <c r="N43" s="1943">
        <f>SUM(F43:G43)-M43</f>
        <v>0</v>
      </c>
      <c r="O43" s="1996">
        <v>580875</v>
      </c>
    </row>
    <row r="44" spans="1:15">
      <c r="A44" s="1940"/>
      <c r="B44" s="1940" t="s">
        <v>2127</v>
      </c>
      <c r="C44" s="1993">
        <v>84.027000000000001</v>
      </c>
      <c r="D44" s="1959" t="s">
        <v>2195</v>
      </c>
      <c r="E44" s="1956" t="s">
        <v>2196</v>
      </c>
      <c r="F44" s="1943">
        <v>0</v>
      </c>
      <c r="G44" s="1943">
        <v>478285</v>
      </c>
      <c r="H44" s="1943">
        <v>0</v>
      </c>
      <c r="I44" s="1943"/>
      <c r="J44" s="1943">
        <v>520268</v>
      </c>
      <c r="K44" s="1943"/>
      <c r="L44" s="1943">
        <v>60422</v>
      </c>
      <c r="M44" s="1943">
        <f>SUM(H44:L44)</f>
        <v>580690</v>
      </c>
      <c r="N44" s="1943">
        <f>SUM(F44:G44)-M44</f>
        <v>-102405</v>
      </c>
      <c r="O44" s="1996">
        <v>629813</v>
      </c>
    </row>
    <row r="45" spans="1:15">
      <c r="A45" s="1994"/>
      <c r="B45" s="1994"/>
      <c r="C45" s="1948"/>
      <c r="D45" s="1948"/>
      <c r="E45" s="1948"/>
      <c r="F45" s="1955">
        <f>SUM(F42:F44)</f>
        <v>496237</v>
      </c>
      <c r="G45" s="1955">
        <f>SUM(G42:G44)</f>
        <v>566016</v>
      </c>
      <c r="H45" s="1955">
        <f>SUM(H42:H44)</f>
        <v>520434</v>
      </c>
      <c r="I45" s="1955">
        <v>0</v>
      </c>
      <c r="J45" s="1955">
        <f>SUM(J42:J44)</f>
        <v>583802</v>
      </c>
      <c r="K45" s="1955">
        <v>0</v>
      </c>
      <c r="L45" s="1955">
        <f>SUM(L42:L44)</f>
        <v>60422</v>
      </c>
      <c r="M45" s="1955">
        <f>SUM(M42:M44)</f>
        <v>1164658</v>
      </c>
      <c r="N45" s="1955">
        <f>SUM(N42:N44)</f>
        <v>-102405</v>
      </c>
      <c r="O45" s="1994"/>
    </row>
    <row r="46" spans="1:15">
      <c r="A46" s="1940"/>
      <c r="B46" s="1940"/>
      <c r="C46" s="1993"/>
      <c r="D46" s="1993"/>
      <c r="E46" s="1993"/>
      <c r="F46" s="1943"/>
      <c r="G46" s="1943"/>
      <c r="H46" s="1943"/>
      <c r="I46" s="1943"/>
      <c r="J46" s="1943"/>
      <c r="K46" s="1943"/>
      <c r="L46" s="1943"/>
      <c r="M46" s="1943"/>
      <c r="N46" s="1943"/>
      <c r="O46" s="1940"/>
    </row>
    <row r="47" spans="1:15">
      <c r="A47" s="1992" t="s">
        <v>2132</v>
      </c>
      <c r="B47" s="1940"/>
      <c r="C47" s="1993"/>
      <c r="D47" s="1993"/>
      <c r="E47" s="1993"/>
      <c r="F47" s="1943"/>
      <c r="G47" s="1943"/>
      <c r="H47" s="1943"/>
      <c r="I47" s="1943"/>
      <c r="J47" s="1943"/>
      <c r="K47" s="1943"/>
      <c r="L47" s="1943"/>
      <c r="M47" s="1943"/>
      <c r="N47" s="1943"/>
      <c r="O47" s="1940"/>
    </row>
    <row r="48" spans="1:15">
      <c r="A48" s="1940"/>
      <c r="B48" s="1940"/>
      <c r="C48" s="1993"/>
      <c r="D48" s="1993"/>
      <c r="E48" s="1993"/>
      <c r="F48" s="1943"/>
      <c r="G48" s="1943"/>
      <c r="H48" s="1943"/>
      <c r="I48" s="1943"/>
      <c r="J48" s="1943"/>
      <c r="K48" s="1943"/>
      <c r="L48" s="1943"/>
      <c r="M48" s="1943"/>
      <c r="N48" s="1943"/>
      <c r="O48" s="1940"/>
    </row>
    <row r="49" spans="1:15">
      <c r="A49" s="1940" t="s">
        <v>2133</v>
      </c>
      <c r="B49" s="1940"/>
      <c r="C49" s="1993"/>
      <c r="D49" s="1993"/>
      <c r="E49" s="1993"/>
      <c r="F49" s="1943"/>
      <c r="G49" s="1943"/>
      <c r="H49" s="1943"/>
      <c r="I49" s="1943"/>
      <c r="J49" s="1943"/>
      <c r="K49" s="1943"/>
      <c r="L49" s="1943"/>
      <c r="M49" s="1943"/>
      <c r="N49" s="1943"/>
      <c r="O49" s="1940"/>
    </row>
    <row r="50" spans="1:15">
      <c r="A50" s="1940"/>
      <c r="B50" s="1940" t="s">
        <v>2134</v>
      </c>
      <c r="C50" s="1993">
        <v>84.027000000000001</v>
      </c>
      <c r="D50" s="1993" t="s">
        <v>2135</v>
      </c>
      <c r="E50" s="1956" t="s">
        <v>2136</v>
      </c>
      <c r="F50" s="1943">
        <v>3887</v>
      </c>
      <c r="G50" s="1943">
        <v>0</v>
      </c>
      <c r="H50" s="1943">
        <v>3887</v>
      </c>
      <c r="I50" s="1943"/>
      <c r="J50" s="1943">
        <v>0</v>
      </c>
      <c r="K50" s="1943"/>
      <c r="L50" s="1943"/>
      <c r="M50" s="1943">
        <f>SUM(H50:L50)</f>
        <v>3887</v>
      </c>
      <c r="N50" s="1943">
        <v>0</v>
      </c>
      <c r="O50" s="1987" t="s">
        <v>2100</v>
      </c>
    </row>
    <row r="51" spans="1:15">
      <c r="A51" s="1940"/>
      <c r="B51" s="1940" t="s">
        <v>2134</v>
      </c>
      <c r="C51" s="1993">
        <v>84.027000000000001</v>
      </c>
      <c r="D51" s="1993" t="s">
        <v>2197</v>
      </c>
      <c r="E51" s="1956" t="s">
        <v>2198</v>
      </c>
      <c r="F51" s="1943">
        <v>0</v>
      </c>
      <c r="G51" s="1943">
        <v>5672</v>
      </c>
      <c r="H51" s="1943">
        <v>0</v>
      </c>
      <c r="I51" s="1943"/>
      <c r="J51" s="1943">
        <v>5672</v>
      </c>
      <c r="K51" s="1943"/>
      <c r="L51" s="1943"/>
      <c r="M51" s="1943">
        <f>SUM(H51:L51)</f>
        <v>5672</v>
      </c>
      <c r="N51" s="1943">
        <v>0</v>
      </c>
      <c r="O51" s="1987" t="s">
        <v>2100</v>
      </c>
    </row>
    <row r="52" spans="1:15">
      <c r="A52" s="1994"/>
      <c r="B52" s="1994"/>
      <c r="C52" s="1948"/>
      <c r="D52" s="1948"/>
      <c r="E52" s="1966"/>
      <c r="F52" s="1955">
        <f>SUM(F50:F51)</f>
        <v>3887</v>
      </c>
      <c r="G52" s="1955">
        <f>SUM(G50:G51)</f>
        <v>5672</v>
      </c>
      <c r="H52" s="1955">
        <f>SUM(H50:H51)</f>
        <v>3887</v>
      </c>
      <c r="I52" s="1955">
        <v>0</v>
      </c>
      <c r="J52" s="1955">
        <f>SUM(J50:J51)</f>
        <v>5672</v>
      </c>
      <c r="K52" s="1955">
        <v>0</v>
      </c>
      <c r="L52" s="1955">
        <v>0</v>
      </c>
      <c r="M52" s="1955">
        <f>SUM(M50:M51)</f>
        <v>9559</v>
      </c>
      <c r="N52" s="1955">
        <v>0</v>
      </c>
      <c r="O52" s="1955"/>
    </row>
    <row r="53" spans="1:15" s="1938" customFormat="1">
      <c r="A53" s="1967"/>
      <c r="B53" s="1967"/>
      <c r="C53" s="1968"/>
      <c r="D53" s="1968"/>
      <c r="E53" s="1956"/>
      <c r="F53" s="1970"/>
      <c r="G53" s="1970"/>
      <c r="H53" s="1970"/>
      <c r="I53" s="1970"/>
      <c r="J53" s="1970"/>
      <c r="K53" s="1970"/>
      <c r="L53" s="1970"/>
      <c r="M53" s="1970"/>
      <c r="N53" s="1970"/>
      <c r="O53" s="1970"/>
    </row>
    <row r="54" spans="1:15" s="1938" customFormat="1">
      <c r="A54" s="1967"/>
      <c r="B54" s="1967"/>
      <c r="C54" s="1968"/>
      <c r="D54" s="1968"/>
      <c r="E54" s="1956"/>
      <c r="F54" s="1970"/>
      <c r="G54" s="1970"/>
      <c r="H54" s="1970"/>
      <c r="I54" s="1970"/>
      <c r="J54" s="1970"/>
      <c r="K54" s="1970"/>
      <c r="L54" s="1970"/>
      <c r="M54" s="1970"/>
      <c r="N54" s="1970"/>
      <c r="O54" s="1970"/>
    </row>
    <row r="55" spans="1:15">
      <c r="A55" s="1940"/>
      <c r="B55" s="1940"/>
      <c r="C55" s="1993"/>
      <c r="D55" s="1993"/>
      <c r="E55" s="1993"/>
      <c r="F55" s="1943"/>
      <c r="G55" s="1943"/>
      <c r="H55" s="1943"/>
      <c r="I55" s="1943"/>
      <c r="J55" s="1943"/>
      <c r="K55" s="1943"/>
      <c r="L55" s="1943"/>
      <c r="M55" s="1943"/>
      <c r="N55" s="1943"/>
      <c r="O55" s="1940"/>
    </row>
    <row r="56" spans="1:15">
      <c r="A56" s="1940" t="s">
        <v>2137</v>
      </c>
      <c r="B56" s="1940"/>
      <c r="C56" s="1993"/>
      <c r="D56" s="1993"/>
      <c r="E56" s="1993"/>
      <c r="F56" s="1943"/>
      <c r="G56" s="1943"/>
      <c r="H56" s="1943"/>
      <c r="I56" s="1943"/>
      <c r="J56" s="1943"/>
      <c r="K56" s="1943"/>
      <c r="L56" s="1943"/>
      <c r="M56" s="1943"/>
      <c r="N56" s="1943"/>
      <c r="O56" s="1940"/>
    </row>
    <row r="57" spans="1:15">
      <c r="A57" s="1940"/>
      <c r="B57" s="1992" t="s">
        <v>2138</v>
      </c>
      <c r="C57" s="1993"/>
      <c r="D57" s="1993"/>
      <c r="E57" s="1993"/>
      <c r="F57" s="1943"/>
      <c r="G57" s="1943"/>
      <c r="H57" s="1943"/>
      <c r="I57" s="1943"/>
      <c r="J57" s="1943"/>
      <c r="K57" s="1943"/>
      <c r="L57" s="1943"/>
      <c r="M57" s="1943"/>
      <c r="N57" s="1943"/>
      <c r="O57" s="1940"/>
    </row>
    <row r="58" spans="1:15">
      <c r="A58" s="1940"/>
      <c r="B58" s="1940" t="s">
        <v>2139</v>
      </c>
      <c r="C58" s="1993">
        <v>84.287000000000006</v>
      </c>
      <c r="D58" s="1959" t="s">
        <v>2140</v>
      </c>
      <c r="E58" s="1990" t="s">
        <v>2122</v>
      </c>
      <c r="F58" s="1943">
        <v>24011</v>
      </c>
      <c r="G58" s="1943">
        <v>-1950</v>
      </c>
      <c r="H58" s="1943">
        <v>14327</v>
      </c>
      <c r="I58" s="1943"/>
      <c r="J58" s="1943">
        <v>0</v>
      </c>
      <c r="K58" s="1943"/>
      <c r="L58" s="1943"/>
      <c r="M58" s="1943">
        <f>SUM(H58:L58)</f>
        <v>14327</v>
      </c>
      <c r="N58" s="1943">
        <f>SUM(F58:G58)-M58</f>
        <v>7734</v>
      </c>
      <c r="O58" s="1996">
        <v>135000</v>
      </c>
    </row>
    <row r="59" spans="1:15">
      <c r="A59" s="1940"/>
      <c r="B59" s="1940" t="s">
        <v>2139</v>
      </c>
      <c r="C59" s="1993">
        <v>84.287000000000006</v>
      </c>
      <c r="D59" s="1959" t="s">
        <v>2141</v>
      </c>
      <c r="E59" s="1956" t="s">
        <v>2124</v>
      </c>
      <c r="F59" s="1943">
        <v>71870</v>
      </c>
      <c r="G59" s="1943">
        <v>24136</v>
      </c>
      <c r="H59" s="1943">
        <v>81923</v>
      </c>
      <c r="I59" s="1943"/>
      <c r="J59" s="1943">
        <v>14083</v>
      </c>
      <c r="K59" s="1943"/>
      <c r="L59" s="1943"/>
      <c r="M59" s="1943">
        <f>SUM(H59:L59)</f>
        <v>96006</v>
      </c>
      <c r="N59" s="1943">
        <f>SUM(F59:G59)-M59</f>
        <v>0</v>
      </c>
      <c r="O59" s="1996">
        <v>121500</v>
      </c>
    </row>
    <row r="60" spans="1:15">
      <c r="A60" s="1940"/>
      <c r="B60" s="1940" t="s">
        <v>2139</v>
      </c>
      <c r="C60" s="1993">
        <v>84.287000000000006</v>
      </c>
      <c r="D60" s="1959" t="s">
        <v>2199</v>
      </c>
      <c r="E60" s="1956" t="s">
        <v>2194</v>
      </c>
      <c r="F60" s="1943">
        <v>0</v>
      </c>
      <c r="G60" s="1943">
        <v>67736</v>
      </c>
      <c r="H60" s="1943">
        <v>0</v>
      </c>
      <c r="I60" s="1943"/>
      <c r="J60" s="1943">
        <v>89576</v>
      </c>
      <c r="K60" s="1943"/>
      <c r="L60" s="1943"/>
      <c r="M60" s="1943">
        <f>SUM(H60:L60)</f>
        <v>89576</v>
      </c>
      <c r="N60" s="1943">
        <f>SUM(F60:G60)-M60</f>
        <v>-21840</v>
      </c>
      <c r="O60" s="1996">
        <v>135000</v>
      </c>
    </row>
    <row r="61" spans="1:15">
      <c r="A61" s="1994"/>
      <c r="B61" s="1994"/>
      <c r="C61" s="1948"/>
      <c r="D61" s="1948"/>
      <c r="E61" s="1948"/>
      <c r="F61" s="1955">
        <f>SUM(F58:F60)</f>
        <v>95881</v>
      </c>
      <c r="G61" s="1955">
        <f>SUM(G58:G60)</f>
        <v>89922</v>
      </c>
      <c r="H61" s="1955">
        <f>SUM(H58:H60)</f>
        <v>96250</v>
      </c>
      <c r="I61" s="1955">
        <v>0</v>
      </c>
      <c r="J61" s="1955">
        <f>SUM(J58:J60)</f>
        <v>103659</v>
      </c>
      <c r="K61" s="1955">
        <v>0</v>
      </c>
      <c r="L61" s="1955">
        <v>0</v>
      </c>
      <c r="M61" s="1955">
        <f>SUM(M58:M60)</f>
        <v>199909</v>
      </c>
      <c r="N61" s="1955">
        <f>SUM(N58:N60)</f>
        <v>-14106</v>
      </c>
      <c r="O61" s="1994"/>
    </row>
    <row r="62" spans="1:15">
      <c r="A62" s="1967"/>
      <c r="B62" s="1967"/>
      <c r="C62" s="1968"/>
      <c r="D62" s="1968"/>
      <c r="E62" s="1968"/>
      <c r="F62" s="1970"/>
      <c r="G62" s="1970"/>
      <c r="H62" s="1970"/>
      <c r="I62" s="1970"/>
      <c r="J62" s="1970"/>
      <c r="K62" s="1970"/>
      <c r="L62" s="1970"/>
      <c r="M62" s="1970"/>
      <c r="N62" s="1970"/>
      <c r="O62" s="1967"/>
    </row>
    <row r="63" spans="1:15">
      <c r="A63" s="1940" t="s">
        <v>2098</v>
      </c>
      <c r="B63" s="1940"/>
      <c r="C63" s="1993"/>
      <c r="D63" s="1993"/>
      <c r="E63" s="1993"/>
      <c r="F63" s="1943"/>
      <c r="G63" s="1943"/>
      <c r="H63" s="1943"/>
      <c r="I63" s="1943"/>
      <c r="J63" s="1943"/>
      <c r="K63" s="1943"/>
      <c r="L63" s="1943"/>
      <c r="M63" s="1943"/>
      <c r="N63" s="1943"/>
      <c r="O63" s="1940"/>
    </row>
    <row r="64" spans="1:15">
      <c r="A64" s="1940"/>
      <c r="B64" s="1992" t="s">
        <v>2142</v>
      </c>
      <c r="C64" s="1993"/>
      <c r="D64" s="1993"/>
      <c r="E64" s="1993"/>
      <c r="F64" s="1943"/>
      <c r="G64" s="1943"/>
      <c r="H64" s="1943"/>
      <c r="I64" s="1943"/>
      <c r="J64" s="1943"/>
      <c r="K64" s="1943"/>
      <c r="L64" s="1943"/>
      <c r="M64" s="1943"/>
      <c r="N64" s="1943"/>
      <c r="O64" s="1940"/>
    </row>
    <row r="65" spans="1:15">
      <c r="A65" s="1940"/>
      <c r="B65" s="1940" t="s">
        <v>2143</v>
      </c>
      <c r="C65" s="1989">
        <v>84.366</v>
      </c>
      <c r="D65" s="1959" t="s">
        <v>2144</v>
      </c>
      <c r="E65" s="1956" t="s">
        <v>2145</v>
      </c>
      <c r="F65" s="1944">
        <v>2516</v>
      </c>
      <c r="G65" s="1944">
        <v>0</v>
      </c>
      <c r="H65" s="1944">
        <v>2328</v>
      </c>
      <c r="I65" s="1944"/>
      <c r="J65" s="1944">
        <v>0</v>
      </c>
      <c r="K65" s="1943"/>
      <c r="L65" s="1943"/>
      <c r="M65" s="1943">
        <f>SUM(H65:L65)</f>
        <v>2328</v>
      </c>
      <c r="N65" s="1943">
        <f t="shared" ref="N65:N70" si="1">SUM(F65:G65)-M65</f>
        <v>188</v>
      </c>
      <c r="O65" s="1940">
        <v>11450</v>
      </c>
    </row>
    <row r="66" spans="1:15">
      <c r="A66" s="1940"/>
      <c r="B66" s="1940" t="s">
        <v>2143</v>
      </c>
      <c r="C66" s="1989">
        <v>84.366</v>
      </c>
      <c r="D66" s="1959" t="s">
        <v>2146</v>
      </c>
      <c r="E66" s="1956" t="s">
        <v>2147</v>
      </c>
      <c r="F66" s="1944">
        <v>0</v>
      </c>
      <c r="G66" s="1944">
        <v>7160</v>
      </c>
      <c r="H66" s="1944">
        <v>0</v>
      </c>
      <c r="I66" s="1944"/>
      <c r="J66" s="1944">
        <v>7160</v>
      </c>
      <c r="K66" s="1943"/>
      <c r="L66" s="1943"/>
      <c r="M66" s="1943">
        <f>SUM(H66:K66)</f>
        <v>7160</v>
      </c>
      <c r="N66" s="1943">
        <f t="shared" si="1"/>
        <v>0</v>
      </c>
      <c r="O66" s="1957">
        <v>19767</v>
      </c>
    </row>
    <row r="67" spans="1:15">
      <c r="A67" s="1940"/>
      <c r="B67" s="1940" t="s">
        <v>2143</v>
      </c>
      <c r="C67" s="1989">
        <v>84.366</v>
      </c>
      <c r="D67" s="1959" t="s">
        <v>2200</v>
      </c>
      <c r="E67" s="1956" t="s">
        <v>2202</v>
      </c>
      <c r="F67" s="1944">
        <v>0</v>
      </c>
      <c r="G67" s="1944">
        <v>2231</v>
      </c>
      <c r="H67" s="1944">
        <v>0</v>
      </c>
      <c r="I67" s="1944"/>
      <c r="J67" s="1944">
        <v>3870</v>
      </c>
      <c r="K67" s="1943"/>
      <c r="L67" s="1943"/>
      <c r="M67" s="1943">
        <f>SUM(H67:L67)</f>
        <v>3870</v>
      </c>
      <c r="N67" s="1943">
        <f t="shared" si="1"/>
        <v>-1639</v>
      </c>
      <c r="O67" s="1957">
        <v>12607</v>
      </c>
    </row>
    <row r="68" spans="1:15">
      <c r="A68" s="1940"/>
      <c r="B68" s="1940" t="s">
        <v>2148</v>
      </c>
      <c r="C68" s="1989" t="s">
        <v>2149</v>
      </c>
      <c r="D68" s="1959" t="s">
        <v>2150</v>
      </c>
      <c r="E68" s="1956" t="s">
        <v>2145</v>
      </c>
      <c r="F68" s="1944">
        <v>17884</v>
      </c>
      <c r="G68" s="1944">
        <v>0</v>
      </c>
      <c r="H68" s="1944">
        <v>14722</v>
      </c>
      <c r="I68" s="1944"/>
      <c r="J68" s="1944">
        <v>0</v>
      </c>
      <c r="K68" s="1943"/>
      <c r="L68" s="1943"/>
      <c r="M68" s="1943">
        <f>SUM(H68:L68)</f>
        <v>14722</v>
      </c>
      <c r="N68" s="1943">
        <f t="shared" si="1"/>
        <v>3162</v>
      </c>
      <c r="O68" s="1996">
        <v>136726</v>
      </c>
    </row>
    <row r="69" spans="1:15">
      <c r="A69" s="1940"/>
      <c r="B69" s="1940" t="s">
        <v>2148</v>
      </c>
      <c r="C69" s="1989" t="s">
        <v>2149</v>
      </c>
      <c r="D69" s="1959" t="s">
        <v>2151</v>
      </c>
      <c r="E69" s="1956" t="s">
        <v>2152</v>
      </c>
      <c r="F69" s="1944">
        <v>78753</v>
      </c>
      <c r="G69" s="1944">
        <v>25337</v>
      </c>
      <c r="H69" s="1944">
        <v>84556</v>
      </c>
      <c r="I69" s="1944"/>
      <c r="J69" s="1944">
        <v>19534</v>
      </c>
      <c r="K69" s="1943"/>
      <c r="L69" s="1943">
        <v>0</v>
      </c>
      <c r="M69" s="1943">
        <f>SUM(H69:L69)</f>
        <v>104090</v>
      </c>
      <c r="N69" s="1943">
        <f t="shared" si="1"/>
        <v>0</v>
      </c>
      <c r="O69" s="1996">
        <v>125734</v>
      </c>
    </row>
    <row r="70" spans="1:15">
      <c r="A70" s="1940"/>
      <c r="B70" s="1940" t="s">
        <v>2148</v>
      </c>
      <c r="C70" s="1989">
        <v>84.364999999999995</v>
      </c>
      <c r="D70" s="1959" t="s">
        <v>2201</v>
      </c>
      <c r="E70" s="1956" t="s">
        <v>2203</v>
      </c>
      <c r="F70" s="1944">
        <v>0</v>
      </c>
      <c r="G70" s="1944">
        <v>61062</v>
      </c>
      <c r="H70" s="1944">
        <v>0</v>
      </c>
      <c r="I70" s="1944"/>
      <c r="J70" s="1944">
        <v>66264</v>
      </c>
      <c r="K70" s="1943"/>
      <c r="L70" s="1943">
        <v>0</v>
      </c>
      <c r="M70" s="1943">
        <f>SUM(H70:L70)</f>
        <v>66264</v>
      </c>
      <c r="N70" s="1943">
        <f t="shared" si="1"/>
        <v>-5202</v>
      </c>
      <c r="O70" s="1996">
        <v>101074</v>
      </c>
    </row>
    <row r="71" spans="1:15">
      <c r="A71" s="1994"/>
      <c r="B71" s="1994"/>
      <c r="C71" s="1948"/>
      <c r="D71" s="1948"/>
      <c r="E71" s="1948"/>
      <c r="F71" s="1955">
        <f>SUM(F65:F70)</f>
        <v>99153</v>
      </c>
      <c r="G71" s="1955">
        <f>SUM(G65:G70)</f>
        <v>95790</v>
      </c>
      <c r="H71" s="1955">
        <f>SUM(H65:H70)</f>
        <v>101606</v>
      </c>
      <c r="I71" s="1955">
        <v>0</v>
      </c>
      <c r="J71" s="1955">
        <f>SUM(J65:J70)</f>
        <v>96828</v>
      </c>
      <c r="K71" s="1955">
        <v>0</v>
      </c>
      <c r="L71" s="1955">
        <v>0</v>
      </c>
      <c r="M71" s="1955">
        <f>SUM(M65:M70)</f>
        <v>198434</v>
      </c>
      <c r="N71" s="1955">
        <f>SUM(N65:N70)</f>
        <v>-3491</v>
      </c>
      <c r="O71" s="1994"/>
    </row>
    <row r="72" spans="1:15">
      <c r="A72" s="1940"/>
      <c r="B72" s="1940"/>
      <c r="C72" s="1993"/>
      <c r="D72" s="1993"/>
      <c r="E72" s="1993"/>
      <c r="F72" s="1943"/>
      <c r="G72" s="1943"/>
      <c r="H72" s="1943"/>
      <c r="I72" s="1943"/>
      <c r="J72" s="1943"/>
      <c r="K72" s="1943"/>
      <c r="L72" s="1943"/>
      <c r="M72" s="1943"/>
      <c r="N72" s="1943"/>
      <c r="O72" s="1940"/>
    </row>
    <row r="73" spans="1:15">
      <c r="A73" s="1940"/>
      <c r="B73" s="1940"/>
      <c r="C73" s="1993"/>
      <c r="D73" s="1993"/>
      <c r="E73" s="1993"/>
      <c r="F73" s="1943"/>
      <c r="G73" s="1943"/>
      <c r="H73" s="1943"/>
      <c r="I73" s="1943"/>
      <c r="J73" s="1943"/>
      <c r="K73" s="1943"/>
      <c r="L73" s="1943"/>
      <c r="M73" s="1943"/>
      <c r="N73" s="1943"/>
      <c r="O73" s="1940"/>
    </row>
    <row r="74" spans="1:15">
      <c r="A74" s="1940" t="s">
        <v>2098</v>
      </c>
      <c r="B74" s="1940"/>
      <c r="C74" s="1993"/>
      <c r="D74" s="1993"/>
      <c r="E74" s="1993"/>
      <c r="F74" s="1943"/>
      <c r="G74" s="1943"/>
      <c r="H74" s="1943"/>
      <c r="I74" s="1943"/>
      <c r="J74" s="1943"/>
      <c r="K74" s="1943"/>
      <c r="L74" s="1943"/>
      <c r="M74" s="1943"/>
      <c r="N74" s="1943"/>
      <c r="O74" s="1940"/>
    </row>
    <row r="75" spans="1:15">
      <c r="A75" s="1940"/>
      <c r="B75" s="1940" t="s">
        <v>2153</v>
      </c>
      <c r="C75" s="1993">
        <v>84.367000000000004</v>
      </c>
      <c r="D75" s="1962" t="s">
        <v>2154</v>
      </c>
      <c r="E75" s="1956" t="s">
        <v>2122</v>
      </c>
      <c r="F75" s="1943">
        <v>18760</v>
      </c>
      <c r="G75" s="1943">
        <v>0</v>
      </c>
      <c r="H75" s="1943">
        <v>18644</v>
      </c>
      <c r="I75" s="1943"/>
      <c r="J75" s="1943">
        <v>0</v>
      </c>
      <c r="K75" s="1943"/>
      <c r="L75" s="1943">
        <v>0</v>
      </c>
      <c r="M75" s="1943">
        <f>SUM(H75:L75)</f>
        <v>18644</v>
      </c>
      <c r="N75" s="1943">
        <f>SUM(F75:G75)-M75</f>
        <v>116</v>
      </c>
      <c r="O75" s="1996">
        <v>169940</v>
      </c>
    </row>
    <row r="76" spans="1:15">
      <c r="A76" s="1940"/>
      <c r="B76" s="1940" t="s">
        <v>2153</v>
      </c>
      <c r="C76" s="1993">
        <v>84.367000000000004</v>
      </c>
      <c r="D76" s="1963" t="s">
        <v>2155</v>
      </c>
      <c r="E76" s="1964" t="s">
        <v>2124</v>
      </c>
      <c r="F76" s="1943">
        <v>7833</v>
      </c>
      <c r="G76" s="1943">
        <v>0</v>
      </c>
      <c r="H76" s="1943">
        <v>7833</v>
      </c>
      <c r="I76" s="1943"/>
      <c r="J76" s="1943">
        <v>0</v>
      </c>
      <c r="K76" s="1943"/>
      <c r="L76" s="1943">
        <v>0</v>
      </c>
      <c r="M76" s="1943">
        <f>SUM(H76:L76)</f>
        <v>7833</v>
      </c>
      <c r="N76" s="1943">
        <f>SUM(F76:G76)-M76</f>
        <v>0</v>
      </c>
      <c r="O76" s="1996">
        <v>9097</v>
      </c>
    </row>
    <row r="77" spans="1:15">
      <c r="A77" s="1994"/>
      <c r="B77" s="1994"/>
      <c r="C77" s="1948"/>
      <c r="D77" s="1948"/>
      <c r="E77" s="1948"/>
      <c r="F77" s="1955">
        <f>SUM(F75:F76)</f>
        <v>26593</v>
      </c>
      <c r="G77" s="1955">
        <f>SUM(G75:G76)</f>
        <v>0</v>
      </c>
      <c r="H77" s="1955">
        <f>SUM(H75:H76)</f>
        <v>26477</v>
      </c>
      <c r="I77" s="1955">
        <v>0</v>
      </c>
      <c r="J77" s="1955">
        <f>SUM(J75:J76)</f>
        <v>0</v>
      </c>
      <c r="K77" s="1955">
        <v>0</v>
      </c>
      <c r="L77" s="1955">
        <v>0</v>
      </c>
      <c r="M77" s="1955">
        <f>SUM(M75:M76)</f>
        <v>26477</v>
      </c>
      <c r="N77" s="1955">
        <f>SUM(N75:N76)</f>
        <v>116</v>
      </c>
      <c r="O77" s="1994"/>
    </row>
    <row r="78" spans="1:15">
      <c r="A78" s="1940"/>
      <c r="B78" s="1940"/>
      <c r="C78" s="1993"/>
      <c r="D78" s="1993"/>
      <c r="E78" s="1993"/>
      <c r="F78" s="1943"/>
      <c r="G78" s="1943"/>
      <c r="H78" s="1943"/>
      <c r="I78" s="1943"/>
      <c r="J78" s="1943"/>
      <c r="K78" s="1943"/>
      <c r="L78" s="1943"/>
      <c r="M78" s="1943"/>
      <c r="N78" s="1943"/>
      <c r="O78" s="1940"/>
    </row>
    <row r="79" spans="1:15">
      <c r="A79" s="1988" t="s">
        <v>2156</v>
      </c>
      <c r="B79" s="1954"/>
      <c r="C79" s="1953"/>
      <c r="D79" s="1953"/>
      <c r="E79" s="1953"/>
      <c r="F79" s="1986">
        <f>+F77+F71+F61+F52+F45+F37</f>
        <v>1784549</v>
      </c>
      <c r="G79" s="1986">
        <f>+G77+G71+G61+G52+G45+G37</f>
        <v>1842178</v>
      </c>
      <c r="H79" s="1986">
        <f>+H77+H71+H61+H52+H45+H37</f>
        <v>1855669</v>
      </c>
      <c r="I79" s="1986">
        <v>0</v>
      </c>
      <c r="J79" s="1986">
        <f>+J77+J71+J61+J52+J45+J37</f>
        <v>1832118</v>
      </c>
      <c r="K79" s="1986">
        <v>0</v>
      </c>
      <c r="L79" s="1986">
        <f>+L77+L71+L61+L52+L45+L37</f>
        <v>60422</v>
      </c>
      <c r="M79" s="1986">
        <f>+M77+M71+M61+M52+M45+M37</f>
        <v>3748209</v>
      </c>
      <c r="N79" s="1986">
        <f>+N77+N71+N61+N52+N45+N37</f>
        <v>-121482</v>
      </c>
      <c r="O79" s="1954"/>
    </row>
    <row r="80" spans="1:15">
      <c r="A80" s="1940"/>
      <c r="B80" s="1940"/>
      <c r="C80" s="1993"/>
      <c r="D80" s="1993"/>
      <c r="E80" s="1993"/>
      <c r="F80" s="1943"/>
      <c r="G80" s="1943"/>
      <c r="H80" s="1943"/>
      <c r="I80" s="1943"/>
      <c r="J80" s="1943"/>
      <c r="K80" s="1943"/>
      <c r="L80" s="1943"/>
      <c r="M80" s="1943"/>
      <c r="N80" s="1943"/>
      <c r="O80" s="1940"/>
    </row>
    <row r="81" spans="1:15">
      <c r="A81" s="1992" t="s">
        <v>2157</v>
      </c>
      <c r="B81" s="1940"/>
      <c r="C81" s="1993"/>
      <c r="D81" s="1993"/>
      <c r="E81" s="1993"/>
      <c r="F81" s="1943"/>
      <c r="G81" s="1943"/>
      <c r="H81" s="1943"/>
      <c r="I81" s="1943"/>
      <c r="J81" s="1943"/>
      <c r="K81" s="1943"/>
      <c r="L81" s="1943"/>
      <c r="M81" s="1943"/>
      <c r="N81" s="1943"/>
      <c r="O81" s="1940"/>
    </row>
    <row r="82" spans="1:15">
      <c r="A82" s="1985" t="s">
        <v>2158</v>
      </c>
      <c r="B82" s="1940"/>
      <c r="C82" s="1993"/>
      <c r="D82" s="1993"/>
      <c r="E82" s="1993"/>
      <c r="F82" s="1943"/>
      <c r="G82" s="1943"/>
      <c r="H82" s="1943"/>
      <c r="I82" s="1943"/>
      <c r="J82" s="1943"/>
      <c r="K82" s="1943"/>
      <c r="L82" s="1943"/>
      <c r="M82" s="1943"/>
      <c r="N82" s="1943"/>
      <c r="O82" s="1940"/>
    </row>
    <row r="83" spans="1:15">
      <c r="A83" s="1940"/>
      <c r="B83" s="1992" t="s">
        <v>2159</v>
      </c>
      <c r="C83" s="1993"/>
      <c r="D83" s="1993"/>
      <c r="E83" s="1956"/>
      <c r="F83" s="1943"/>
      <c r="G83" s="1943"/>
      <c r="H83" s="1943"/>
      <c r="I83" s="1943"/>
      <c r="J83" s="1943"/>
      <c r="K83" s="1943"/>
      <c r="L83" s="1943"/>
      <c r="M83" s="1943"/>
      <c r="N83" s="1943"/>
      <c r="O83" s="1940"/>
    </row>
    <row r="84" spans="1:15">
      <c r="A84" s="1940"/>
      <c r="B84" s="1940" t="s">
        <v>2160</v>
      </c>
      <c r="C84" s="1993">
        <v>93.778000000000006</v>
      </c>
      <c r="D84" s="1965" t="s">
        <v>2161</v>
      </c>
      <c r="E84" s="1956" t="s">
        <v>2205</v>
      </c>
      <c r="F84" s="1980">
        <v>24152</v>
      </c>
      <c r="G84" s="1980">
        <v>0</v>
      </c>
      <c r="H84" s="1980">
        <v>24152</v>
      </c>
      <c r="I84" s="1980"/>
      <c r="J84" s="1980">
        <v>0</v>
      </c>
      <c r="K84" s="1980"/>
      <c r="L84" s="1980"/>
      <c r="M84" s="1980">
        <f>SUM(H84:L84)</f>
        <v>24152</v>
      </c>
      <c r="N84" s="1980">
        <f>SUM(F84:G84)-M84</f>
        <v>0</v>
      </c>
      <c r="O84" s="1991" t="s">
        <v>2100</v>
      </c>
    </row>
    <row r="85" spans="1:15">
      <c r="A85" s="1967"/>
      <c r="B85" s="1967" t="s">
        <v>2160</v>
      </c>
      <c r="C85" s="1968">
        <v>93.778000000000006</v>
      </c>
      <c r="D85" s="1969" t="s">
        <v>2162</v>
      </c>
      <c r="E85" s="1956" t="s">
        <v>2163</v>
      </c>
      <c r="F85" s="1970">
        <v>67918</v>
      </c>
      <c r="G85" s="1970">
        <v>22877</v>
      </c>
      <c r="H85" s="1970">
        <v>90795</v>
      </c>
      <c r="I85" s="1970"/>
      <c r="J85" s="1970">
        <v>0</v>
      </c>
      <c r="K85" s="1970"/>
      <c r="L85" s="1970"/>
      <c r="M85" s="1970">
        <f>SUM(H85:L85)</f>
        <v>90795</v>
      </c>
      <c r="N85" s="1970">
        <f>SUM(F85:G85)-M85</f>
        <v>0</v>
      </c>
      <c r="O85" s="1971" t="s">
        <v>2100</v>
      </c>
    </row>
    <row r="86" spans="1:15">
      <c r="A86" s="1954"/>
      <c r="B86" s="1954" t="s">
        <v>2160</v>
      </c>
      <c r="C86" s="1953">
        <v>93.778000000000006</v>
      </c>
      <c r="D86" s="1961" t="s">
        <v>2204</v>
      </c>
      <c r="E86" s="1964" t="s">
        <v>2206</v>
      </c>
      <c r="F86" s="1952">
        <v>0</v>
      </c>
      <c r="G86" s="1952">
        <v>68475</v>
      </c>
      <c r="H86" s="1952">
        <v>0</v>
      </c>
      <c r="I86" s="1952"/>
      <c r="J86" s="1952">
        <v>91079</v>
      </c>
      <c r="K86" s="1952"/>
      <c r="L86" s="1952"/>
      <c r="M86" s="1952">
        <f>SUM(H86:L86)</f>
        <v>91079</v>
      </c>
      <c r="N86" s="1952">
        <f>SUM(F86:G86)-M86</f>
        <v>-22604</v>
      </c>
      <c r="O86" s="1960" t="s">
        <v>2100</v>
      </c>
    </row>
    <row r="87" spans="1:15">
      <c r="A87" s="1988" t="s">
        <v>2164</v>
      </c>
      <c r="B87" s="1954"/>
      <c r="C87" s="1953"/>
      <c r="D87" s="1953"/>
      <c r="E87" s="1953"/>
      <c r="F87" s="1986">
        <f>SUM(F84:F86)</f>
        <v>92070</v>
      </c>
      <c r="G87" s="1986">
        <f>SUM(G84:G86)</f>
        <v>91352</v>
      </c>
      <c r="H87" s="1986">
        <f>SUM(H84:H86)</f>
        <v>114947</v>
      </c>
      <c r="I87" s="1986">
        <v>0</v>
      </c>
      <c r="J87" s="1986">
        <f>SUM(J84:J86)</f>
        <v>91079</v>
      </c>
      <c r="K87" s="1986">
        <v>0</v>
      </c>
      <c r="L87" s="1986">
        <v>0</v>
      </c>
      <c r="M87" s="1986">
        <f>SUM(M84:M86)</f>
        <v>206026</v>
      </c>
      <c r="N87" s="1986">
        <f>SUM(N84:N86)</f>
        <v>-22604</v>
      </c>
      <c r="O87" s="1954"/>
    </row>
    <row r="88" spans="1:15" ht="13.5" thickBot="1">
      <c r="A88" s="1940"/>
      <c r="B88" s="1940"/>
      <c r="C88" s="1993"/>
      <c r="D88" s="1993"/>
      <c r="E88" s="1993"/>
      <c r="F88" s="1943"/>
      <c r="G88" s="1943"/>
      <c r="H88" s="1943"/>
      <c r="I88" s="1943"/>
      <c r="J88" s="1943"/>
      <c r="K88" s="1943"/>
      <c r="L88" s="1943"/>
      <c r="M88" s="1943"/>
      <c r="N88" s="1943"/>
      <c r="O88" s="1940"/>
    </row>
    <row r="89" spans="1:15" ht="13.5" thickBot="1">
      <c r="A89" s="1992" t="s">
        <v>2165</v>
      </c>
      <c r="B89" s="1940"/>
      <c r="C89" s="1993"/>
      <c r="D89" s="1993"/>
      <c r="E89" s="1993"/>
      <c r="F89" s="1978">
        <f>+F87+F29+F79</f>
        <v>3705207</v>
      </c>
      <c r="G89" s="1979">
        <f>+G87+G29+G79</f>
        <v>3942996</v>
      </c>
      <c r="H89" s="1979">
        <f>+H87+H29+H79</f>
        <v>3799204</v>
      </c>
      <c r="I89" s="1979">
        <v>0</v>
      </c>
      <c r="J89" s="1979">
        <f>+J87+J29+J79</f>
        <v>3932663</v>
      </c>
      <c r="K89" s="1979">
        <v>0</v>
      </c>
      <c r="L89" s="1979">
        <f>+L87+L29+L79</f>
        <v>60422</v>
      </c>
      <c r="M89" s="1979">
        <f>+M87+M29+M79</f>
        <v>7785946</v>
      </c>
      <c r="N89" s="1977">
        <f>+N87+N29+N79</f>
        <v>-144086</v>
      </c>
      <c r="O89" s="1940"/>
    </row>
    <row r="90" spans="1:15">
      <c r="A90" s="1940"/>
      <c r="B90" s="1940"/>
      <c r="C90" s="1993"/>
      <c r="D90" s="1993"/>
      <c r="E90" s="1993"/>
      <c r="F90" s="1940"/>
      <c r="G90" s="1940"/>
      <c r="H90" s="1940"/>
      <c r="I90" s="1940"/>
      <c r="J90" s="1940"/>
      <c r="K90" s="1940"/>
      <c r="L90" s="1940"/>
      <c r="M90" s="1940"/>
      <c r="N90" s="1940"/>
      <c r="O90" s="1940"/>
    </row>
    <row r="91" spans="1:15">
      <c r="A91" s="1940" t="s">
        <v>2166</v>
      </c>
      <c r="B91" s="1940"/>
      <c r="C91" s="1993"/>
      <c r="D91" s="1993"/>
      <c r="E91" s="1993"/>
      <c r="F91" s="1940"/>
      <c r="G91" s="1940"/>
      <c r="H91" s="1940"/>
      <c r="I91" s="1940"/>
      <c r="J91" s="1940"/>
      <c r="K91" s="1940"/>
      <c r="L91" s="1940"/>
      <c r="M91" s="1940"/>
      <c r="N91" s="1940"/>
      <c r="O91" s="1940"/>
    </row>
  </sheetData>
  <mergeCells count="4">
    <mergeCell ref="A1:N1"/>
    <mergeCell ref="A2:N2"/>
    <mergeCell ref="A3:N3"/>
    <mergeCell ref="A4:N4"/>
  </mergeCells>
  <pageMargins left="0.2" right="0.2" top="0.34" bottom="0.45" header="0.33" footer="0.3"/>
  <pageSetup scale="74" fitToHeight="0" orientation="landscape"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7" zoomScale="110" zoomScaleNormal="110" workbookViewId="0">
      <selection activeCell="B49" sqref="B49"/>
    </sheetView>
  </sheetViews>
  <sheetFormatPr defaultColWidth="9.140625" defaultRowHeight="12.75"/>
  <cols>
    <col min="1" max="1" width="1.42578125" style="1296" customWidth="1"/>
    <col min="2" max="2" width="24.42578125" style="1353"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3.15" customHeight="1">
      <c r="B1" s="2511" t="str">
        <f>'Single Audit Cover'!A7</f>
        <v>East Moline SD 37</v>
      </c>
      <c r="C1" s="2512"/>
      <c r="D1" s="2512"/>
      <c r="E1" s="2512"/>
      <c r="F1" s="2512"/>
      <c r="G1" s="2512"/>
      <c r="H1" s="2512"/>
      <c r="I1" s="2512"/>
      <c r="J1" s="1405"/>
    </row>
    <row r="2" spans="2:10" s="317" customFormat="1" ht="13.15" customHeight="1">
      <c r="B2" s="2513">
        <f>'Single Audit Cover'!E7</f>
        <v>49081037002</v>
      </c>
      <c r="C2" s="2514"/>
      <c r="D2" s="2514"/>
      <c r="E2" s="2514"/>
      <c r="F2" s="2514"/>
      <c r="G2" s="2514"/>
      <c r="H2" s="2514"/>
      <c r="I2" s="2514"/>
      <c r="J2" s="1405"/>
    </row>
    <row r="3" spans="2:10" s="317" customFormat="1" ht="13.15" customHeight="1">
      <c r="B3" s="2515" t="s">
        <v>1285</v>
      </c>
      <c r="C3" s="2516"/>
      <c r="D3" s="2516"/>
      <c r="E3" s="2516"/>
      <c r="F3" s="2516"/>
      <c r="G3" s="2516"/>
      <c r="H3" s="2516"/>
      <c r="I3" s="2516"/>
      <c r="J3" s="1406"/>
    </row>
    <row r="4" spans="2:10" s="317" customFormat="1" ht="13.15" customHeight="1">
      <c r="B4" s="2515" t="str">
        <f>'Single Audit Cover'!A4</f>
        <v>Year Ending June 30, 2019</v>
      </c>
      <c r="C4" s="2516"/>
      <c r="D4" s="2516"/>
      <c r="E4" s="2516"/>
      <c r="F4" s="2516"/>
      <c r="G4" s="2516"/>
      <c r="H4" s="2516"/>
      <c r="I4" s="2516"/>
    </row>
    <row r="5" spans="2:10" s="317" customFormat="1" ht="6.2" customHeight="1">
      <c r="B5" s="1407" t="s">
        <v>1169</v>
      </c>
      <c r="C5" s="1290"/>
      <c r="D5" s="1290"/>
      <c r="E5" s="1379"/>
      <c r="F5" s="322"/>
      <c r="G5" s="322"/>
      <c r="H5" s="322"/>
      <c r="I5" s="322"/>
    </row>
    <row r="6" spans="2:10" s="317" customFormat="1" ht="6.2" customHeight="1">
      <c r="B6" s="1408"/>
      <c r="C6" s="1375"/>
      <c r="D6" s="1375"/>
      <c r="E6" s="1376"/>
      <c r="F6" s="1375"/>
      <c r="G6" s="1375"/>
      <c r="H6" s="1375"/>
      <c r="I6" s="1375"/>
    </row>
    <row r="7" spans="2:10" s="317" customFormat="1" ht="13.5" customHeight="1">
      <c r="B7" s="2515" t="s">
        <v>1284</v>
      </c>
      <c r="C7" s="2516"/>
      <c r="D7" s="2516"/>
      <c r="E7" s="2516"/>
      <c r="F7" s="2516"/>
      <c r="G7" s="2516"/>
      <c r="H7" s="2516"/>
      <c r="I7" s="2516"/>
    </row>
    <row r="8" spans="2:10" s="317" customFormat="1" ht="6.2" customHeight="1">
      <c r="B8" s="1409" t="s">
        <v>1169</v>
      </c>
      <c r="C8" s="1410"/>
      <c r="D8" s="1410"/>
      <c r="E8" s="1411"/>
      <c r="F8" s="1410"/>
      <c r="G8" s="1410"/>
      <c r="H8" s="1410"/>
      <c r="I8" s="1410"/>
    </row>
    <row r="9" spans="2:10" s="317" customFormat="1" ht="9.4" customHeight="1">
      <c r="B9" s="1412"/>
      <c r="C9" s="322"/>
      <c r="D9" s="322"/>
      <c r="E9" s="1379"/>
      <c r="F9" s="322"/>
      <c r="G9" s="322"/>
      <c r="H9" s="322"/>
      <c r="I9" s="322"/>
    </row>
    <row r="10" spans="2:10" s="317" customFormat="1" ht="13.15" customHeight="1">
      <c r="B10" s="1413" t="s">
        <v>1283</v>
      </c>
      <c r="C10" s="1414"/>
      <c r="D10" s="1414"/>
      <c r="E10" s="1255"/>
    </row>
    <row r="11" spans="2:10" s="317" customFormat="1" ht="13.5" customHeight="1">
      <c r="B11" s="1345" t="s">
        <v>1282</v>
      </c>
      <c r="C11" s="2517" t="s">
        <v>2178</v>
      </c>
      <c r="D11" s="2517"/>
      <c r="E11" s="1415"/>
      <c r="F11" s="1415"/>
      <c r="G11" s="1415"/>
    </row>
    <row r="12" spans="2:10" s="317" customFormat="1" ht="11.65" customHeight="1">
      <c r="B12" s="1353"/>
      <c r="C12" s="1416" t="s">
        <v>1442</v>
      </c>
      <c r="D12" s="1417"/>
      <c r="E12" s="1255"/>
    </row>
    <row r="13" spans="2:10" s="317" customFormat="1" ht="13.15" customHeight="1">
      <c r="B13" s="1418"/>
      <c r="C13" s="1383"/>
      <c r="D13" s="1383"/>
      <c r="E13" s="1255"/>
    </row>
    <row r="14" spans="2:10" s="317" customFormat="1" ht="13.15" customHeight="1">
      <c r="B14" s="1364" t="s">
        <v>1281</v>
      </c>
      <c r="C14" s="1278"/>
      <c r="E14" s="1255"/>
    </row>
    <row r="15" spans="2:10" s="317" customFormat="1" ht="13.5" customHeight="1">
      <c r="B15" s="1419" t="s">
        <v>1278</v>
      </c>
      <c r="C15" s="1420"/>
      <c r="D15" s="1394"/>
      <c r="E15" s="1421"/>
      <c r="F15" s="1296" t="s">
        <v>885</v>
      </c>
      <c r="G15" s="1421" t="s">
        <v>2069</v>
      </c>
      <c r="H15" s="1296" t="s">
        <v>1276</v>
      </c>
      <c r="I15" s="1296"/>
    </row>
    <row r="16" spans="2:10" s="317" customFormat="1" ht="8.65" customHeight="1">
      <c r="B16" s="1364"/>
      <c r="C16" s="1278"/>
      <c r="E16" s="1379"/>
      <c r="F16" s="1296"/>
      <c r="G16" s="322"/>
      <c r="H16" s="1296"/>
      <c r="I16" s="1296"/>
    </row>
    <row r="17" spans="2:9" s="317" customFormat="1" ht="13.5" customHeight="1">
      <c r="B17" s="1419" t="s">
        <v>1277</v>
      </c>
      <c r="C17" s="1420"/>
      <c r="D17" s="1394"/>
      <c r="E17" s="1422"/>
      <c r="F17" s="1254"/>
      <c r="G17" s="1422"/>
      <c r="H17" s="1296"/>
      <c r="I17" s="1296"/>
    </row>
    <row r="18" spans="2:9" s="317" customFormat="1" ht="13.15" customHeight="1">
      <c r="B18" s="1419" t="s">
        <v>1443</v>
      </c>
      <c r="C18" s="1420"/>
      <c r="D18" s="1394"/>
      <c r="E18" s="1421" t="s">
        <v>2069</v>
      </c>
      <c r="F18" s="1296" t="s">
        <v>885</v>
      </c>
      <c r="G18" s="1421"/>
      <c r="H18" s="1296" t="s">
        <v>1276</v>
      </c>
      <c r="I18" s="1296"/>
    </row>
    <row r="19" spans="2:9" s="317" customFormat="1" ht="8.65" customHeight="1">
      <c r="B19" s="1364"/>
      <c r="C19" s="1278"/>
      <c r="E19" s="1379"/>
      <c r="F19" s="1296"/>
      <c r="G19" s="322"/>
      <c r="H19" s="1296"/>
      <c r="I19" s="1296"/>
    </row>
    <row r="20" spans="2:9" s="317" customFormat="1" ht="13.5" customHeight="1">
      <c r="B20" s="1419" t="s">
        <v>1591</v>
      </c>
      <c r="C20" s="1420"/>
      <c r="D20" s="1394"/>
      <c r="E20" s="1421"/>
      <c r="F20" s="1296" t="s">
        <v>885</v>
      </c>
      <c r="G20" s="1421" t="s">
        <v>2069</v>
      </c>
      <c r="H20" s="1296" t="s">
        <v>99</v>
      </c>
      <c r="I20" s="1296"/>
    </row>
    <row r="21" spans="2:9" s="317" customFormat="1" ht="13.15" customHeight="1">
      <c r="B21" s="1364"/>
      <c r="C21" s="1278"/>
      <c r="E21" s="1379"/>
      <c r="F21" s="1296"/>
      <c r="G21" s="322"/>
      <c r="H21" s="1296"/>
      <c r="I21" s="1296"/>
    </row>
    <row r="22" spans="2:9" s="317" customFormat="1" ht="13.15" customHeight="1">
      <c r="B22" s="1413" t="s">
        <v>1280</v>
      </c>
      <c r="C22" s="1423"/>
      <c r="D22" s="1414"/>
      <c r="E22" s="1379"/>
      <c r="F22" s="1296"/>
      <c r="G22" s="322"/>
      <c r="H22" s="1296"/>
      <c r="I22" s="1296"/>
    </row>
    <row r="23" spans="2:9" s="317" customFormat="1" ht="13.15" customHeight="1">
      <c r="B23" s="1364" t="s">
        <v>1279</v>
      </c>
      <c r="C23" s="1278"/>
      <c r="E23" s="1379"/>
      <c r="F23" s="1296"/>
      <c r="G23" s="322"/>
      <c r="H23" s="1296"/>
      <c r="I23" s="1296"/>
    </row>
    <row r="24" spans="2:9" s="317" customFormat="1" ht="13.5" customHeight="1">
      <c r="B24" s="1419" t="s">
        <v>1278</v>
      </c>
      <c r="C24" s="1420"/>
      <c r="D24" s="1394"/>
      <c r="E24" s="1421"/>
      <c r="F24" s="1296" t="s">
        <v>885</v>
      </c>
      <c r="G24" s="1421" t="s">
        <v>2069</v>
      </c>
      <c r="H24" s="1296" t="s">
        <v>1276</v>
      </c>
      <c r="I24" s="1296"/>
    </row>
    <row r="25" spans="2:9" s="317" customFormat="1" ht="8.65" customHeight="1">
      <c r="B25" s="1364"/>
      <c r="C25" s="1278"/>
      <c r="E25" s="1379"/>
      <c r="F25" s="1296"/>
      <c r="G25" s="322"/>
      <c r="H25" s="1296"/>
      <c r="I25" s="1296"/>
    </row>
    <row r="26" spans="2:9" s="317" customFormat="1" ht="13.5" customHeight="1">
      <c r="B26" s="1419" t="s">
        <v>1277</v>
      </c>
      <c r="C26" s="1420"/>
      <c r="D26" s="1394"/>
      <c r="E26" s="1422"/>
      <c r="F26" s="1254"/>
      <c r="G26" s="1422"/>
      <c r="H26" s="1296"/>
      <c r="I26" s="1296"/>
    </row>
    <row r="27" spans="2:9" s="317" customFormat="1" ht="13.15" customHeight="1">
      <c r="B27" s="1419" t="s">
        <v>1443</v>
      </c>
      <c r="C27" s="1420"/>
      <c r="D27" s="1394"/>
      <c r="E27" s="1421"/>
      <c r="F27" s="1296" t="s">
        <v>885</v>
      </c>
      <c r="G27" s="1421" t="s">
        <v>2069</v>
      </c>
      <c r="H27" s="1296" t="s">
        <v>1276</v>
      </c>
      <c r="I27" s="1296"/>
    </row>
    <row r="28" spans="2:9" s="317" customFormat="1" ht="13.15" customHeight="1">
      <c r="B28" s="1364"/>
      <c r="C28" s="1278"/>
      <c r="E28" s="1255"/>
    </row>
    <row r="29" spans="2:9" s="317" customFormat="1" ht="13.15" customHeight="1">
      <c r="B29" s="1364" t="s">
        <v>1275</v>
      </c>
      <c r="C29" s="1278"/>
      <c r="D29" s="2518" t="s">
        <v>2179</v>
      </c>
      <c r="E29" s="2518"/>
      <c r="F29" s="2518"/>
      <c r="G29" s="2518"/>
      <c r="H29" s="2518"/>
      <c r="I29" s="2518"/>
    </row>
    <row r="30" spans="2:9" s="317" customFormat="1">
      <c r="B30" s="1364"/>
      <c r="C30" s="322"/>
      <c r="D30" s="1416" t="s">
        <v>1745</v>
      </c>
      <c r="E30" s="1417"/>
      <c r="F30" s="1417"/>
      <c r="G30" s="1417"/>
      <c r="H30" s="1417"/>
      <c r="I30" s="1417"/>
    </row>
    <row r="31" spans="2:9" s="317" customFormat="1" ht="9.9499999999999993" customHeight="1">
      <c r="B31" s="1364"/>
      <c r="E31" s="1255"/>
    </row>
    <row r="32" spans="2:9" s="317" customFormat="1">
      <c r="B32" s="1364" t="s">
        <v>1274</v>
      </c>
      <c r="C32" s="1278"/>
      <c r="E32" s="1255"/>
    </row>
    <row r="33" spans="2:9" ht="13.5" customHeight="1">
      <c r="B33" s="1364" t="s">
        <v>1552</v>
      </c>
      <c r="C33" s="1278"/>
      <c r="E33" s="1421"/>
      <c r="F33" s="1296" t="s">
        <v>885</v>
      </c>
      <c r="G33" s="1421" t="s">
        <v>2069</v>
      </c>
      <c r="H33" s="1296" t="s">
        <v>99</v>
      </c>
    </row>
    <row r="35" spans="2:9">
      <c r="B35" s="1424" t="s">
        <v>1746</v>
      </c>
      <c r="C35" s="1425"/>
      <c r="D35" s="1264"/>
    </row>
    <row r="36" spans="2:9" ht="6" customHeight="1">
      <c r="B36" s="1424"/>
      <c r="C36" s="1425"/>
      <c r="D36" s="1264"/>
    </row>
    <row r="37" spans="2:9" ht="17.25" customHeight="1">
      <c r="B37" s="1426" t="s">
        <v>1747</v>
      </c>
      <c r="C37" s="2519" t="s">
        <v>1748</v>
      </c>
      <c r="D37" s="2520"/>
      <c r="E37" s="2520"/>
      <c r="F37" s="2521"/>
      <c r="G37" s="2519" t="s">
        <v>1592</v>
      </c>
      <c r="H37" s="2520"/>
      <c r="I37" s="2521"/>
    </row>
    <row r="38" spans="2:9" ht="16.7" customHeight="1">
      <c r="B38" s="1427" t="s">
        <v>2189</v>
      </c>
      <c r="C38" s="2507" t="s">
        <v>2180</v>
      </c>
      <c r="D38" s="2508"/>
      <c r="E38" s="2508"/>
      <c r="F38" s="2509"/>
      <c r="G38" s="2522">
        <f>'SEFA-1'!J20</f>
        <v>1990551</v>
      </c>
      <c r="H38" s="2523"/>
      <c r="I38" s="2524"/>
    </row>
    <row r="39" spans="2:9" ht="16.7" customHeight="1">
      <c r="B39" s="1427"/>
      <c r="C39" s="2507"/>
      <c r="D39" s="2508"/>
      <c r="E39" s="2508"/>
      <c r="F39" s="2509"/>
      <c r="G39" s="2510"/>
      <c r="H39" s="2510"/>
      <c r="I39" s="2510"/>
    </row>
    <row r="40" spans="2:9" ht="16.7" customHeight="1">
      <c r="B40" s="1427"/>
      <c r="C40" s="2507"/>
      <c r="D40" s="2508"/>
      <c r="E40" s="2508"/>
      <c r="F40" s="2509"/>
      <c r="G40" s="2510"/>
      <c r="H40" s="2510"/>
      <c r="I40" s="2510"/>
    </row>
    <row r="41" spans="2:9" ht="16.7" customHeight="1">
      <c r="B41" s="1427"/>
      <c r="C41" s="2507"/>
      <c r="D41" s="2508"/>
      <c r="E41" s="2508"/>
      <c r="F41" s="2509"/>
      <c r="G41" s="2510"/>
      <c r="H41" s="2510"/>
      <c r="I41" s="2510"/>
    </row>
    <row r="42" spans="2:9" ht="16.7" customHeight="1">
      <c r="B42" s="1427"/>
      <c r="C42" s="2507"/>
      <c r="D42" s="2508"/>
      <c r="E42" s="2508"/>
      <c r="F42" s="2509"/>
      <c r="G42" s="2510"/>
      <c r="H42" s="2510"/>
      <c r="I42" s="2510"/>
    </row>
    <row r="43" spans="2:9" ht="16.7" customHeight="1">
      <c r="B43" s="1427"/>
      <c r="C43" s="2525" t="s">
        <v>1593</v>
      </c>
      <c r="D43" s="2526"/>
      <c r="E43" s="2526"/>
      <c r="F43" s="2527"/>
      <c r="G43" s="2528">
        <f>SUM(G38:I42)</f>
        <v>1990551</v>
      </c>
      <c r="H43" s="2528"/>
      <c r="I43" s="2528"/>
    </row>
    <row r="44" spans="2:9" ht="13.15" customHeight="1"/>
    <row r="45" spans="2:9" ht="13.15" customHeight="1">
      <c r="B45" s="1418" t="s">
        <v>1838</v>
      </c>
      <c r="D45" s="2529">
        <f>'SEFA-1'!J89</f>
        <v>3932663</v>
      </c>
      <c r="E45" s="2530"/>
    </row>
    <row r="46" spans="2:9" ht="5.25" customHeight="1">
      <c r="B46" s="1428"/>
      <c r="D46" s="1429"/>
      <c r="E46" s="1430"/>
    </row>
    <row r="47" spans="2:9" ht="13.15" customHeight="1">
      <c r="B47" s="1296" t="s">
        <v>1594</v>
      </c>
      <c r="C47" s="1296"/>
      <c r="D47" s="1431">
        <f>+G43/D45</f>
        <v>0.50615854956298056</v>
      </c>
      <c r="E47" s="1432"/>
      <c r="F47" s="1433"/>
      <c r="I47" s="1434"/>
    </row>
    <row r="48" spans="2:9" ht="9.9499999999999993" customHeight="1"/>
    <row r="49" spans="1:9">
      <c r="B49" s="1364" t="s">
        <v>1273</v>
      </c>
      <c r="C49" s="1278"/>
      <c r="D49" s="1278"/>
      <c r="E49" s="2531">
        <v>750000</v>
      </c>
      <c r="F49" s="2531"/>
      <c r="G49" s="2531"/>
      <c r="H49" s="322"/>
    </row>
    <row r="51" spans="1:9" ht="13.5" customHeight="1">
      <c r="B51" s="1364" t="s">
        <v>1272</v>
      </c>
      <c r="C51" s="1278"/>
      <c r="E51" s="1421"/>
      <c r="F51" s="1296" t="s">
        <v>885</v>
      </c>
      <c r="G51" s="1421" t="s">
        <v>2069</v>
      </c>
      <c r="H51" s="1296" t="s">
        <v>99</v>
      </c>
    </row>
    <row r="52" spans="1:9">
      <c r="B52" s="1356"/>
      <c r="C52" s="1293"/>
      <c r="D52" s="1435"/>
      <c r="E52" s="1436"/>
      <c r="F52" s="1437"/>
      <c r="G52" s="1437"/>
      <c r="H52" s="1437"/>
      <c r="I52" s="1437"/>
    </row>
    <row r="53" spans="1:9" ht="6" customHeight="1">
      <c r="B53" s="1412"/>
      <c r="C53" s="322"/>
      <c r="D53" s="1438"/>
      <c r="E53" s="1439"/>
      <c r="F53" s="1440"/>
      <c r="G53" s="1440"/>
      <c r="H53" s="1440"/>
      <c r="I53" s="1440"/>
    </row>
    <row r="54" spans="1:9" s="1444" customFormat="1" ht="14.25">
      <c r="A54" s="1441"/>
      <c r="B54" s="1442" t="s">
        <v>1749</v>
      </c>
      <c r="C54" s="1443"/>
      <c r="D54" s="1443"/>
    </row>
    <row r="55" spans="1:9" s="1444" customFormat="1" ht="13.15" customHeight="1">
      <c r="A55" s="1441"/>
      <c r="B55" s="1445" t="s">
        <v>1595</v>
      </c>
      <c r="C55" s="1441"/>
      <c r="D55" s="1441"/>
    </row>
    <row r="56" spans="1:9" s="1444" customFormat="1" ht="13.15" customHeight="1">
      <c r="A56" s="1441"/>
      <c r="B56" s="1445" t="s">
        <v>1596</v>
      </c>
      <c r="C56" s="1441"/>
      <c r="D56" s="1441"/>
    </row>
    <row r="57" spans="1:9" s="1444" customFormat="1" ht="3.95" customHeight="1">
      <c r="A57" s="1441"/>
      <c r="B57" s="1445"/>
      <c r="C57" s="1441"/>
      <c r="D57" s="1441"/>
    </row>
    <row r="58" spans="1:9" s="1444" customFormat="1" ht="13.5" customHeight="1">
      <c r="A58" s="1441"/>
      <c r="B58" s="1446" t="s">
        <v>1750</v>
      </c>
      <c r="C58" s="1447"/>
      <c r="D58" s="1447"/>
    </row>
    <row r="59" spans="1:9" s="1444" customFormat="1" ht="3.95" customHeight="1">
      <c r="A59" s="1441"/>
      <c r="B59" s="1446"/>
      <c r="C59" s="1447"/>
      <c r="D59" s="1447"/>
    </row>
    <row r="60" spans="1:9" s="1444" customFormat="1" ht="13.5" customHeight="1">
      <c r="A60" s="1441"/>
      <c r="B60" s="1446" t="s">
        <v>1751</v>
      </c>
      <c r="C60" s="1447"/>
      <c r="D60" s="1447"/>
    </row>
    <row r="61" spans="1:9" s="1444" customFormat="1" ht="3.95" customHeight="1">
      <c r="A61" s="1441"/>
      <c r="B61" s="1446"/>
      <c r="C61" s="1447"/>
      <c r="D61" s="1447"/>
    </row>
    <row r="62" spans="1:9" s="1444" customFormat="1" ht="13.15" customHeight="1">
      <c r="A62" s="1441"/>
      <c r="B62" s="1446" t="s">
        <v>1752</v>
      </c>
      <c r="C62" s="1447"/>
      <c r="D62" s="1447"/>
    </row>
    <row r="63" spans="1:9" s="1444" customFormat="1" ht="13.5" customHeight="1">
      <c r="A63" s="1441"/>
      <c r="B63" s="1445" t="s">
        <v>1597</v>
      </c>
      <c r="C63" s="1441"/>
      <c r="D63" s="1441"/>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49" sqref="B49"/>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511" t="str">
        <f>'Single Audit Cover'!A7</f>
        <v>East Moline SD 37</v>
      </c>
      <c r="C1" s="2511"/>
      <c r="D1" s="2511"/>
      <c r="E1" s="2511"/>
      <c r="F1" s="2511"/>
      <c r="G1" s="2511"/>
      <c r="H1" s="2511"/>
      <c r="I1" s="2511"/>
      <c r="J1" s="2511"/>
      <c r="K1" s="2511"/>
      <c r="L1" s="1370"/>
      <c r="M1" s="1370"/>
    </row>
    <row r="2" spans="1:13" ht="12" customHeight="1">
      <c r="B2" s="2513">
        <f>'Single Audit Cover'!E7</f>
        <v>49081037002</v>
      </c>
      <c r="C2" s="2513"/>
      <c r="D2" s="2513"/>
      <c r="E2" s="2513"/>
      <c r="F2" s="2513"/>
      <c r="G2" s="2513"/>
      <c r="H2" s="2513"/>
      <c r="I2" s="2513"/>
      <c r="J2" s="2513"/>
      <c r="K2" s="2513"/>
      <c r="L2" s="1371"/>
      <c r="M2" s="1372"/>
    </row>
    <row r="3" spans="1:13" ht="10.35" customHeight="1">
      <c r="B3" s="2534" t="s">
        <v>1285</v>
      </c>
      <c r="C3" s="2534"/>
      <c r="D3" s="2534"/>
      <c r="E3" s="2534"/>
      <c r="F3" s="2534"/>
      <c r="G3" s="2534"/>
      <c r="H3" s="2534"/>
      <c r="I3" s="2534"/>
      <c r="J3" s="2534"/>
      <c r="K3" s="2534"/>
      <c r="L3" s="1373"/>
      <c r="M3" s="1373"/>
    </row>
    <row r="4" spans="1:13" ht="14.25" customHeight="1">
      <c r="B4" s="2535" t="str">
        <f>'Single Audit Cover'!A4</f>
        <v>Year Ending June 30, 2019</v>
      </c>
      <c r="C4" s="2535"/>
      <c r="D4" s="2535"/>
      <c r="E4" s="2535"/>
      <c r="F4" s="2535"/>
      <c r="G4" s="2535"/>
      <c r="H4" s="2535"/>
      <c r="I4" s="2535"/>
      <c r="J4" s="2535"/>
      <c r="K4" s="2535"/>
      <c r="L4" s="313"/>
      <c r="M4" s="313"/>
    </row>
    <row r="5" spans="1:13" ht="7.5" customHeight="1">
      <c r="B5" s="1257" t="s">
        <v>1169</v>
      </c>
      <c r="C5" s="1257"/>
    </row>
    <row r="6" spans="1:13" ht="7.5" customHeight="1">
      <c r="B6" s="1374"/>
      <c r="C6" s="1374"/>
      <c r="D6" s="1375"/>
      <c r="E6" s="1375"/>
      <c r="F6" s="1375"/>
      <c r="G6" s="1376"/>
      <c r="H6" s="1375"/>
      <c r="I6" s="1376"/>
      <c r="J6" s="1375"/>
      <c r="K6" s="1375"/>
      <c r="L6" s="1377"/>
    </row>
    <row r="7" spans="1:13" ht="13.15" customHeight="1">
      <c r="A7" s="1278"/>
      <c r="B7" s="2535" t="s">
        <v>1296</v>
      </c>
      <c r="C7" s="2535"/>
      <c r="D7" s="2536"/>
      <c r="E7" s="2536"/>
      <c r="F7" s="2536"/>
      <c r="G7" s="2536"/>
      <c r="H7" s="2536"/>
      <c r="I7" s="2536"/>
      <c r="J7" s="2536"/>
      <c r="K7" s="2536"/>
      <c r="L7" s="1378"/>
    </row>
    <row r="8" spans="1:13" ht="7.5" customHeight="1">
      <c r="B8" s="322"/>
      <c r="C8" s="322"/>
      <c r="D8" s="322"/>
      <c r="E8" s="322"/>
      <c r="F8" s="322"/>
      <c r="G8" s="1379"/>
      <c r="H8" s="322"/>
      <c r="I8" s="1379"/>
      <c r="J8" s="322"/>
      <c r="K8" s="322"/>
      <c r="L8" s="1377"/>
    </row>
    <row r="9" spans="1:13" ht="9.6" customHeight="1">
      <c r="B9" s="1375"/>
      <c r="C9" s="1375"/>
      <c r="D9" s="1375"/>
      <c r="E9" s="1375"/>
      <c r="F9" s="1375"/>
      <c r="G9" s="1376"/>
      <c r="H9" s="1375"/>
      <c r="I9" s="1376"/>
      <c r="J9" s="1375"/>
      <c r="K9" s="1375"/>
      <c r="L9" s="1377"/>
    </row>
    <row r="10" spans="1:13" ht="16.7" customHeight="1">
      <c r="B10" s="1380" t="s">
        <v>1739</v>
      </c>
      <c r="C10" s="1381" t="s">
        <v>1988</v>
      </c>
      <c r="D10" s="1382">
        <v>1</v>
      </c>
      <c r="E10" s="322"/>
      <c r="F10" s="1383" t="s">
        <v>1295</v>
      </c>
      <c r="G10" s="1384"/>
      <c r="H10" s="1385" t="s">
        <v>1294</v>
      </c>
      <c r="I10" s="1384" t="s">
        <v>2079</v>
      </c>
      <c r="J10" s="1386" t="s">
        <v>1293</v>
      </c>
      <c r="K10" s="322"/>
      <c r="L10" s="1377"/>
    </row>
    <row r="11" spans="1:13" ht="13.5" customHeight="1">
      <c r="B11" s="322"/>
      <c r="C11" s="322"/>
      <c r="D11" s="322"/>
      <c r="E11" s="322"/>
      <c r="F11" s="322"/>
      <c r="G11" s="1379"/>
      <c r="H11" s="322"/>
      <c r="I11" s="1387" t="s">
        <v>1292</v>
      </c>
      <c r="J11" s="322"/>
      <c r="K11" s="1388">
        <v>2007</v>
      </c>
      <c r="L11" s="1377"/>
    </row>
    <row r="12" spans="1:13" ht="13.5" customHeight="1">
      <c r="B12" s="1290"/>
      <c r="C12" s="1290"/>
      <c r="D12" s="322"/>
      <c r="E12" s="322"/>
      <c r="F12" s="322"/>
      <c r="G12" s="1379"/>
      <c r="H12" s="322"/>
      <c r="I12" s="1379"/>
      <c r="J12" s="322"/>
      <c r="L12" s="1377"/>
    </row>
    <row r="13" spans="1:13" s="1278" customFormat="1" ht="13.5" customHeight="1">
      <c r="B13" s="1389" t="s">
        <v>1291</v>
      </c>
      <c r="C13" s="1389"/>
      <c r="D13" s="1390"/>
      <c r="E13" s="1390"/>
      <c r="F13" s="1390"/>
      <c r="G13" s="1391"/>
      <c r="H13" s="1390"/>
      <c r="I13" s="1391"/>
      <c r="J13" s="1390"/>
      <c r="K13" s="1390"/>
      <c r="L13" s="1392"/>
    </row>
    <row r="14" spans="1:13" ht="45.75" customHeight="1">
      <c r="B14" s="2533" t="s">
        <v>2171</v>
      </c>
      <c r="C14" s="2533"/>
      <c r="D14" s="2533"/>
      <c r="E14" s="2533"/>
      <c r="F14" s="2533"/>
      <c r="G14" s="2533"/>
      <c r="H14" s="2533"/>
      <c r="I14" s="2533"/>
      <c r="J14" s="2533"/>
      <c r="K14" s="2533"/>
      <c r="L14" s="1393"/>
    </row>
    <row r="15" spans="1:13" ht="4.5" customHeight="1">
      <c r="B15" s="1394"/>
      <c r="C15" s="1394"/>
      <c r="D15" s="1395"/>
      <c r="E15" s="1395"/>
      <c r="F15" s="1395"/>
      <c r="H15" s="1395"/>
      <c r="J15" s="1395"/>
      <c r="K15" s="1395"/>
      <c r="L15" s="1393"/>
    </row>
    <row r="16" spans="1:13" s="1278" customFormat="1" ht="13.5" customHeight="1">
      <c r="B16" s="1389" t="s">
        <v>1290</v>
      </c>
      <c r="C16" s="1389"/>
      <c r="D16" s="1390"/>
      <c r="E16" s="1390"/>
      <c r="F16" s="1390"/>
      <c r="G16" s="1391"/>
      <c r="H16" s="1390"/>
      <c r="I16" s="1391"/>
      <c r="J16" s="1390"/>
      <c r="K16" s="1390"/>
      <c r="L16" s="1392"/>
    </row>
    <row r="17" spans="2:12" ht="45.75" customHeight="1">
      <c r="B17" s="2533" t="s">
        <v>2172</v>
      </c>
      <c r="C17" s="2533"/>
      <c r="D17" s="2533"/>
      <c r="E17" s="2533"/>
      <c r="F17" s="2533"/>
      <c r="G17" s="2533"/>
      <c r="H17" s="2533"/>
      <c r="I17" s="2533"/>
      <c r="J17" s="2533"/>
      <c r="K17" s="2533"/>
      <c r="L17" s="1377"/>
    </row>
    <row r="18" spans="2:12" ht="4.5" customHeight="1">
      <c r="B18" s="1394"/>
      <c r="C18" s="1394"/>
      <c r="L18" s="1377"/>
    </row>
    <row r="19" spans="2:12" s="1278" customFormat="1" ht="13.5" customHeight="1">
      <c r="B19" s="1389" t="s">
        <v>1740</v>
      </c>
      <c r="C19" s="1389"/>
      <c r="D19" s="1390"/>
      <c r="E19" s="1390"/>
      <c r="F19" s="1390"/>
      <c r="G19" s="1391"/>
      <c r="H19" s="1390"/>
      <c r="I19" s="1391"/>
      <c r="J19" s="1390"/>
      <c r="K19" s="1390"/>
      <c r="L19" s="1392"/>
    </row>
    <row r="20" spans="2:12" ht="45.75" customHeight="1">
      <c r="B20" s="2537" t="s">
        <v>2173</v>
      </c>
      <c r="C20" s="2537"/>
      <c r="D20" s="2533"/>
      <c r="E20" s="2533"/>
      <c r="F20" s="2533"/>
      <c r="G20" s="2533"/>
      <c r="H20" s="2533"/>
      <c r="I20" s="2533"/>
      <c r="J20" s="2533"/>
      <c r="K20" s="2533"/>
      <c r="L20" s="1377"/>
    </row>
    <row r="21" spans="2:12" ht="4.5" customHeight="1">
      <c r="B21" s="1396"/>
      <c r="C21" s="1396"/>
      <c r="L21" s="1377"/>
    </row>
    <row r="22" spans="2:12" ht="13.5" customHeight="1">
      <c r="B22" s="1389" t="s">
        <v>1289</v>
      </c>
      <c r="C22" s="1389"/>
      <c r="D22" s="1375"/>
      <c r="E22" s="1375"/>
      <c r="F22" s="1375"/>
      <c r="G22" s="1376"/>
      <c r="H22" s="1375"/>
      <c r="I22" s="1376"/>
      <c r="J22" s="1375"/>
      <c r="K22" s="1375"/>
      <c r="L22" s="1377"/>
    </row>
    <row r="23" spans="2:12" ht="45.4" customHeight="1">
      <c r="B23" s="2533" t="s">
        <v>2174</v>
      </c>
      <c r="C23" s="2533"/>
      <c r="D23" s="2533"/>
      <c r="E23" s="2533"/>
      <c r="F23" s="2533"/>
      <c r="G23" s="2533"/>
      <c r="H23" s="2533"/>
      <c r="I23" s="2533"/>
      <c r="J23" s="2533"/>
      <c r="K23" s="2533"/>
      <c r="L23" s="1377"/>
    </row>
    <row r="24" spans="2:12" ht="4.5" customHeight="1">
      <c r="B24" s="1394"/>
      <c r="C24" s="1394"/>
      <c r="L24" s="1377"/>
    </row>
    <row r="25" spans="2:12" ht="13.5" customHeight="1">
      <c r="B25" s="1389" t="s">
        <v>1288</v>
      </c>
      <c r="C25" s="1389"/>
      <c r="D25" s="1375"/>
      <c r="E25" s="1375"/>
      <c r="F25" s="1375"/>
      <c r="G25" s="1376"/>
      <c r="H25" s="1375"/>
      <c r="I25" s="1376"/>
      <c r="J25" s="1375"/>
      <c r="K25" s="1375"/>
      <c r="L25" s="1377"/>
    </row>
    <row r="26" spans="2:12" ht="45.75" customHeight="1">
      <c r="B26" s="2533" t="s">
        <v>2175</v>
      </c>
      <c r="C26" s="2533"/>
      <c r="D26" s="2533"/>
      <c r="E26" s="2533"/>
      <c r="F26" s="2533"/>
      <c r="G26" s="2533"/>
      <c r="H26" s="2533"/>
      <c r="I26" s="2533"/>
      <c r="J26" s="2533"/>
      <c r="K26" s="2533"/>
      <c r="L26" s="1377"/>
    </row>
    <row r="27" spans="2:12" ht="4.5" customHeight="1">
      <c r="B27" s="1394"/>
      <c r="C27" s="1394"/>
      <c r="L27" s="1377"/>
    </row>
    <row r="28" spans="2:12" ht="13.5" customHeight="1">
      <c r="B28" s="1397" t="s">
        <v>1287</v>
      </c>
      <c r="C28" s="1397"/>
      <c r="D28" s="1375"/>
      <c r="E28" s="1375"/>
      <c r="F28" s="1375"/>
      <c r="G28" s="1376"/>
      <c r="H28" s="1375"/>
      <c r="I28" s="1376"/>
      <c r="J28" s="1375"/>
      <c r="K28" s="1375"/>
      <c r="L28" s="1377"/>
    </row>
    <row r="29" spans="2:12" ht="45.75" customHeight="1">
      <c r="B29" s="2532" t="s">
        <v>2176</v>
      </c>
      <c r="C29" s="2532"/>
      <c r="D29" s="2533"/>
      <c r="E29" s="2533"/>
      <c r="F29" s="2533"/>
      <c r="G29" s="2533"/>
      <c r="H29" s="2533"/>
      <c r="I29" s="2533"/>
      <c r="J29" s="2533"/>
      <c r="K29" s="2533"/>
      <c r="L29" s="1377"/>
    </row>
    <row r="30" spans="2:12" ht="4.5" customHeight="1">
      <c r="B30" s="1398"/>
      <c r="C30" s="1398"/>
      <c r="D30" s="322"/>
      <c r="E30" s="322"/>
      <c r="F30" s="322"/>
      <c r="G30" s="1379"/>
      <c r="H30" s="322"/>
      <c r="I30" s="1379"/>
      <c r="J30" s="322"/>
      <c r="K30" s="322"/>
      <c r="L30" s="1377"/>
    </row>
    <row r="31" spans="2:12" s="322" customFormat="1" ht="13.5" customHeight="1">
      <c r="B31" s="1399" t="s">
        <v>1741</v>
      </c>
      <c r="C31" s="1399"/>
      <c r="D31" s="1374"/>
      <c r="E31" s="1375"/>
      <c r="F31" s="1375"/>
      <c r="G31" s="1376"/>
      <c r="H31" s="1375"/>
      <c r="I31" s="1376"/>
      <c r="J31" s="1375"/>
      <c r="K31" s="1375"/>
      <c r="L31" s="1377"/>
    </row>
    <row r="32" spans="2:12" s="322" customFormat="1" ht="44.25" customHeight="1">
      <c r="B32" s="2532" t="s">
        <v>2177</v>
      </c>
      <c r="C32" s="2532"/>
      <c r="D32" s="2533"/>
      <c r="E32" s="2533"/>
      <c r="F32" s="2533"/>
      <c r="G32" s="2533"/>
      <c r="H32" s="2533"/>
      <c r="I32" s="2533"/>
      <c r="J32" s="2533"/>
      <c r="K32" s="2533"/>
      <c r="L32" s="1377"/>
    </row>
    <row r="33" spans="1:13" s="322" customFormat="1" ht="4.5" customHeight="1">
      <c r="B33" s="1398"/>
      <c r="C33" s="1398"/>
      <c r="G33" s="1379"/>
      <c r="I33" s="1379"/>
      <c r="L33" s="1377"/>
    </row>
    <row r="34" spans="1:13" s="322" customFormat="1">
      <c r="A34" s="1293"/>
      <c r="B34" s="1400"/>
      <c r="C34" s="1400"/>
      <c r="D34" s="1400"/>
      <c r="E34" s="1400"/>
      <c r="F34" s="1400"/>
      <c r="G34" s="1401"/>
      <c r="H34" s="1400"/>
      <c r="I34" s="1401"/>
      <c r="J34" s="1400"/>
      <c r="K34" s="1400"/>
      <c r="L34" s="1377"/>
    </row>
    <row r="35" spans="1:13" ht="11.85" customHeight="1">
      <c r="B35" s="1402" t="s">
        <v>1742</v>
      </c>
      <c r="C35" s="1402"/>
      <c r="D35" s="322"/>
      <c r="E35" s="322"/>
      <c r="F35" s="322"/>
      <c r="L35" s="1377"/>
    </row>
    <row r="36" spans="1:13" ht="9.6" customHeight="1">
      <c r="B36" s="1296" t="s">
        <v>1839</v>
      </c>
      <c r="C36" s="1296"/>
      <c r="L36" s="1377"/>
    </row>
    <row r="37" spans="1:13" ht="9.6" customHeight="1">
      <c r="B37" s="1296" t="s">
        <v>1840</v>
      </c>
      <c r="C37" s="1296"/>
    </row>
    <row r="38" spans="1:13" ht="11.85" customHeight="1">
      <c r="B38" s="1403" t="s">
        <v>1743</v>
      </c>
      <c r="C38" s="1403"/>
    </row>
    <row r="39" spans="1:13" ht="9.6" customHeight="1">
      <c r="B39" s="1296" t="s">
        <v>1286</v>
      </c>
      <c r="C39" s="1296"/>
      <c r="M39" s="1404"/>
    </row>
    <row r="40" spans="1:13" ht="13.15" customHeight="1">
      <c r="B40" s="1403" t="s">
        <v>1744</v>
      </c>
      <c r="C40" s="1403"/>
      <c r="M40" s="1404"/>
    </row>
    <row r="41" spans="1:13" ht="9.6" customHeight="1">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49" sqref="B49"/>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3.15" customHeight="1">
      <c r="B1" s="2538" t="str">
        <f>'Single Audit Cover'!A7</f>
        <v>East Moline SD 37</v>
      </c>
      <c r="C1" s="2538"/>
      <c r="D1" s="2538"/>
      <c r="E1" s="2538"/>
      <c r="F1" s="2538"/>
      <c r="G1" s="2538"/>
      <c r="H1" s="2538"/>
      <c r="I1" s="2538"/>
      <c r="J1" s="2538"/>
      <c r="K1" s="2538"/>
      <c r="L1" s="1448"/>
    </row>
    <row r="2" spans="1:12" ht="13.15" customHeight="1">
      <c r="B2" s="2539">
        <f>'Single Audit Cover'!E7</f>
        <v>49081037002</v>
      </c>
      <c r="C2" s="2539"/>
      <c r="D2" s="2539"/>
      <c r="E2" s="2539"/>
      <c r="F2" s="2539"/>
      <c r="G2" s="2539"/>
      <c r="H2" s="2539"/>
      <c r="I2" s="2539"/>
      <c r="J2" s="2539"/>
      <c r="K2" s="2539"/>
      <c r="L2" s="1449"/>
    </row>
    <row r="3" spans="1:12" ht="13.15" customHeight="1">
      <c r="B3" s="2534" t="s">
        <v>1285</v>
      </c>
      <c r="C3" s="2534"/>
      <c r="D3" s="2534"/>
      <c r="E3" s="2534"/>
      <c r="F3" s="2534"/>
      <c r="G3" s="2534"/>
      <c r="H3" s="2534"/>
      <c r="I3" s="2534"/>
      <c r="J3" s="2534"/>
      <c r="K3" s="2534"/>
      <c r="L3" s="1373"/>
    </row>
    <row r="4" spans="1:12" ht="13.15" customHeight="1">
      <c r="B4" s="2534" t="str">
        <f>'Single Audit Cover'!A4</f>
        <v>Year Ending June 30, 2019</v>
      </c>
      <c r="C4" s="2534"/>
      <c r="D4" s="2534"/>
      <c r="E4" s="2534"/>
      <c r="F4" s="2534"/>
      <c r="G4" s="2534"/>
      <c r="H4" s="2534"/>
      <c r="I4" s="2534"/>
      <c r="J4" s="2534"/>
      <c r="K4" s="2534"/>
      <c r="L4" s="1373"/>
    </row>
    <row r="5" spans="1:12" ht="5.25" customHeight="1">
      <c r="B5" s="1257" t="s">
        <v>1169</v>
      </c>
      <c r="C5" s="1257"/>
      <c r="L5" s="322"/>
    </row>
    <row r="6" spans="1:12" ht="31.15" customHeight="1">
      <c r="A6" s="322"/>
      <c r="B6" s="2540" t="s">
        <v>1308</v>
      </c>
      <c r="C6" s="2540"/>
      <c r="D6" s="2540"/>
      <c r="E6" s="2540"/>
      <c r="F6" s="2540"/>
      <c r="G6" s="2540"/>
      <c r="H6" s="2540"/>
      <c r="I6" s="2540"/>
      <c r="J6" s="2540"/>
      <c r="K6" s="2540"/>
      <c r="L6" s="322"/>
    </row>
    <row r="7" spans="1:12" ht="4.5" customHeight="1">
      <c r="B7" s="1375"/>
      <c r="C7" s="1375"/>
      <c r="D7" s="1375"/>
      <c r="E7" s="1375"/>
      <c r="F7" s="1375"/>
      <c r="G7" s="1376"/>
      <c r="H7" s="1375"/>
      <c r="I7" s="1376"/>
      <c r="J7" s="1375"/>
      <c r="K7" s="1375"/>
      <c r="L7" s="322"/>
    </row>
    <row r="8" spans="1:12" ht="13.5" customHeight="1">
      <c r="B8" s="1383" t="s">
        <v>1753</v>
      </c>
      <c r="C8" s="1450" t="s">
        <v>1988</v>
      </c>
      <c r="D8" s="1451"/>
      <c r="E8" s="322"/>
      <c r="F8" s="1380" t="s">
        <v>1295</v>
      </c>
      <c r="G8" s="1452"/>
      <c r="H8" s="1453" t="s">
        <v>1307</v>
      </c>
      <c r="I8" s="1452"/>
      <c r="J8" s="1454" t="s">
        <v>1306</v>
      </c>
      <c r="L8" s="322"/>
    </row>
    <row r="9" spans="1:12" ht="13.5" customHeight="1">
      <c r="D9" s="322"/>
      <c r="E9" s="322"/>
      <c r="F9" s="322"/>
      <c r="G9" s="1379"/>
      <c r="H9" s="322"/>
      <c r="I9" s="1455" t="s">
        <v>1292</v>
      </c>
      <c r="J9" s="322"/>
      <c r="K9" s="1456"/>
      <c r="L9" s="322"/>
    </row>
    <row r="10" spans="1:12" ht="4.5" customHeight="1">
      <c r="B10" s="1457"/>
      <c r="C10" s="1457"/>
      <c r="D10" s="1410"/>
      <c r="E10" s="1410"/>
      <c r="F10" s="1410"/>
      <c r="G10" s="1411"/>
      <c r="H10" s="1410"/>
      <c r="I10" s="1411"/>
      <c r="J10" s="1410"/>
      <c r="K10" s="1410"/>
      <c r="L10" s="322"/>
    </row>
    <row r="11" spans="1:12" ht="5.25" customHeight="1">
      <c r="B11" s="322"/>
      <c r="C11" s="322"/>
      <c r="D11" s="304"/>
      <c r="E11" s="322"/>
      <c r="F11" s="322"/>
      <c r="G11" s="1379"/>
      <c r="H11" s="322"/>
      <c r="I11" s="1379"/>
      <c r="J11" s="322"/>
      <c r="K11" s="1415"/>
      <c r="L11" s="322"/>
    </row>
    <row r="12" spans="1:12" ht="13.5" customHeight="1">
      <c r="B12" s="1380" t="s">
        <v>1305</v>
      </c>
      <c r="C12" s="1380"/>
      <c r="D12" s="304"/>
      <c r="E12" s="322"/>
      <c r="F12" s="2518"/>
      <c r="G12" s="2518"/>
      <c r="H12" s="2518"/>
      <c r="I12" s="2518"/>
      <c r="J12" s="2518"/>
      <c r="K12" s="2518"/>
      <c r="L12" s="322"/>
    </row>
    <row r="13" spans="1:12" ht="9.6" customHeight="1">
      <c r="B13" s="1254"/>
      <c r="C13" s="1254"/>
      <c r="D13" s="304"/>
      <c r="E13" s="322"/>
      <c r="F13" s="322"/>
      <c r="G13" s="1379"/>
      <c r="H13" s="322"/>
      <c r="I13" s="1379"/>
      <c r="J13" s="322"/>
      <c r="K13" s="1415"/>
      <c r="L13" s="322"/>
    </row>
    <row r="14" spans="1:12" ht="13.5" customHeight="1">
      <c r="B14" s="1383" t="s">
        <v>1304</v>
      </c>
      <c r="C14" s="1383"/>
      <c r="D14" s="2541"/>
      <c r="E14" s="2541"/>
      <c r="F14" s="2541"/>
      <c r="H14" s="1458" t="s">
        <v>1303</v>
      </c>
      <c r="I14" s="2542"/>
      <c r="J14" s="2542"/>
      <c r="K14" s="2542"/>
      <c r="L14" s="322"/>
    </row>
    <row r="15" spans="1:12" ht="9.6" customHeight="1">
      <c r="B15" s="1383"/>
      <c r="C15" s="1383"/>
      <c r="D15" s="1369"/>
      <c r="E15" s="1257"/>
      <c r="F15" s="1257"/>
      <c r="G15" s="1282"/>
      <c r="H15" s="1257"/>
      <c r="I15" s="1459"/>
      <c r="J15" s="1290"/>
      <c r="K15" s="1287"/>
      <c r="L15" s="322"/>
    </row>
    <row r="16" spans="1:12" ht="13.5" customHeight="1">
      <c r="B16" s="1383" t="s">
        <v>1302</v>
      </c>
      <c r="C16" s="1383"/>
      <c r="D16" s="2542"/>
      <c r="E16" s="2542"/>
      <c r="F16" s="2542"/>
      <c r="G16" s="2542"/>
      <c r="H16" s="2542"/>
      <c r="I16" s="2542"/>
      <c r="J16" s="2542"/>
      <c r="K16" s="2542"/>
      <c r="L16" s="322"/>
    </row>
    <row r="17" spans="2:12" ht="13.5" customHeight="1">
      <c r="B17" s="1383" t="s">
        <v>1301</v>
      </c>
      <c r="C17" s="1383"/>
      <c r="D17" s="2543"/>
      <c r="E17" s="2543"/>
      <c r="F17" s="2543"/>
      <c r="G17" s="2543"/>
      <c r="H17" s="2543"/>
      <c r="I17" s="2543"/>
      <c r="J17" s="2543"/>
      <c r="K17" s="2543"/>
      <c r="L17" s="322"/>
    </row>
    <row r="18" spans="2:12" ht="9.6" customHeight="1">
      <c r="B18" s="1410"/>
      <c r="C18" s="1410"/>
      <c r="D18" s="1410"/>
      <c r="E18" s="1410"/>
      <c r="F18" s="1410"/>
      <c r="G18" s="1411"/>
      <c r="H18" s="1410"/>
      <c r="I18" s="1411"/>
      <c r="J18" s="1410"/>
      <c r="K18" s="1410"/>
      <c r="L18" s="322"/>
    </row>
    <row r="19" spans="2:12" ht="13.5" customHeight="1">
      <c r="B19" s="1460" t="s">
        <v>1300</v>
      </c>
      <c r="C19" s="1460"/>
      <c r="D19" s="328"/>
      <c r="E19" s="328"/>
      <c r="F19" s="328"/>
      <c r="G19" s="1461"/>
      <c r="H19" s="328"/>
      <c r="I19" s="1461"/>
      <c r="J19" s="322"/>
      <c r="K19" s="322"/>
      <c r="L19" s="322"/>
    </row>
    <row r="20" spans="2:12" ht="35.25" customHeight="1">
      <c r="B20" s="2533"/>
      <c r="C20" s="2533"/>
      <c r="D20" s="2533"/>
      <c r="E20" s="2533"/>
      <c r="F20" s="2533"/>
      <c r="G20" s="2533"/>
      <c r="H20" s="2533"/>
      <c r="I20" s="2533"/>
      <c r="J20" s="2533"/>
      <c r="K20" s="2533"/>
      <c r="L20" s="1415"/>
    </row>
    <row r="21" spans="2:12" ht="4.5" customHeight="1">
      <c r="B21" s="1462"/>
      <c r="C21" s="1462"/>
      <c r="D21" s="1463"/>
      <c r="E21" s="1463"/>
      <c r="F21" s="1463"/>
      <c r="G21" s="1411"/>
      <c r="H21" s="1463"/>
      <c r="I21" s="1411"/>
      <c r="J21" s="1463"/>
      <c r="K21" s="1463"/>
      <c r="L21" s="1415"/>
    </row>
    <row r="22" spans="2:12" ht="13.35" customHeight="1">
      <c r="B22" s="1460" t="s">
        <v>1754</v>
      </c>
      <c r="C22" s="1460"/>
      <c r="D22" s="322"/>
      <c r="E22" s="322"/>
      <c r="F22" s="322"/>
      <c r="G22" s="1379"/>
      <c r="H22" s="322"/>
      <c r="I22" s="1379"/>
      <c r="J22" s="322"/>
      <c r="K22" s="322"/>
      <c r="L22" s="322"/>
    </row>
    <row r="23" spans="2:12" ht="37.5" customHeight="1">
      <c r="B23" s="2533"/>
      <c r="C23" s="2533"/>
      <c r="D23" s="2533"/>
      <c r="E23" s="2533"/>
      <c r="F23" s="2533"/>
      <c r="G23" s="2533"/>
      <c r="H23" s="2533"/>
      <c r="I23" s="2533"/>
      <c r="J23" s="2533"/>
      <c r="K23" s="2533"/>
      <c r="L23" s="322"/>
    </row>
    <row r="24" spans="2:12" ht="4.5" customHeight="1">
      <c r="B24" s="1462"/>
      <c r="C24" s="1462"/>
      <c r="D24" s="1410"/>
      <c r="E24" s="1410"/>
      <c r="F24" s="1410"/>
      <c r="G24" s="1411"/>
      <c r="H24" s="1410"/>
      <c r="I24" s="1411"/>
      <c r="J24" s="1410"/>
      <c r="K24" s="1410"/>
      <c r="L24" s="322"/>
    </row>
    <row r="25" spans="2:12" ht="13.5" customHeight="1">
      <c r="B25" s="1460" t="s">
        <v>1755</v>
      </c>
      <c r="C25" s="1460"/>
      <c r="D25" s="322"/>
      <c r="E25" s="322"/>
      <c r="F25" s="322"/>
      <c r="G25" s="1379"/>
      <c r="H25" s="322"/>
      <c r="I25" s="1379"/>
      <c r="J25" s="322"/>
      <c r="K25" s="322"/>
      <c r="L25" s="322"/>
    </row>
    <row r="26" spans="2:12" ht="37.5" customHeight="1">
      <c r="B26" s="2533"/>
      <c r="C26" s="2533"/>
      <c r="D26" s="2533"/>
      <c r="E26" s="2533"/>
      <c r="F26" s="2533"/>
      <c r="G26" s="2533"/>
      <c r="H26" s="2533"/>
      <c r="I26" s="2533"/>
      <c r="J26" s="2533"/>
      <c r="K26" s="2533"/>
      <c r="L26" s="322"/>
    </row>
    <row r="27" spans="2:12" ht="4.5" customHeight="1">
      <c r="B27" s="1464"/>
      <c r="C27" s="1464"/>
      <c r="D27" s="1464"/>
      <c r="E27" s="1410"/>
      <c r="F27" s="1410"/>
      <c r="G27" s="1411"/>
      <c r="H27" s="1410"/>
      <c r="I27" s="1411"/>
      <c r="J27" s="1410"/>
      <c r="K27" s="1410"/>
      <c r="L27" s="322"/>
    </row>
    <row r="28" spans="2:12" ht="13.5" customHeight="1">
      <c r="B28" s="1460" t="s">
        <v>1756</v>
      </c>
      <c r="C28" s="1460"/>
      <c r="D28" s="322"/>
      <c r="E28" s="322"/>
      <c r="F28" s="322"/>
      <c r="G28" s="1379"/>
      <c r="H28" s="322"/>
      <c r="I28" s="1379"/>
      <c r="J28" s="322"/>
      <c r="K28" s="322"/>
      <c r="L28" s="322"/>
    </row>
    <row r="29" spans="2:12" ht="37.5" customHeight="1">
      <c r="B29" s="2533"/>
      <c r="C29" s="2533"/>
      <c r="D29" s="2533"/>
      <c r="E29" s="2533"/>
      <c r="F29" s="2533"/>
      <c r="G29" s="2533"/>
      <c r="H29" s="2533"/>
      <c r="I29" s="2533"/>
      <c r="J29" s="2533"/>
      <c r="K29" s="2533"/>
      <c r="L29" s="322"/>
    </row>
    <row r="30" spans="2:12" ht="4.5" customHeight="1">
      <c r="B30" s="1462"/>
      <c r="C30" s="1462"/>
      <c r="D30" s="1410"/>
      <c r="E30" s="1410"/>
      <c r="F30" s="1410"/>
      <c r="G30" s="1411"/>
      <c r="H30" s="1410"/>
      <c r="I30" s="1411"/>
      <c r="J30" s="1410"/>
      <c r="K30" s="1410"/>
      <c r="L30" s="322"/>
    </row>
    <row r="31" spans="2:12" ht="13.5" customHeight="1">
      <c r="B31" s="1460" t="s">
        <v>1299</v>
      </c>
      <c r="C31" s="1460"/>
      <c r="D31" s="322"/>
      <c r="E31" s="322"/>
      <c r="F31" s="322"/>
      <c r="G31" s="1379"/>
      <c r="H31" s="322"/>
      <c r="I31" s="1379"/>
      <c r="J31" s="322"/>
      <c r="K31" s="322"/>
      <c r="L31" s="322"/>
    </row>
    <row r="32" spans="2:12" ht="37.5" customHeight="1">
      <c r="B32" s="2533"/>
      <c r="C32" s="2533"/>
      <c r="D32" s="2533"/>
      <c r="E32" s="2533"/>
      <c r="F32" s="2533"/>
      <c r="G32" s="2533"/>
      <c r="H32" s="2533"/>
      <c r="I32" s="2533"/>
      <c r="J32" s="2533"/>
      <c r="K32" s="2533"/>
      <c r="L32" s="322"/>
    </row>
    <row r="33" spans="2:12" ht="4.5" customHeight="1">
      <c r="B33" s="1462"/>
      <c r="C33" s="1462"/>
      <c r="D33" s="1410"/>
      <c r="E33" s="1410"/>
      <c r="F33" s="1410"/>
      <c r="G33" s="1411"/>
      <c r="H33" s="1410"/>
      <c r="I33" s="1411"/>
      <c r="J33" s="1410"/>
      <c r="K33" s="1410"/>
      <c r="L33" s="322"/>
    </row>
    <row r="34" spans="2:12" ht="13.5" customHeight="1">
      <c r="B34" s="1380" t="s">
        <v>1298</v>
      </c>
      <c r="C34" s="1380"/>
      <c r="D34" s="322"/>
      <c r="E34" s="322"/>
      <c r="F34" s="322"/>
      <c r="G34" s="1379"/>
      <c r="H34" s="322"/>
      <c r="I34" s="1379"/>
      <c r="J34" s="322"/>
      <c r="K34" s="322"/>
      <c r="L34" s="322"/>
    </row>
    <row r="35" spans="2:12" ht="37.5" customHeight="1">
      <c r="B35" s="2533"/>
      <c r="C35" s="2533"/>
      <c r="D35" s="2533"/>
      <c r="E35" s="2533"/>
      <c r="F35" s="2533"/>
      <c r="G35" s="2533"/>
      <c r="H35" s="2533"/>
      <c r="I35" s="2533"/>
      <c r="J35" s="2533"/>
      <c r="K35" s="2533"/>
      <c r="L35" s="322"/>
    </row>
    <row r="36" spans="2:12" ht="4.5" customHeight="1">
      <c r="B36" s="1462"/>
      <c r="C36" s="1462"/>
      <c r="D36" s="1410"/>
      <c r="E36" s="1410"/>
      <c r="F36" s="1410"/>
      <c r="G36" s="1411"/>
      <c r="H36" s="1410"/>
      <c r="I36" s="1411"/>
      <c r="J36" s="1410"/>
      <c r="K36" s="1410"/>
      <c r="L36" s="322"/>
    </row>
    <row r="37" spans="2:12" ht="13.5" customHeight="1">
      <c r="B37" s="1380" t="s">
        <v>1297</v>
      </c>
      <c r="C37" s="1380"/>
      <c r="D37" s="322"/>
      <c r="E37" s="322"/>
      <c r="F37" s="322"/>
      <c r="G37" s="1379"/>
      <c r="H37" s="322"/>
      <c r="I37" s="1379"/>
      <c r="J37" s="322"/>
      <c r="K37" s="322"/>
      <c r="L37" s="322"/>
    </row>
    <row r="38" spans="2:12" ht="35.25" customHeight="1">
      <c r="B38" s="2533"/>
      <c r="C38" s="2533"/>
      <c r="D38" s="2533"/>
      <c r="E38" s="2533"/>
      <c r="F38" s="2533"/>
      <c r="G38" s="2533"/>
      <c r="H38" s="2533"/>
      <c r="I38" s="2533"/>
      <c r="J38" s="2533"/>
      <c r="K38" s="2533"/>
      <c r="L38" s="322"/>
    </row>
    <row r="39" spans="2:12" ht="4.5" customHeight="1">
      <c r="B39" s="1398"/>
      <c r="C39" s="1398"/>
      <c r="D39" s="322"/>
      <c r="E39" s="322"/>
      <c r="F39" s="322"/>
      <c r="G39" s="1379"/>
      <c r="H39" s="322"/>
      <c r="I39" s="1379"/>
      <c r="J39" s="322"/>
      <c r="K39" s="322"/>
      <c r="L39" s="322"/>
    </row>
    <row r="40" spans="2:12" s="322" customFormat="1" ht="13.5" customHeight="1">
      <c r="B40" s="1399" t="s">
        <v>1757</v>
      </c>
      <c r="C40" s="1399"/>
      <c r="D40" s="1374"/>
      <c r="E40" s="1375"/>
      <c r="F40" s="1375"/>
      <c r="G40" s="1376"/>
      <c r="H40" s="1375"/>
      <c r="I40" s="1376"/>
      <c r="J40" s="1375"/>
      <c r="K40" s="1375"/>
    </row>
    <row r="41" spans="2:12" s="322" customFormat="1" ht="33.75" customHeight="1">
      <c r="B41" s="2533"/>
      <c r="C41" s="2533"/>
      <c r="D41" s="2533"/>
      <c r="E41" s="2533"/>
      <c r="F41" s="2533"/>
      <c r="G41" s="2533"/>
      <c r="H41" s="2533"/>
      <c r="I41" s="2533"/>
      <c r="J41" s="2533"/>
      <c r="K41" s="2533"/>
    </row>
    <row r="42" spans="2:12" s="322" customFormat="1" ht="4.5" customHeight="1">
      <c r="B42" s="1398"/>
      <c r="C42" s="1398"/>
      <c r="G42" s="1379"/>
      <c r="I42" s="1379"/>
    </row>
    <row r="43" spans="2:12" ht="7.5" customHeight="1">
      <c r="B43" s="1465"/>
      <c r="C43" s="1465"/>
      <c r="D43" s="1466"/>
      <c r="E43" s="1466"/>
      <c r="F43" s="1466"/>
      <c r="G43" s="1467"/>
      <c r="H43" s="1466"/>
      <c r="I43" s="1467"/>
      <c r="J43" s="1466"/>
      <c r="K43" s="1466"/>
    </row>
    <row r="44" spans="2:12" ht="13.5" customHeight="1">
      <c r="B44" s="1402" t="s">
        <v>1758</v>
      </c>
      <c r="C44" s="1402"/>
      <c r="D44" s="322"/>
      <c r="E44" s="322"/>
      <c r="F44" s="322"/>
    </row>
    <row r="45" spans="2:12" ht="10.5" customHeight="1">
      <c r="B45" s="1403" t="s">
        <v>1759</v>
      </c>
      <c r="C45" s="1403"/>
      <c r="G45" s="317"/>
      <c r="I45" s="317"/>
    </row>
    <row r="46" spans="2:12" ht="11.1" customHeight="1">
      <c r="B46" s="1403" t="s">
        <v>1760</v>
      </c>
      <c r="C46" s="1403"/>
      <c r="G46" s="317"/>
      <c r="I46" s="317"/>
    </row>
    <row r="47" spans="2:12" ht="11.1" customHeight="1">
      <c r="B47" s="1403" t="s">
        <v>1761</v>
      </c>
      <c r="C47" s="1403"/>
      <c r="G47" s="317"/>
      <c r="I47" s="317"/>
    </row>
    <row r="48" spans="2:12" ht="11.1" customHeight="1">
      <c r="B48" s="1403" t="s">
        <v>1762</v>
      </c>
      <c r="C48" s="1403"/>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49" sqref="B49"/>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3.15" customHeight="1">
      <c r="B1" s="2511" t="str">
        <f>'Single Audit Cover'!A7</f>
        <v>East Moline SD 37</v>
      </c>
      <c r="C1" s="2511"/>
      <c r="D1" s="2511"/>
      <c r="E1" s="1468"/>
    </row>
    <row r="2" spans="2:5" s="1278" customFormat="1" ht="13.15" customHeight="1">
      <c r="B2" s="2513">
        <f>'Single Audit Cover'!E7</f>
        <v>49081037002</v>
      </c>
      <c r="C2" s="2513"/>
      <c r="D2" s="2513"/>
      <c r="E2" s="1469"/>
    </row>
    <row r="3" spans="2:5" ht="13.15" customHeight="1">
      <c r="B3" s="2534" t="s">
        <v>1763</v>
      </c>
      <c r="C3" s="2534"/>
      <c r="D3" s="2534"/>
      <c r="E3" s="1270"/>
    </row>
    <row r="4" spans="2:5" s="1278" customFormat="1" ht="13.15" customHeight="1">
      <c r="B4" s="2544" t="str">
        <f>'Single Audit Cover'!A4</f>
        <v>Year Ending June 30, 2019</v>
      </c>
      <c r="C4" s="2544"/>
      <c r="D4" s="2544"/>
      <c r="E4" s="1470"/>
    </row>
    <row r="5" spans="2:5" s="1278" customFormat="1" ht="40.15" customHeight="1">
      <c r="B5" s="1471" t="s">
        <v>1764</v>
      </c>
      <c r="C5" s="328"/>
      <c r="D5" s="328"/>
      <c r="E5" s="328"/>
    </row>
    <row r="6" spans="2:5" s="1278" customFormat="1" ht="13.5" customHeight="1">
      <c r="B6" s="1472" t="s">
        <v>1315</v>
      </c>
      <c r="C6" s="1472" t="s">
        <v>1314</v>
      </c>
      <c r="D6" s="1472" t="s">
        <v>1765</v>
      </c>
    </row>
    <row r="7" spans="2:5" ht="13.5" customHeight="1">
      <c r="B7" s="1473" t="s">
        <v>2167</v>
      </c>
      <c r="C7" s="324" t="s">
        <v>2168</v>
      </c>
      <c r="D7" s="324" t="s">
        <v>2169</v>
      </c>
      <c r="E7" s="324"/>
    </row>
    <row r="8" spans="2:5" ht="13.5" customHeight="1">
      <c r="B8" s="1473"/>
      <c r="C8" s="324"/>
      <c r="D8" s="324"/>
      <c r="E8" s="324"/>
    </row>
    <row r="9" spans="2:5" ht="13.5" customHeight="1">
      <c r="B9" s="1474" t="s">
        <v>2170</v>
      </c>
      <c r="C9" s="323" t="s">
        <v>2168</v>
      </c>
      <c r="D9" s="323" t="s">
        <v>2169</v>
      </c>
      <c r="E9" s="323"/>
    </row>
    <row r="10" spans="2:5" ht="13.5" customHeight="1">
      <c r="B10" s="1473"/>
      <c r="C10" s="323"/>
      <c r="D10" s="323"/>
      <c r="E10" s="323"/>
    </row>
    <row r="11" spans="2:5" ht="13.5" customHeight="1">
      <c r="B11" s="1473"/>
      <c r="C11" s="323"/>
      <c r="D11" s="323"/>
      <c r="E11" s="323"/>
    </row>
    <row r="12" spans="2:5" ht="13.5" customHeight="1">
      <c r="B12" s="1473"/>
      <c r="C12" s="323"/>
      <c r="D12" s="323"/>
      <c r="E12" s="323"/>
    </row>
    <row r="13" spans="2:5" ht="13.5" customHeight="1">
      <c r="B13" s="1473"/>
      <c r="C13" s="323"/>
      <c r="D13" s="323"/>
      <c r="E13" s="323"/>
    </row>
    <row r="14" spans="2:5" ht="13.5" customHeight="1">
      <c r="B14" s="1473"/>
      <c r="C14" s="323"/>
      <c r="D14" s="323"/>
      <c r="E14" s="323"/>
    </row>
    <row r="15" spans="2:5" ht="13.5" customHeight="1">
      <c r="B15" s="1473"/>
      <c r="C15" s="323"/>
      <c r="D15" s="323"/>
      <c r="E15" s="323"/>
    </row>
    <row r="16" spans="2:5" ht="13.5" customHeight="1">
      <c r="B16" s="1473"/>
      <c r="C16" s="323"/>
      <c r="D16" s="323"/>
      <c r="E16" s="323"/>
    </row>
    <row r="17" spans="2:5" ht="13.5" customHeight="1">
      <c r="B17" s="1473"/>
      <c r="C17" s="323"/>
      <c r="D17" s="323"/>
      <c r="E17" s="323"/>
    </row>
    <row r="18" spans="2:5" ht="13.5" customHeight="1">
      <c r="B18" s="1473"/>
      <c r="C18" s="323"/>
      <c r="D18" s="323"/>
      <c r="E18" s="323"/>
    </row>
    <row r="19" spans="2:5" ht="13.5" customHeight="1">
      <c r="B19" s="1473"/>
      <c r="C19" s="323"/>
      <c r="D19" s="323"/>
      <c r="E19" s="323"/>
    </row>
    <row r="20" spans="2:5" ht="13.5" customHeight="1">
      <c r="B20" s="1473"/>
      <c r="C20" s="323"/>
      <c r="D20" s="323"/>
      <c r="E20" s="323"/>
    </row>
    <row r="21" spans="2:5" ht="13.5" customHeight="1">
      <c r="B21" s="1473"/>
      <c r="C21" s="323"/>
      <c r="D21" s="323"/>
      <c r="E21" s="323"/>
    </row>
    <row r="22" spans="2:5" ht="13.5" customHeight="1">
      <c r="B22" s="1473"/>
      <c r="C22" s="323"/>
      <c r="D22" s="323"/>
      <c r="E22" s="323"/>
    </row>
    <row r="23" spans="2:5" ht="13.5" customHeight="1">
      <c r="B23" s="1473"/>
      <c r="C23" s="323"/>
      <c r="D23" s="323"/>
      <c r="E23" s="323"/>
    </row>
    <row r="24" spans="2:5" ht="13.5" customHeight="1">
      <c r="B24" s="1473"/>
      <c r="C24" s="323"/>
      <c r="D24" s="323"/>
      <c r="E24" s="323"/>
    </row>
    <row r="25" spans="2:5" ht="13.5" customHeight="1">
      <c r="B25" s="1473"/>
      <c r="C25" s="323"/>
      <c r="D25" s="323"/>
      <c r="E25" s="323"/>
    </row>
    <row r="26" spans="2:5" ht="13.5" customHeight="1">
      <c r="B26" s="1473"/>
      <c r="C26" s="323"/>
      <c r="D26" s="323"/>
      <c r="E26" s="323"/>
    </row>
    <row r="27" spans="2:5" ht="13.5" customHeight="1">
      <c r="B27" s="1473"/>
      <c r="C27" s="323"/>
      <c r="D27" s="323"/>
      <c r="E27" s="323"/>
    </row>
    <row r="28" spans="2:5" ht="13.5" customHeight="1">
      <c r="B28" s="1473"/>
      <c r="C28" s="323"/>
      <c r="D28" s="323"/>
      <c r="E28" s="323"/>
    </row>
    <row r="29" spans="2:5" ht="13.5" customHeight="1">
      <c r="B29" s="1473"/>
      <c r="C29" s="323"/>
      <c r="D29" s="323"/>
      <c r="E29" s="323"/>
    </row>
    <row r="30" spans="2:5" ht="13.5" customHeight="1">
      <c r="B30" s="1473"/>
      <c r="C30" s="323"/>
      <c r="D30" s="323"/>
      <c r="E30" s="323"/>
    </row>
    <row r="31" spans="2:5" ht="13.5" customHeight="1">
      <c r="B31" s="1473"/>
      <c r="C31" s="323"/>
      <c r="D31" s="323"/>
      <c r="E31" s="323"/>
    </row>
    <row r="32" spans="2:5" ht="13.5" customHeight="1">
      <c r="B32" s="1475"/>
      <c r="C32" s="323"/>
      <c r="D32" s="323"/>
      <c r="E32" s="323"/>
    </row>
    <row r="33" spans="2:5" ht="13.5" customHeight="1">
      <c r="B33" s="1476"/>
      <c r="C33" s="323"/>
      <c r="D33" s="323"/>
      <c r="E33" s="323"/>
    </row>
    <row r="34" spans="2:5" ht="13.5" customHeight="1">
      <c r="B34" s="1477"/>
      <c r="C34" s="323"/>
      <c r="D34" s="323"/>
      <c r="E34" s="323"/>
    </row>
    <row r="35" spans="2:5" ht="13.5" customHeight="1">
      <c r="B35" s="1476"/>
      <c r="C35" s="323"/>
      <c r="D35" s="323"/>
      <c r="E35" s="323"/>
    </row>
    <row r="36" spans="2:5" ht="13.5" customHeight="1">
      <c r="B36" s="1477"/>
      <c r="C36" s="323"/>
      <c r="D36" s="323"/>
      <c r="E36" s="323"/>
    </row>
    <row r="37" spans="2:5" ht="13.5" customHeight="1">
      <c r="B37" s="1477"/>
      <c r="C37" s="323"/>
      <c r="D37" s="323"/>
      <c r="E37" s="323"/>
    </row>
    <row r="38" spans="2:5" ht="13.5" customHeight="1">
      <c r="B38" s="1476"/>
      <c r="C38" s="323"/>
      <c r="D38" s="323"/>
      <c r="E38" s="323"/>
    </row>
    <row r="39" spans="2:5" ht="13.5" customHeight="1">
      <c r="B39" s="1477"/>
      <c r="C39" s="323"/>
      <c r="D39" s="323"/>
      <c r="E39" s="323"/>
    </row>
    <row r="40" spans="2:5" ht="13.5" customHeight="1">
      <c r="B40" s="1476"/>
      <c r="C40" s="323"/>
      <c r="D40" s="323"/>
      <c r="E40" s="323"/>
    </row>
    <row r="41" spans="2:5" ht="13.5" customHeight="1">
      <c r="B41" s="1478"/>
      <c r="C41" s="323"/>
      <c r="D41" s="323"/>
      <c r="E41" s="323"/>
    </row>
    <row r="42" spans="2:5" ht="13.5" customHeight="1">
      <c r="B42" s="1479"/>
      <c r="C42" s="323"/>
      <c r="D42" s="323"/>
      <c r="E42" s="323"/>
    </row>
    <row r="43" spans="2:5" ht="13.15" customHeight="1">
      <c r="B43" s="1480"/>
      <c r="C43" s="1481"/>
      <c r="D43" s="1481"/>
      <c r="E43" s="323"/>
    </row>
    <row r="44" spans="2:5" ht="12.4" customHeight="1">
      <c r="B44" s="1254" t="s">
        <v>1313</v>
      </c>
      <c r="C44" s="322"/>
    </row>
    <row r="45" spans="2:5" ht="12.4" customHeight="1">
      <c r="B45" s="1482" t="s">
        <v>1766</v>
      </c>
    </row>
    <row r="46" spans="2:5" ht="12.4" customHeight="1">
      <c r="B46" s="1482" t="s">
        <v>1767</v>
      </c>
    </row>
    <row r="47" spans="2:5" ht="12.4" customHeight="1">
      <c r="B47" s="1483" t="s">
        <v>1312</v>
      </c>
    </row>
    <row r="48" spans="2:5" ht="12.4" customHeight="1">
      <c r="B48" s="1483" t="s">
        <v>1311</v>
      </c>
    </row>
    <row r="49" spans="2:5" ht="12.4" customHeight="1">
      <c r="B49" s="1483" t="s">
        <v>1310</v>
      </c>
    </row>
    <row r="50" spans="2:5" ht="12.4" customHeight="1">
      <c r="B50" s="1483" t="s">
        <v>1309</v>
      </c>
    </row>
    <row r="53" spans="2:5" ht="13.15" customHeight="1"/>
    <row r="54" spans="2:5" ht="13.15" customHeight="1">
      <c r="B54" s="1264"/>
    </row>
    <row r="55" spans="2:5" ht="13.15" customHeight="1"/>
    <row r="56" spans="2:5" ht="13.15" customHeight="1">
      <c r="B56" s="322"/>
      <c r="C56" s="322"/>
      <c r="D56" s="322"/>
      <c r="E56" s="322"/>
    </row>
    <row r="57" spans="2:5" ht="13.15" customHeight="1">
      <c r="B57" s="322"/>
      <c r="C57" s="322"/>
      <c r="D57" s="322"/>
      <c r="E57" s="322"/>
    </row>
    <row r="58" spans="2:5" ht="13.15" customHeight="1">
      <c r="B58" s="322"/>
      <c r="C58" s="322"/>
      <c r="D58" s="322"/>
      <c r="E58" s="322"/>
    </row>
    <row r="59" spans="2:5" ht="13.15" customHeight="1">
      <c r="B59" s="322"/>
      <c r="C59" s="322"/>
      <c r="D59" s="322"/>
      <c r="E59" s="322"/>
    </row>
    <row r="60" spans="2:5" ht="13.15" customHeight="1">
      <c r="B60" s="322"/>
      <c r="C60" s="322"/>
      <c r="D60" s="322"/>
      <c r="E60" s="322"/>
    </row>
    <row r="61" spans="2:5" ht="13.15" customHeight="1">
      <c r="B61" s="322"/>
      <c r="C61" s="322"/>
      <c r="D61" s="322"/>
      <c r="E61" s="322"/>
    </row>
    <row r="62" spans="2:5" ht="13.15" customHeight="1">
      <c r="B62" s="322"/>
      <c r="C62" s="322"/>
      <c r="D62" s="322"/>
      <c r="E62" s="322"/>
    </row>
    <row r="63" spans="2:5" ht="13.15" customHeight="1">
      <c r="B63" s="322"/>
      <c r="C63" s="322"/>
      <c r="D63" s="322"/>
      <c r="E63" s="322"/>
    </row>
    <row r="67" spans="2:2">
      <c r="B67" s="1402"/>
    </row>
    <row r="68" spans="2:2">
      <c r="B68" s="1296"/>
    </row>
    <row r="69" spans="2:2">
      <c r="B69" s="1296"/>
    </row>
    <row r="70" spans="2:2">
      <c r="B70" s="1403"/>
    </row>
    <row r="71" spans="2:2">
      <c r="B71" s="1403"/>
    </row>
    <row r="72" spans="2:2">
      <c r="B72" s="1403"/>
    </row>
    <row r="73" spans="2: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1BC15-3E71-4DCC-A78A-947609A55D68}">
  <dimension ref="A1"/>
  <sheetViews>
    <sheetView topLeftCell="A16" workbookViewId="0">
      <selection activeCell="B49" sqref="B49"/>
    </sheetView>
  </sheetViews>
  <sheetFormatPr defaultRowHeight="12.75"/>
  <sheetData/>
  <pageMargins left="0.7" right="0.5" top="0.5" bottom="0.25" header="0" footer="0"/>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O49" sqref="O49"/>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41" t="s">
        <v>386</v>
      </c>
      <c r="B1" s="2141"/>
      <c r="C1" s="2141"/>
      <c r="D1" s="2141"/>
      <c r="E1" s="2141"/>
      <c r="F1" s="2141"/>
      <c r="G1" s="2141"/>
      <c r="H1" s="2141"/>
      <c r="I1" s="2141"/>
      <c r="J1" s="2141"/>
      <c r="K1" s="2141"/>
      <c r="L1" s="2141"/>
      <c r="M1" s="2141"/>
      <c r="N1" s="346"/>
    </row>
    <row r="2" spans="1:14" ht="10.9" customHeight="1">
      <c r="A2" s="346"/>
      <c r="B2" s="346"/>
      <c r="C2" s="346"/>
      <c r="D2" s="346"/>
      <c r="E2" s="346"/>
      <c r="F2" s="346"/>
      <c r="G2" s="346"/>
      <c r="H2" s="346"/>
      <c r="I2" s="346"/>
      <c r="J2" s="346"/>
      <c r="K2" s="346"/>
      <c r="L2" s="346"/>
      <c r="M2" s="346"/>
      <c r="N2" s="346"/>
    </row>
    <row r="3" spans="1:14">
      <c r="A3" s="348" t="s">
        <v>846</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458</v>
      </c>
      <c r="B5" s="349" t="s">
        <v>1648</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1945</v>
      </c>
      <c r="E7" s="222"/>
      <c r="F7" s="351" t="s">
        <v>272</v>
      </c>
      <c r="G7" s="222"/>
      <c r="H7" s="222"/>
      <c r="I7" s="222"/>
      <c r="J7" s="352">
        <v>353450721</v>
      </c>
      <c r="K7" s="222"/>
      <c r="L7" s="222"/>
      <c r="M7" s="222"/>
    </row>
    <row r="8" spans="1:14" ht="10.9" customHeight="1">
      <c r="C8" s="222"/>
      <c r="D8" s="222"/>
      <c r="E8" s="222"/>
      <c r="F8" s="222"/>
      <c r="G8" s="222"/>
      <c r="H8" s="222"/>
      <c r="I8" s="222"/>
      <c r="J8" s="222"/>
      <c r="K8" s="222"/>
      <c r="L8" s="222"/>
      <c r="M8" s="222"/>
    </row>
    <row r="9" spans="1:14" ht="22.5">
      <c r="B9" s="222"/>
      <c r="C9" s="222"/>
      <c r="D9" s="353" t="s">
        <v>1155</v>
      </c>
      <c r="E9" s="349"/>
      <c r="F9" s="354" t="s">
        <v>870</v>
      </c>
      <c r="G9" s="349"/>
      <c r="H9" s="353" t="s">
        <v>155</v>
      </c>
      <c r="I9" s="349"/>
      <c r="J9" s="354" t="s">
        <v>1002</v>
      </c>
      <c r="K9" s="349"/>
      <c r="L9" s="353" t="s">
        <v>407</v>
      </c>
      <c r="M9" s="222"/>
    </row>
    <row r="10" spans="1:14" ht="13.35" customHeight="1">
      <c r="A10" s="344" t="s">
        <v>929</v>
      </c>
      <c r="C10" s="222"/>
      <c r="D10" s="355">
        <v>2.4199999999999999E-2</v>
      </c>
      <c r="E10" s="356" t="s">
        <v>1005</v>
      </c>
      <c r="F10" s="355">
        <v>2.5000000000000001E-3</v>
      </c>
      <c r="G10" s="356" t="s">
        <v>1005</v>
      </c>
      <c r="H10" s="355">
        <v>1.1999999999999999E-3</v>
      </c>
      <c r="I10" s="356" t="s">
        <v>1006</v>
      </c>
      <c r="J10" s="1731">
        <f>ROUND(D10+F10+H10,5)</f>
        <v>2.7900000000000001E-2</v>
      </c>
      <c r="K10" s="222"/>
      <c r="L10" s="355">
        <v>5.0000000000000001E-4</v>
      </c>
      <c r="M10" s="222"/>
    </row>
    <row r="11" spans="1:14" ht="7.5" customHeight="1">
      <c r="B11" s="222"/>
      <c r="C11" s="222"/>
      <c r="D11" s="2151" t="str">
        <f>IF(SUM(J10)&lt;=0.0999999,"","Enter the Tax Rates by moving the decimal two places to the left.")</f>
        <v/>
      </c>
      <c r="E11" s="2152"/>
      <c r="F11" s="2152"/>
      <c r="G11" s="2152"/>
      <c r="H11" s="2152"/>
      <c r="I11" s="2152"/>
      <c r="J11" s="2152"/>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97</v>
      </c>
      <c r="B13" s="349" t="s">
        <v>1649</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527</v>
      </c>
      <c r="E15" s="222"/>
      <c r="F15" s="354" t="s">
        <v>1003</v>
      </c>
      <c r="G15" s="222"/>
      <c r="H15" s="354" t="s">
        <v>1004</v>
      </c>
      <c r="I15" s="222"/>
      <c r="J15" s="353" t="s">
        <v>392</v>
      </c>
      <c r="K15" s="222"/>
      <c r="L15" s="222"/>
      <c r="M15" s="222"/>
    </row>
    <row r="16" spans="1:14" ht="13.35" customHeight="1">
      <c r="A16" s="349"/>
      <c r="B16" s="222"/>
      <c r="C16" s="222"/>
      <c r="D16" s="1732">
        <f>SUM('Acct Summary 7-8'!C8,'Acct Summary 7-8'!D8,'Acct Summary 7-8'!F8,'Acct Summary 7-8'!I8)</f>
        <v>30992216</v>
      </c>
      <c r="E16" s="356"/>
      <c r="F16" s="1732">
        <f>SUM('Acct Summary 7-8'!C17,'Acct Summary 7-8'!D17,'Acct Summary 7-8'!F17)</f>
        <v>29794808</v>
      </c>
      <c r="G16" s="356"/>
      <c r="H16" s="1732">
        <f>SUM(D16-F16)</f>
        <v>1197408</v>
      </c>
      <c r="I16" s="222"/>
      <c r="J16" s="1732">
        <f>SUM('Acct Summary 7-8'!C81,'Acct Summary 7-8'!D81,'Acct Summary 7-8'!F81,'Acct Summary 7-8'!I81)</f>
        <v>11107119</v>
      </c>
      <c r="K16" s="222"/>
      <c r="L16" s="222"/>
      <c r="M16" s="222"/>
    </row>
    <row r="17" spans="1:13" ht="12.4" customHeight="1">
      <c r="A17" s="349"/>
      <c r="B17" s="260" t="s">
        <v>8</v>
      </c>
      <c r="C17" s="237" t="s">
        <v>1396</v>
      </c>
      <c r="D17" s="222"/>
      <c r="E17" s="222"/>
      <c r="F17" s="222"/>
      <c r="G17" s="222"/>
      <c r="H17" s="222"/>
      <c r="I17" s="222"/>
      <c r="J17" s="222"/>
      <c r="K17" s="222"/>
      <c r="L17" s="222"/>
      <c r="M17" s="222"/>
    </row>
    <row r="18" spans="1:13" ht="12.4" customHeight="1">
      <c r="A18" s="349"/>
      <c r="B18" s="222"/>
      <c r="C18" s="237" t="s">
        <v>506</v>
      </c>
      <c r="D18" s="222"/>
      <c r="E18" s="222"/>
      <c r="F18" s="222"/>
      <c r="G18" s="222"/>
      <c r="H18" s="222"/>
      <c r="I18" s="222"/>
      <c r="J18" s="222"/>
      <c r="K18" s="222"/>
      <c r="L18" s="222"/>
      <c r="M18" s="222"/>
    </row>
    <row r="19" spans="1:13" s="329" customFormat="1" ht="10.5" customHeight="1"/>
    <row r="20" spans="1:13" ht="13.15" customHeight="1">
      <c r="A20" s="349" t="s">
        <v>812</v>
      </c>
      <c r="B20" s="349" t="s">
        <v>1650</v>
      </c>
      <c r="C20" s="222"/>
      <c r="D20" s="222"/>
      <c r="E20" s="222"/>
      <c r="F20" s="222"/>
      <c r="G20" s="222"/>
      <c r="H20" s="222"/>
      <c r="I20" s="222"/>
      <c r="J20" s="222"/>
      <c r="K20" s="222"/>
      <c r="L20" s="222"/>
      <c r="M20" s="222"/>
    </row>
    <row r="21" spans="1:13">
      <c r="A21" s="349"/>
      <c r="B21" s="222"/>
      <c r="C21" s="222"/>
      <c r="D21" s="360" t="s">
        <v>394</v>
      </c>
      <c r="E21" s="361"/>
      <c r="F21" s="360" t="s">
        <v>393</v>
      </c>
      <c r="G21" s="361"/>
      <c r="H21" s="360" t="s">
        <v>395</v>
      </c>
      <c r="I21" s="361"/>
      <c r="J21" s="360" t="s">
        <v>41</v>
      </c>
      <c r="K21" s="361"/>
      <c r="L21" s="362" t="s">
        <v>545</v>
      </c>
      <c r="M21" s="222"/>
    </row>
    <row r="22" spans="1:13" ht="13.35" customHeight="1">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c r="A23" s="349"/>
      <c r="B23" s="222"/>
      <c r="C23" s="222"/>
      <c r="D23" s="360" t="s">
        <v>1063</v>
      </c>
      <c r="E23" s="361"/>
      <c r="F23" s="360" t="s">
        <v>156</v>
      </c>
      <c r="G23" s="222"/>
      <c r="H23" s="222"/>
      <c r="I23" s="222"/>
      <c r="J23" s="222"/>
      <c r="K23" s="222"/>
      <c r="L23" s="222"/>
      <c r="M23" s="222"/>
    </row>
    <row r="24" spans="1:13" ht="13.35" customHeight="1">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c r="A25" s="349"/>
      <c r="B25" s="181" t="s">
        <v>9</v>
      </c>
      <c r="C25" s="237" t="s">
        <v>2060</v>
      </c>
      <c r="D25" s="222"/>
      <c r="E25" s="222"/>
      <c r="F25" s="222"/>
      <c r="G25" s="222"/>
      <c r="H25" s="222"/>
      <c r="I25" s="222"/>
      <c r="J25" s="222"/>
      <c r="K25" s="222"/>
      <c r="L25" s="222"/>
      <c r="M25" s="222"/>
    </row>
    <row r="26" spans="1:13" ht="9.4"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3.15" customHeight="1">
      <c r="A28" s="349" t="s">
        <v>98</v>
      </c>
      <c r="B28" s="349" t="s">
        <v>141</v>
      </c>
      <c r="C28" s="222"/>
      <c r="D28" s="222"/>
      <c r="E28" s="222"/>
      <c r="F28" s="222"/>
      <c r="G28" s="222"/>
      <c r="H28" s="222"/>
      <c r="I28" s="222"/>
      <c r="J28" s="222"/>
      <c r="K28" s="222"/>
      <c r="L28" s="222"/>
      <c r="M28" s="222"/>
    </row>
    <row r="29" spans="1:13" ht="12.4" customHeight="1">
      <c r="A29" s="349"/>
      <c r="B29" s="237" t="s">
        <v>385</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2079</v>
      </c>
      <c r="C31" s="367" t="s">
        <v>586</v>
      </c>
      <c r="D31" s="237" t="s">
        <v>1072</v>
      </c>
      <c r="E31" s="222"/>
      <c r="F31" s="222"/>
      <c r="G31" s="363"/>
      <c r="H31" s="1734">
        <f>IF(B31="X",(J7*0.069),IF(B32="X",(J7*0.138),"Enter x in a.or b."))</f>
        <v>24388099.749000002</v>
      </c>
      <c r="I31" s="368"/>
      <c r="J31" s="222"/>
      <c r="K31" s="222"/>
      <c r="L31" s="222"/>
      <c r="M31" s="222"/>
    </row>
    <row r="32" spans="1:13" ht="13.35" customHeight="1">
      <c r="B32" s="369"/>
      <c r="C32" s="370" t="s">
        <v>587</v>
      </c>
      <c r="D32" s="237" t="s">
        <v>423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4" customHeight="1">
      <c r="B34" s="222" t="s">
        <v>389</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588</v>
      </c>
      <c r="D36" s="247" t="s">
        <v>0</v>
      </c>
      <c r="E36" s="222"/>
      <c r="F36" s="222"/>
      <c r="G36" s="375" t="s">
        <v>390</v>
      </c>
      <c r="H36" s="376"/>
      <c r="I36" s="222"/>
      <c r="J36" s="222"/>
      <c r="K36" s="222"/>
      <c r="L36" s="222"/>
      <c r="M36" s="222"/>
    </row>
    <row r="37" spans="1:13" ht="13.5" customHeight="1">
      <c r="B37" s="222"/>
      <c r="C37" s="374"/>
      <c r="D37" s="247" t="s">
        <v>1135</v>
      </c>
      <c r="E37" s="222"/>
      <c r="F37" s="222"/>
      <c r="G37" s="377">
        <v>511</v>
      </c>
      <c r="H37" s="1733">
        <f>'Assets-Liab 5-6'!N36</f>
        <v>23200000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3.15" customHeight="1">
      <c r="A40" s="349" t="s">
        <v>546</v>
      </c>
      <c r="B40" s="349" t="s">
        <v>195</v>
      </c>
      <c r="C40" s="349"/>
      <c r="D40" s="349"/>
      <c r="E40" s="349"/>
      <c r="F40" s="349"/>
      <c r="G40" s="222"/>
      <c r="H40" s="222"/>
      <c r="I40" s="222"/>
      <c r="J40" s="222"/>
      <c r="K40" s="222"/>
      <c r="L40" s="222"/>
      <c r="M40" s="222"/>
    </row>
    <row r="41" spans="1:13" ht="12.4" customHeight="1">
      <c r="B41" s="237" t="s">
        <v>1154</v>
      </c>
      <c r="C41" s="222"/>
      <c r="D41" s="222"/>
      <c r="E41" s="222"/>
      <c r="F41" s="222"/>
      <c r="G41" s="222"/>
      <c r="H41" s="222"/>
      <c r="I41" s="222"/>
      <c r="J41" s="222"/>
      <c r="K41" s="222"/>
      <c r="L41" s="222"/>
      <c r="M41" s="222"/>
    </row>
    <row r="42" spans="1:13">
      <c r="B42" s="237" t="s">
        <v>402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302</v>
      </c>
      <c r="E44" s="222"/>
      <c r="F44" s="222"/>
      <c r="G44" s="222"/>
      <c r="H44" s="222"/>
      <c r="I44" s="222"/>
      <c r="J44" s="222"/>
      <c r="K44" s="222"/>
      <c r="L44" s="222"/>
      <c r="M44" s="222"/>
    </row>
    <row r="45" spans="1:13" ht="13.5" customHeight="1">
      <c r="B45" s="378"/>
      <c r="C45" s="225" t="s">
        <v>381</v>
      </c>
      <c r="E45" s="222"/>
      <c r="F45" s="222"/>
      <c r="G45" s="222"/>
      <c r="H45" s="222"/>
      <c r="I45" s="222"/>
      <c r="J45" s="222"/>
      <c r="K45" s="222"/>
      <c r="L45" s="222"/>
      <c r="M45" s="222"/>
    </row>
    <row r="46" spans="1:13" ht="13.5" customHeight="1">
      <c r="B46" s="378"/>
      <c r="C46" s="225" t="s">
        <v>863</v>
      </c>
      <c r="E46" s="222"/>
      <c r="F46" s="222"/>
      <c r="G46" s="222"/>
      <c r="H46" s="222"/>
      <c r="I46" s="222"/>
      <c r="J46" s="222"/>
      <c r="K46" s="222"/>
      <c r="L46" s="222"/>
      <c r="M46" s="222"/>
    </row>
    <row r="47" spans="1:13" ht="13.5" customHeight="1">
      <c r="B47" s="378"/>
      <c r="C47" s="225" t="s">
        <v>55</v>
      </c>
      <c r="E47" s="222"/>
      <c r="F47" s="222"/>
      <c r="G47" s="222"/>
      <c r="H47" s="222"/>
      <c r="I47" s="222"/>
      <c r="J47" s="222"/>
      <c r="K47" s="222"/>
      <c r="L47" s="222"/>
      <c r="M47" s="222"/>
    </row>
    <row r="48" spans="1:13" ht="13.5" customHeight="1">
      <c r="B48" s="378"/>
      <c r="C48" s="225" t="s">
        <v>56</v>
      </c>
      <c r="E48" s="222"/>
      <c r="F48" s="222"/>
      <c r="G48" s="222"/>
      <c r="H48" s="222"/>
      <c r="I48" s="222"/>
      <c r="J48" s="222"/>
      <c r="K48" s="222"/>
      <c r="L48" s="222"/>
      <c r="M48" s="222"/>
    </row>
    <row r="49" spans="1:13" ht="13.5" customHeight="1">
      <c r="B49" s="378"/>
      <c r="C49" s="225" t="s">
        <v>339</v>
      </c>
      <c r="E49" s="222"/>
      <c r="F49" s="222"/>
      <c r="G49" s="222"/>
      <c r="H49" s="222"/>
      <c r="I49" s="222"/>
      <c r="J49" s="222"/>
      <c r="K49" s="222"/>
      <c r="L49" s="222"/>
      <c r="M49" s="222"/>
    </row>
    <row r="50" spans="1:13" ht="13.5" customHeight="1">
      <c r="B50" s="378"/>
      <c r="C50" s="225" t="s">
        <v>340</v>
      </c>
      <c r="E50" s="222"/>
      <c r="F50" s="222"/>
      <c r="G50" s="222"/>
      <c r="H50" s="222"/>
      <c r="I50" s="222"/>
      <c r="J50" s="222"/>
      <c r="K50" s="222"/>
      <c r="L50" s="222"/>
      <c r="M50" s="222"/>
    </row>
    <row r="51" spans="1:13" ht="13.5" customHeight="1">
      <c r="B51" s="378"/>
      <c r="C51" s="225" t="s">
        <v>544</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387</v>
      </c>
      <c r="C53" s="222"/>
      <c r="D53" s="222"/>
      <c r="E53" s="222"/>
      <c r="F53" s="222"/>
      <c r="G53" s="222"/>
      <c r="H53" s="222"/>
      <c r="I53" s="222"/>
      <c r="J53" s="222"/>
      <c r="K53" s="222"/>
      <c r="L53" s="222"/>
      <c r="M53" s="222"/>
    </row>
    <row r="54" spans="1:13" ht="12.75">
      <c r="B54" s="2142" t="s">
        <v>2080</v>
      </c>
      <c r="C54" s="2143"/>
      <c r="D54" s="2143"/>
      <c r="E54" s="2143"/>
      <c r="F54" s="2143"/>
      <c r="G54" s="2143"/>
      <c r="H54" s="2143"/>
      <c r="I54" s="2143"/>
      <c r="J54" s="2143"/>
      <c r="K54" s="2143"/>
      <c r="L54" s="2144"/>
      <c r="M54" s="380"/>
    </row>
    <row r="55" spans="1:13" ht="13.15" customHeight="1">
      <c r="B55" s="2145"/>
      <c r="C55" s="2146"/>
      <c r="D55" s="2146"/>
      <c r="E55" s="2146"/>
      <c r="F55" s="2146"/>
      <c r="G55" s="2146"/>
      <c r="H55" s="2146"/>
      <c r="I55" s="2146"/>
      <c r="J55" s="2146"/>
      <c r="K55" s="2146"/>
      <c r="L55" s="2147"/>
      <c r="M55" s="380"/>
    </row>
    <row r="56" spans="1:13" ht="13.15" customHeight="1">
      <c r="B56" s="2145"/>
      <c r="C56" s="2146"/>
      <c r="D56" s="2146"/>
      <c r="E56" s="2146"/>
      <c r="F56" s="2146"/>
      <c r="G56" s="2146"/>
      <c r="H56" s="2146"/>
      <c r="I56" s="2146"/>
      <c r="J56" s="2146"/>
      <c r="K56" s="2146"/>
      <c r="L56" s="2147"/>
      <c r="M56" s="222"/>
    </row>
    <row r="57" spans="1:13" ht="13.15" customHeight="1">
      <c r="B57" s="2145"/>
      <c r="C57" s="2146"/>
      <c r="D57" s="2146"/>
      <c r="E57" s="2146"/>
      <c r="F57" s="2146"/>
      <c r="G57" s="2146"/>
      <c r="H57" s="2146"/>
      <c r="I57" s="2146"/>
      <c r="J57" s="2146"/>
      <c r="K57" s="2146"/>
      <c r="L57" s="2147"/>
      <c r="M57" s="222"/>
    </row>
    <row r="58" spans="1:13">
      <c r="B58" s="2148"/>
      <c r="C58" s="2149"/>
      <c r="D58" s="2149"/>
      <c r="E58" s="2149"/>
      <c r="F58" s="2149"/>
      <c r="G58" s="2149"/>
      <c r="H58" s="2149"/>
      <c r="I58" s="2149"/>
      <c r="J58" s="2149"/>
      <c r="K58" s="2149"/>
      <c r="L58" s="2150"/>
      <c r="M58" s="222"/>
    </row>
    <row r="59" spans="1:13" ht="6" customHeight="1">
      <c r="B59" s="206"/>
      <c r="C59" s="206"/>
      <c r="D59" s="206"/>
      <c r="E59" s="206"/>
      <c r="F59" s="206"/>
      <c r="G59" s="206"/>
      <c r="H59" s="206"/>
      <c r="I59" s="206"/>
      <c r="J59" s="206"/>
      <c r="K59" s="206"/>
      <c r="L59" s="206"/>
      <c r="M59" s="222"/>
    </row>
    <row r="60" spans="1:13" ht="12.4" customHeight="1">
      <c r="B60" s="206"/>
      <c r="C60" s="206"/>
      <c r="D60" s="206"/>
      <c r="E60" s="206"/>
      <c r="F60" s="206"/>
      <c r="G60" s="206"/>
      <c r="H60" s="206"/>
      <c r="I60" s="206"/>
      <c r="J60" s="206"/>
      <c r="K60" s="206"/>
      <c r="L60" s="206"/>
      <c r="M60" s="222"/>
    </row>
    <row r="61" spans="1:13" ht="13.15" customHeight="1">
      <c r="A61" s="247"/>
      <c r="B61" s="381"/>
      <c r="C61" s="2153"/>
      <c r="D61" s="2154"/>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4" customHeight="1">
      <c r="A63" s="383"/>
      <c r="B63" s="382"/>
      <c r="C63" s="382"/>
      <c r="D63" s="382"/>
      <c r="E63" s="382"/>
      <c r="F63" s="382"/>
      <c r="G63" s="382"/>
      <c r="H63" s="382"/>
      <c r="I63" s="382"/>
      <c r="J63" s="382"/>
      <c r="K63" s="382"/>
      <c r="L63" s="382"/>
      <c r="M63" s="222"/>
    </row>
    <row r="64" spans="1:13" ht="12.4"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4" customHeight="1">
      <c r="A66" s="383"/>
      <c r="B66" s="364"/>
      <c r="C66" s="364"/>
      <c r="D66" s="364"/>
      <c r="E66" s="364"/>
      <c r="F66" s="364"/>
      <c r="G66" s="364"/>
      <c r="H66" s="364"/>
      <c r="I66" s="364"/>
      <c r="J66" s="364"/>
      <c r="K66" s="364"/>
      <c r="L66" s="364"/>
      <c r="M66" s="222"/>
    </row>
    <row r="67" spans="1:13" ht="12.4" customHeight="1">
      <c r="A67" s="383"/>
      <c r="B67" s="222"/>
      <c r="C67" s="222"/>
      <c r="D67" s="222"/>
      <c r="E67" s="222"/>
      <c r="F67" s="222"/>
      <c r="G67" s="222"/>
      <c r="H67" s="222"/>
      <c r="I67" s="222"/>
      <c r="J67" s="222"/>
      <c r="K67" s="222"/>
      <c r="L67" s="222"/>
      <c r="M67" s="222"/>
    </row>
    <row r="68" spans="1:13" ht="12.4" customHeight="1">
      <c r="B68" s="222"/>
      <c r="C68" s="222"/>
      <c r="D68" s="222"/>
      <c r="E68" s="222"/>
      <c r="F68" s="222"/>
      <c r="G68" s="222"/>
      <c r="H68" s="222"/>
      <c r="I68" s="222"/>
      <c r="J68" s="222"/>
      <c r="K68" s="222"/>
      <c r="L68" s="222"/>
      <c r="M68" s="222"/>
    </row>
    <row r="69" spans="1:13" ht="12.4" customHeight="1">
      <c r="B69" s="222"/>
      <c r="C69" s="222"/>
      <c r="D69" s="222"/>
      <c r="E69" s="222"/>
      <c r="F69" s="222"/>
      <c r="G69" s="222"/>
      <c r="H69" s="222"/>
      <c r="I69" s="222"/>
      <c r="J69" s="222"/>
      <c r="K69" s="222"/>
      <c r="L69" s="222"/>
      <c r="M69" s="222"/>
    </row>
    <row r="70" spans="1:13" ht="12.4"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4" customHeight="1">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B49" sqref="B49"/>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56"/>
      <c r="B1" s="2157"/>
      <c r="C1" s="2157"/>
      <c r="D1" s="384"/>
      <c r="E1" s="384"/>
      <c r="F1" s="384"/>
      <c r="G1" s="384"/>
      <c r="H1" s="384"/>
      <c r="I1" s="384"/>
      <c r="J1" s="384"/>
      <c r="K1" s="384"/>
      <c r="L1" s="384"/>
      <c r="M1" s="384"/>
      <c r="N1" s="384"/>
      <c r="O1" s="2156"/>
      <c r="P1" s="2157"/>
      <c r="Q1" s="2157"/>
    </row>
    <row r="2" spans="1:18" ht="15">
      <c r="A2" s="2160" t="s">
        <v>556</v>
      </c>
      <c r="B2" s="2160"/>
      <c r="C2" s="2160"/>
      <c r="D2" s="2160"/>
      <c r="E2" s="2160"/>
      <c r="F2" s="2160"/>
      <c r="G2" s="2160"/>
      <c r="H2" s="2160"/>
      <c r="I2" s="2160"/>
      <c r="J2" s="2160"/>
      <c r="K2" s="2160"/>
      <c r="L2" s="2160"/>
      <c r="M2" s="2160"/>
      <c r="N2" s="2160"/>
      <c r="O2" s="2160"/>
      <c r="P2" s="2160"/>
      <c r="Q2" s="2160"/>
      <c r="R2" s="2160"/>
    </row>
    <row r="3" spans="1:18" ht="12.75">
      <c r="A3" s="2161" t="s">
        <v>1413</v>
      </c>
      <c r="B3" s="2161"/>
      <c r="C3" s="2161"/>
      <c r="D3" s="2161"/>
      <c r="E3" s="2161"/>
      <c r="F3" s="2161"/>
      <c r="G3" s="2161"/>
      <c r="H3" s="2161"/>
      <c r="I3" s="2161"/>
      <c r="J3" s="2161"/>
      <c r="K3" s="2161"/>
      <c r="L3" s="2161"/>
      <c r="M3" s="2161"/>
      <c r="N3" s="2161"/>
      <c r="O3" s="2161"/>
      <c r="P3" s="2161"/>
      <c r="Q3" s="2161"/>
      <c r="R3" s="2161"/>
    </row>
    <row r="4" spans="1:18">
      <c r="A4" s="2162" t="s">
        <v>1554</v>
      </c>
      <c r="B4" s="2162"/>
      <c r="C4" s="2162"/>
      <c r="D4" s="2162"/>
      <c r="E4" s="2162"/>
      <c r="F4" s="2162"/>
      <c r="G4" s="2162"/>
      <c r="H4" s="2162"/>
      <c r="I4" s="2162"/>
      <c r="J4" s="2162"/>
      <c r="K4" s="2162"/>
      <c r="L4" s="2162"/>
      <c r="M4" s="2162"/>
      <c r="N4" s="2162"/>
      <c r="O4" s="2162"/>
      <c r="P4" s="2162"/>
      <c r="Q4" s="2162"/>
      <c r="R4" s="2162"/>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1126</v>
      </c>
      <c r="D7" s="390" t="str">
        <f>COVER!A17</f>
        <v>East Moline SD 37</v>
      </c>
      <c r="E7" s="391"/>
      <c r="G7" s="252"/>
      <c r="H7" s="387"/>
      <c r="I7" s="387"/>
      <c r="J7" s="387"/>
      <c r="K7" s="387"/>
      <c r="L7" s="329"/>
      <c r="M7" s="329"/>
      <c r="N7" s="329"/>
      <c r="O7" s="329"/>
      <c r="P7" s="329"/>
    </row>
    <row r="8" spans="1:18" ht="12.75">
      <c r="A8" s="329"/>
      <c r="B8" s="329"/>
      <c r="C8" s="389" t="s">
        <v>1125</v>
      </c>
      <c r="D8" s="392">
        <f>COVER!A13</f>
        <v>49081037002</v>
      </c>
      <c r="E8" s="393"/>
      <c r="G8" s="329"/>
      <c r="H8" s="329"/>
      <c r="I8" s="329"/>
      <c r="J8" s="329"/>
      <c r="K8" s="329"/>
      <c r="L8" s="329"/>
      <c r="M8" s="329"/>
      <c r="N8" s="329"/>
      <c r="O8" s="329"/>
      <c r="P8" s="329"/>
    </row>
    <row r="9" spans="1:18" ht="12.75">
      <c r="A9" s="329"/>
      <c r="B9" s="329"/>
      <c r="C9" s="389" t="s">
        <v>713</v>
      </c>
      <c r="D9" s="394" t="str">
        <f>COVER!A15</f>
        <v>Rock Island</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11107119</v>
      </c>
      <c r="I12" s="404"/>
      <c r="J12" s="404"/>
      <c r="K12" s="405">
        <f>TRUNC((H12/H13*100000),5)/100000</f>
        <v>0.35838415029999998</v>
      </c>
      <c r="L12" s="406"/>
      <c r="M12" s="360" t="s">
        <v>1144</v>
      </c>
      <c r="N12" s="360"/>
      <c r="O12" s="407">
        <v>0.35</v>
      </c>
      <c r="P12" s="218"/>
      <c r="Q12" s="218"/>
    </row>
    <row r="13" spans="1:18" s="408" customFormat="1" ht="12.75">
      <c r="A13" s="218"/>
      <c r="B13" s="401"/>
      <c r="C13" s="2158" t="s">
        <v>1324</v>
      </c>
      <c r="D13" s="2159"/>
      <c r="E13" s="218"/>
      <c r="F13" s="409" t="s">
        <v>793</v>
      </c>
      <c r="G13" s="402"/>
      <c r="H13" s="403">
        <f>SUM('Acct Summary 7-8'!C8+'Acct Summary 7-8'!D8+'Acct Summary 7-8'!F8+'Acct Summary 7-8'!I8)+H14</f>
        <v>30992216</v>
      </c>
      <c r="I13" s="404"/>
      <c r="J13" s="404"/>
      <c r="K13" s="410"/>
      <c r="L13" s="218"/>
      <c r="M13" s="360" t="s">
        <v>1145</v>
      </c>
      <c r="N13" s="360"/>
      <c r="O13" s="411">
        <f>(O11*O12)</f>
        <v>1.4</v>
      </c>
      <c r="P13" s="218"/>
      <c r="Q13" s="218"/>
      <c r="R13" s="412"/>
    </row>
    <row r="14" spans="1:18" s="408" customFormat="1" ht="12.75">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65" customHeight="1">
      <c r="A15" s="216"/>
      <c r="B15" s="396"/>
      <c r="C15" s="218" t="s">
        <v>1411</v>
      </c>
      <c r="D15" s="216"/>
      <c r="E15" s="216"/>
      <c r="F15" s="218"/>
      <c r="G15" s="414"/>
      <c r="H15" s="395"/>
      <c r="I15" s="216"/>
      <c r="J15" s="216"/>
      <c r="K15" s="395"/>
      <c r="L15" s="216"/>
      <c r="M15" s="415"/>
      <c r="N15" s="415"/>
      <c r="O15" s="216"/>
      <c r="P15" s="216"/>
      <c r="Q15" s="216"/>
      <c r="R15" s="384"/>
    </row>
    <row r="16" spans="1:18" ht="12.75">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c r="A17" s="218"/>
      <c r="B17" s="401"/>
      <c r="C17" s="218" t="s">
        <v>797</v>
      </c>
      <c r="D17" s="218"/>
      <c r="E17" s="218"/>
      <c r="F17" s="218" t="s">
        <v>444</v>
      </c>
      <c r="G17" s="402"/>
      <c r="H17" s="403">
        <f>SUM('Acct Summary 7-8'!C17+'Acct Summary 7-8'!D17+'Acct Summary 7-8'!F17)</f>
        <v>29794808</v>
      </c>
      <c r="I17" s="404"/>
      <c r="J17" s="416"/>
      <c r="K17" s="405">
        <f>TRUNC((H17/H18*100000),5)/100000</f>
        <v>0.96136423410000005</v>
      </c>
      <c r="L17" s="406"/>
      <c r="M17" s="417" t="s">
        <v>1171</v>
      </c>
      <c r="O17" s="418" t="str">
        <f>IF(AND(O16="2", J20 &gt; 2),"1",IF(AND(O16 = "1", J20 &gt; 2),"2",IF(AND(O16="1", J20 &gt;1),"1","0")))</f>
        <v>0</v>
      </c>
      <c r="P17" s="218"/>
    </row>
    <row r="18" spans="1:18" s="408" customFormat="1" ht="11.25">
      <c r="A18" s="218"/>
      <c r="B18" s="401"/>
      <c r="C18" s="2158" t="s">
        <v>1317</v>
      </c>
      <c r="D18" s="2159"/>
      <c r="E18" s="218"/>
      <c r="F18" s="419" t="s">
        <v>794</v>
      </c>
      <c r="G18" s="402"/>
      <c r="H18" s="403">
        <f>SUM('Acct Summary 7-8'!C8+'Acct Summary 7-8'!D8+'Acct Summary 7-8'!F8+'Acct Summary 7-8'!I8)+H19</f>
        <v>30992216</v>
      </c>
      <c r="I18" s="404"/>
      <c r="J18" s="404"/>
      <c r="K18" s="410"/>
      <c r="L18" s="218"/>
      <c r="M18" s="360" t="s">
        <v>1144</v>
      </c>
      <c r="N18" s="360"/>
      <c r="O18" s="410">
        <v>0.35</v>
      </c>
      <c r="P18" s="218"/>
    </row>
    <row r="19" spans="1:18" s="408" customFormat="1" ht="11.25">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65" customHeight="1">
      <c r="A21" s="216"/>
      <c r="B21" s="396"/>
      <c r="C21" s="218" t="s">
        <v>475</v>
      </c>
      <c r="D21" s="216"/>
      <c r="E21" s="216"/>
      <c r="F21" s="216"/>
      <c r="G21" s="414"/>
      <c r="H21" s="395"/>
      <c r="I21" s="216"/>
      <c r="J21" s="216"/>
      <c r="K21" s="395"/>
      <c r="L21" s="216"/>
      <c r="M21" s="415"/>
      <c r="N21" s="415"/>
      <c r="O21" s="216"/>
      <c r="P21" s="216"/>
      <c r="R21" s="384"/>
    </row>
    <row r="22" spans="1:18" ht="11.65" customHeight="1">
      <c r="A22" s="216"/>
      <c r="B22" s="396"/>
      <c r="C22" s="218"/>
      <c r="D22" s="216"/>
      <c r="E22" s="216"/>
      <c r="F22" s="216"/>
      <c r="G22" s="414"/>
      <c r="H22" s="395"/>
      <c r="I22" s="216"/>
      <c r="J22" s="216"/>
      <c r="K22" s="395"/>
      <c r="L22" s="216"/>
      <c r="M22" s="415"/>
      <c r="N22" s="415"/>
      <c r="O22" s="216"/>
      <c r="P22" s="216"/>
      <c r="R22" s="384"/>
    </row>
    <row r="23" spans="1:18" ht="12.75">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c r="A24" s="218"/>
      <c r="B24" s="401"/>
      <c r="C24" s="2155" t="s">
        <v>1412</v>
      </c>
      <c r="D24" s="2155"/>
      <c r="E24" s="218"/>
      <c r="F24" s="218" t="s">
        <v>445</v>
      </c>
      <c r="G24" s="402"/>
      <c r="H24" s="403">
        <f>SUM('Assets-Liab 5-6'!C4+'Assets-Liab 5-6'!D4+'Assets-Liab 5-6'!F4+'Assets-Liab 5-6'!I4+'Assets-Liab 5-6'!C5+'Assets-Liab 5-6'!D5+'Assets-Liab 5-6'!F5+'Assets-Liab 5-6'!I5)</f>
        <v>11107119</v>
      </c>
      <c r="I24" s="422"/>
      <c r="J24" s="422"/>
      <c r="K24" s="423">
        <f>TRUNC(((H24/H25*100000)/100000),2)</f>
        <v>134.19999999999999</v>
      </c>
      <c r="L24" s="424"/>
      <c r="M24" s="360" t="s">
        <v>1144</v>
      </c>
      <c r="N24" s="360"/>
      <c r="O24" s="411">
        <v>0.1</v>
      </c>
      <c r="P24" s="218"/>
    </row>
    <row r="25" spans="1:18" s="408" customFormat="1" ht="12.75">
      <c r="A25" s="218"/>
      <c r="B25" s="401"/>
      <c r="C25" s="218" t="s">
        <v>798</v>
      </c>
      <c r="D25" s="218"/>
      <c r="E25" s="218"/>
      <c r="F25" s="218" t="s">
        <v>446</v>
      </c>
      <c r="G25" s="402"/>
      <c r="H25" s="423">
        <f>ROUND((H17/360),5)</f>
        <v>82763.355559999996</v>
      </c>
      <c r="I25" s="425"/>
      <c r="J25" s="425"/>
      <c r="K25" s="410"/>
      <c r="L25" s="218"/>
      <c r="M25" s="360" t="s">
        <v>1145</v>
      </c>
      <c r="N25" s="360"/>
      <c r="O25" s="411">
        <f>O23*O24</f>
        <v>0.30000000000000004</v>
      </c>
      <c r="P25" s="218"/>
      <c r="R25" s="412"/>
    </row>
    <row r="26" spans="1:18" ht="12.4" customHeight="1">
      <c r="A26" s="216"/>
      <c r="B26" s="396"/>
      <c r="C26" s="216"/>
      <c r="D26" s="216"/>
      <c r="E26" s="216"/>
      <c r="F26" s="216"/>
      <c r="G26" s="216"/>
      <c r="H26" s="395"/>
      <c r="I26" s="216"/>
      <c r="J26" s="216"/>
      <c r="K26" s="395"/>
      <c r="L26" s="216"/>
      <c r="M26" s="415"/>
      <c r="N26" s="415"/>
      <c r="O26" s="216"/>
      <c r="P26" s="216"/>
    </row>
    <row r="27" spans="1:18" ht="12.75">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c r="A29" s="218"/>
      <c r="B29" s="401"/>
      <c r="C29" s="218" t="s">
        <v>796</v>
      </c>
      <c r="D29" s="218"/>
      <c r="E29" s="218"/>
      <c r="F29" s="218" t="s">
        <v>800</v>
      </c>
      <c r="G29" s="402"/>
      <c r="H29" s="431">
        <f>ROUND((0.85*'FP Info 3'!J7*'FP Info 3'!J10),5)</f>
        <v>8382083.8485200005</v>
      </c>
      <c r="I29" s="428"/>
      <c r="J29" s="428"/>
      <c r="K29" s="410"/>
      <c r="L29" s="218"/>
      <c r="M29" s="360" t="s">
        <v>1145</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c r="A32" s="218"/>
      <c r="B32" s="401"/>
      <c r="C32" s="218" t="s">
        <v>847</v>
      </c>
      <c r="D32" s="218"/>
      <c r="E32" s="218"/>
      <c r="F32" s="218"/>
      <c r="G32" s="402"/>
      <c r="H32" s="403">
        <f>'FP Info 3'!H37</f>
        <v>23200000</v>
      </c>
      <c r="I32" s="420"/>
      <c r="J32" s="420"/>
      <c r="K32" s="423">
        <f>TRUNC(100-((((H32/H33*100))*100)/100),2)</f>
        <v>4.87</v>
      </c>
      <c r="L32" s="406"/>
      <c r="M32" s="360" t="s">
        <v>1144</v>
      </c>
      <c r="N32" s="360"/>
      <c r="O32" s="434">
        <v>0.1</v>
      </c>
    </row>
    <row r="33" spans="1:17" s="408" customFormat="1" ht="11.25">
      <c r="A33" s="218"/>
      <c r="B33" s="401"/>
      <c r="C33" s="218" t="s">
        <v>799</v>
      </c>
      <c r="D33" s="218"/>
      <c r="E33" s="218"/>
      <c r="F33" s="218"/>
      <c r="G33" s="402"/>
      <c r="H33" s="403">
        <f>IF('FP Info 3'!H31="Enter X in a or b"," ",'FP Info 3'!H31)</f>
        <v>24388099.749000002</v>
      </c>
      <c r="I33" s="420"/>
      <c r="J33" s="420"/>
      <c r="K33" s="403"/>
      <c r="L33" s="218"/>
      <c r="M33" s="435" t="s">
        <v>1145</v>
      </c>
      <c r="N33" s="435"/>
      <c r="O33" s="434">
        <f>(O31*O32)</f>
        <v>0.1</v>
      </c>
    </row>
    <row r="34" spans="1:17" ht="12.4"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295</v>
      </c>
      <c r="N35" s="414"/>
      <c r="O35" s="439">
        <f>(O13+O20+O25+O29+O33)</f>
        <v>3.5999999999999996</v>
      </c>
      <c r="P35" s="440" t="s">
        <v>196</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7"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196</v>
      </c>
      <c r="H39" s="444" t="s">
        <v>1050</v>
      </c>
      <c r="I39" s="408"/>
      <c r="J39" s="408"/>
      <c r="K39" s="410"/>
      <c r="L39" s="408"/>
      <c r="M39" s="408"/>
      <c r="N39" s="408"/>
      <c r="O39" s="218"/>
      <c r="P39" s="216"/>
      <c r="Q39" s="216"/>
    </row>
    <row r="40" spans="1:17">
      <c r="A40" s="216"/>
      <c r="B40" s="396"/>
      <c r="C40" s="216"/>
      <c r="D40" s="216"/>
      <c r="E40" s="216"/>
      <c r="F40" s="216"/>
      <c r="G40" s="445"/>
      <c r="H40" s="446" t="s">
        <v>1506</v>
      </c>
      <c r="I40" s="408"/>
      <c r="J40" s="408"/>
      <c r="K40" s="410"/>
      <c r="L40" s="408"/>
      <c r="M40" s="408"/>
      <c r="N40" s="408"/>
      <c r="O40" s="218"/>
      <c r="P40" s="216"/>
      <c r="Q40" s="216"/>
    </row>
    <row r="41" spans="1:17">
      <c r="G41" s="448"/>
      <c r="H41" s="218" t="s">
        <v>1507</v>
      </c>
      <c r="M41" s="216"/>
      <c r="O41" s="216"/>
      <c r="P41" s="216"/>
      <c r="Q41" s="216"/>
    </row>
    <row r="42" spans="1:17">
      <c r="A42" s="385" t="s">
        <v>1508</v>
      </c>
      <c r="G42" s="448"/>
      <c r="H42" s="218"/>
      <c r="M42" s="216"/>
      <c r="O42" s="216"/>
      <c r="P42" s="216"/>
      <c r="Q42" s="216"/>
    </row>
    <row r="43" spans="1:17">
      <c r="G43" s="448"/>
      <c r="H43" s="450"/>
      <c r="L43" s="216"/>
      <c r="M43" s="408"/>
    </row>
    <row r="44" spans="1:17" ht="15.75">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72" zoomScaleNormal="72" workbookViewId="0">
      <pane ySplit="2" topLeftCell="A9" activePane="bottomLeft" state="frozen"/>
      <selection activeCell="B49" sqref="B49"/>
      <selection pane="bottomLeft" activeCell="B49" sqref="B49"/>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16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c r="A2" s="216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c r="A3" s="2165" t="s">
        <v>973</v>
      </c>
      <c r="B3" s="2166"/>
      <c r="C3" s="1558"/>
      <c r="D3" s="1559"/>
      <c r="E3" s="1559"/>
      <c r="F3" s="1559"/>
      <c r="G3" s="1559"/>
      <c r="H3" s="1559"/>
      <c r="I3" s="1559"/>
      <c r="J3" s="1559"/>
      <c r="K3" s="1559"/>
      <c r="L3" s="1559"/>
      <c r="M3" s="1560"/>
      <c r="N3" s="1561"/>
    </row>
    <row r="4" spans="1:14" ht="13.5" customHeight="1">
      <c r="A4" s="463" t="s">
        <v>1651</v>
      </c>
      <c r="B4" s="464"/>
      <c r="C4" s="465">
        <f>79+150+1536058</f>
        <v>1536287</v>
      </c>
      <c r="D4" s="466">
        <v>6</v>
      </c>
      <c r="E4" s="466">
        <v>134185</v>
      </c>
      <c r="F4" s="466"/>
      <c r="G4" s="466">
        <v>1</v>
      </c>
      <c r="H4" s="466"/>
      <c r="I4" s="466"/>
      <c r="J4" s="467"/>
      <c r="K4" s="466">
        <v>118876</v>
      </c>
      <c r="L4" s="466">
        <v>174627</v>
      </c>
      <c r="M4" s="468"/>
      <c r="N4" s="469"/>
    </row>
    <row r="5" spans="1:14">
      <c r="A5" s="463" t="s">
        <v>992</v>
      </c>
      <c r="B5" s="470">
        <v>120</v>
      </c>
      <c r="C5" s="465">
        <f>4120492+4447</f>
        <v>4124939</v>
      </c>
      <c r="D5" s="466">
        <v>803560</v>
      </c>
      <c r="E5" s="466">
        <v>2777511</v>
      </c>
      <c r="F5" s="466">
        <v>418084</v>
      </c>
      <c r="G5" s="466">
        <v>352078</v>
      </c>
      <c r="H5" s="466">
        <v>790910</v>
      </c>
      <c r="I5" s="466">
        <f>4223496+747</f>
        <v>4224243</v>
      </c>
      <c r="J5" s="467">
        <v>445677</v>
      </c>
      <c r="K5" s="471">
        <v>148869</v>
      </c>
      <c r="L5" s="472"/>
      <c r="M5" s="468"/>
      <c r="N5" s="469"/>
    </row>
    <row r="6" spans="1:14" ht="13.5" customHeight="1">
      <c r="A6" s="473" t="s">
        <v>417</v>
      </c>
      <c r="B6" s="470">
        <v>130</v>
      </c>
      <c r="C6" s="465"/>
      <c r="D6" s="466"/>
      <c r="E6" s="466"/>
      <c r="F6" s="466"/>
      <c r="G6" s="471"/>
      <c r="H6" s="471"/>
      <c r="I6" s="466"/>
      <c r="J6" s="474"/>
      <c r="K6" s="471"/>
      <c r="L6" s="475"/>
      <c r="M6" s="468"/>
      <c r="N6" s="469"/>
    </row>
    <row r="7" spans="1:14" ht="13.5" customHeight="1">
      <c r="A7" s="473" t="s">
        <v>418</v>
      </c>
      <c r="B7" s="470">
        <v>140</v>
      </c>
      <c r="C7" s="476"/>
      <c r="D7" s="467"/>
      <c r="E7" s="467"/>
      <c r="F7" s="467"/>
      <c r="G7" s="467"/>
      <c r="H7" s="467"/>
      <c r="I7" s="467"/>
      <c r="J7" s="467"/>
      <c r="K7" s="467"/>
      <c r="L7" s="477"/>
      <c r="M7" s="468"/>
      <c r="N7" s="469"/>
    </row>
    <row r="8" spans="1:14" ht="13.5" customHeight="1">
      <c r="A8" s="473" t="s">
        <v>269</v>
      </c>
      <c r="B8" s="470">
        <v>150</v>
      </c>
      <c r="C8" s="476"/>
      <c r="D8" s="467"/>
      <c r="E8" s="467"/>
      <c r="F8" s="467"/>
      <c r="G8" s="478"/>
      <c r="H8" s="467"/>
      <c r="I8" s="474"/>
      <c r="J8" s="474"/>
      <c r="K8" s="479"/>
      <c r="L8" s="480"/>
      <c r="M8" s="468"/>
      <c r="N8" s="469"/>
    </row>
    <row r="9" spans="1:14" ht="13.5" customHeight="1">
      <c r="A9" s="473" t="s">
        <v>270</v>
      </c>
      <c r="B9" s="470">
        <v>160</v>
      </c>
      <c r="C9" s="476"/>
      <c r="D9" s="467"/>
      <c r="E9" s="467"/>
      <c r="F9" s="467"/>
      <c r="G9" s="467"/>
      <c r="H9" s="478"/>
      <c r="I9" s="467"/>
      <c r="J9" s="467"/>
      <c r="K9" s="467"/>
      <c r="L9" s="467"/>
      <c r="M9" s="468"/>
      <c r="N9" s="469"/>
    </row>
    <row r="10" spans="1:14" ht="13.5" customHeight="1">
      <c r="A10" s="473" t="s">
        <v>991</v>
      </c>
      <c r="B10" s="470">
        <v>170</v>
      </c>
      <c r="C10" s="465"/>
      <c r="D10" s="466"/>
      <c r="E10" s="467"/>
      <c r="F10" s="466"/>
      <c r="G10" s="478"/>
      <c r="H10" s="481"/>
      <c r="I10" s="467"/>
      <c r="J10" s="467"/>
      <c r="K10" s="481"/>
      <c r="L10" s="481"/>
      <c r="M10" s="469"/>
      <c r="N10" s="469"/>
    </row>
    <row r="11" spans="1:14" ht="13.5" customHeight="1">
      <c r="A11" s="473" t="s">
        <v>271</v>
      </c>
      <c r="B11" s="470">
        <v>180</v>
      </c>
      <c r="C11" s="476"/>
      <c r="D11" s="467"/>
      <c r="E11" s="467"/>
      <c r="F11" s="467"/>
      <c r="G11" s="467"/>
      <c r="H11" s="467"/>
      <c r="I11" s="478"/>
      <c r="J11" s="478"/>
      <c r="K11" s="467"/>
      <c r="L11" s="467"/>
      <c r="M11" s="469"/>
      <c r="N11" s="469"/>
    </row>
    <row r="12" spans="1:14" ht="13.5" customHeight="1">
      <c r="A12" s="473" t="s">
        <v>419</v>
      </c>
      <c r="B12" s="470">
        <v>190</v>
      </c>
      <c r="C12" s="465"/>
      <c r="D12" s="466"/>
      <c r="E12" s="466"/>
      <c r="F12" s="466"/>
      <c r="G12" s="466"/>
      <c r="H12" s="466"/>
      <c r="I12" s="466"/>
      <c r="J12" s="467"/>
      <c r="K12" s="466"/>
      <c r="L12" s="466"/>
      <c r="M12" s="469"/>
      <c r="N12" s="469"/>
    </row>
    <row r="13" spans="1:14" ht="13.5" customHeight="1" thickBot="1">
      <c r="A13" s="1735" t="s">
        <v>644</v>
      </c>
      <c r="B13" s="1708"/>
      <c r="C13" s="1736">
        <f>SUM(C4:C12)</f>
        <v>5661226</v>
      </c>
      <c r="D13" s="1736">
        <f t="shared" ref="D13:L13" si="0">SUM(D4:D12)</f>
        <v>803566</v>
      </c>
      <c r="E13" s="1736">
        <f t="shared" si="0"/>
        <v>2911696</v>
      </c>
      <c r="F13" s="1736">
        <f t="shared" si="0"/>
        <v>418084</v>
      </c>
      <c r="G13" s="1736">
        <f t="shared" si="0"/>
        <v>352079</v>
      </c>
      <c r="H13" s="1736">
        <f t="shared" si="0"/>
        <v>790910</v>
      </c>
      <c r="I13" s="1736">
        <f t="shared" si="0"/>
        <v>4224243</v>
      </c>
      <c r="J13" s="1736">
        <f t="shared" si="0"/>
        <v>445677</v>
      </c>
      <c r="K13" s="1736">
        <f t="shared" si="0"/>
        <v>267745</v>
      </c>
      <c r="L13" s="1736">
        <f t="shared" si="0"/>
        <v>174627</v>
      </c>
      <c r="M13" s="468"/>
      <c r="N13" s="469"/>
    </row>
    <row r="14" spans="1:14" ht="18" customHeight="1" thickTop="1">
      <c r="A14" s="2167" t="s">
        <v>147</v>
      </c>
      <c r="B14" s="2168"/>
      <c r="C14" s="1562"/>
      <c r="D14" s="1563"/>
      <c r="E14" s="1563"/>
      <c r="F14" s="1563"/>
      <c r="G14" s="1563"/>
      <c r="H14" s="1563"/>
      <c r="I14" s="1563"/>
      <c r="J14" s="1563"/>
      <c r="K14" s="1563"/>
      <c r="L14" s="1563"/>
      <c r="M14" s="1564"/>
      <c r="N14" s="1565"/>
    </row>
    <row r="15" spans="1:14" s="485" customFormat="1" ht="13.15" customHeight="1">
      <c r="A15" s="482" t="s">
        <v>1401</v>
      </c>
      <c r="B15" s="483">
        <v>210</v>
      </c>
      <c r="C15" s="477"/>
      <c r="D15" s="477"/>
      <c r="E15" s="477"/>
      <c r="F15" s="477"/>
      <c r="G15" s="477"/>
      <c r="H15" s="477"/>
      <c r="I15" s="477"/>
      <c r="J15" s="477"/>
      <c r="K15" s="477"/>
      <c r="L15" s="477"/>
      <c r="M15" s="478"/>
      <c r="N15" s="484"/>
    </row>
    <row r="16" spans="1:14" s="485" customFormat="1" ht="13.15" customHeight="1">
      <c r="A16" s="482" t="s">
        <v>1402</v>
      </c>
      <c r="B16" s="483">
        <v>220</v>
      </c>
      <c r="C16" s="477"/>
      <c r="D16" s="477"/>
      <c r="E16" s="477"/>
      <c r="F16" s="477"/>
      <c r="G16" s="477"/>
      <c r="H16" s="477"/>
      <c r="I16" s="477"/>
      <c r="J16" s="477"/>
      <c r="K16" s="477"/>
      <c r="L16" s="477"/>
      <c r="M16" s="467">
        <v>85616</v>
      </c>
      <c r="N16" s="484"/>
    </row>
    <row r="17" spans="1:14" s="485" customFormat="1" ht="13.15" customHeight="1">
      <c r="A17" s="482" t="s">
        <v>1403</v>
      </c>
      <c r="B17" s="483">
        <v>230</v>
      </c>
      <c r="C17" s="477"/>
      <c r="D17" s="477"/>
      <c r="E17" s="477"/>
      <c r="F17" s="477"/>
      <c r="G17" s="477"/>
      <c r="H17" s="477"/>
      <c r="I17" s="477"/>
      <c r="J17" s="477"/>
      <c r="K17" s="477"/>
      <c r="L17" s="477"/>
      <c r="M17" s="467">
        <v>37452310</v>
      </c>
      <c r="N17" s="484"/>
    </row>
    <row r="18" spans="1:14" s="485" customFormat="1" ht="13.15" customHeight="1">
      <c r="A18" s="482" t="s">
        <v>1404</v>
      </c>
      <c r="B18" s="483">
        <v>240</v>
      </c>
      <c r="C18" s="477"/>
      <c r="D18" s="477"/>
      <c r="E18" s="477"/>
      <c r="F18" s="477"/>
      <c r="G18" s="477"/>
      <c r="H18" s="477"/>
      <c r="I18" s="477"/>
      <c r="J18" s="477"/>
      <c r="K18" s="477"/>
      <c r="L18" s="477"/>
      <c r="M18" s="467"/>
      <c r="N18" s="484"/>
    </row>
    <row r="19" spans="1:14" s="485" customFormat="1" ht="13.15" customHeight="1">
      <c r="A19" s="482" t="s">
        <v>1405</v>
      </c>
      <c r="B19" s="483">
        <v>250</v>
      </c>
      <c r="C19" s="477"/>
      <c r="D19" s="477"/>
      <c r="E19" s="477"/>
      <c r="F19" s="477"/>
      <c r="G19" s="477"/>
      <c r="H19" s="477"/>
      <c r="I19" s="477"/>
      <c r="J19" s="477"/>
      <c r="K19" s="477"/>
      <c r="L19" s="477"/>
      <c r="M19" s="467">
        <v>531446</v>
      </c>
      <c r="N19" s="484"/>
    </row>
    <row r="20" spans="1:14" s="485" customFormat="1" ht="13.15" customHeight="1">
      <c r="A20" s="482" t="s">
        <v>1406</v>
      </c>
      <c r="B20" s="483">
        <v>260</v>
      </c>
      <c r="C20" s="477"/>
      <c r="D20" s="477"/>
      <c r="E20" s="477"/>
      <c r="F20" s="477"/>
      <c r="G20" s="477"/>
      <c r="H20" s="477"/>
      <c r="I20" s="477"/>
      <c r="J20" s="477"/>
      <c r="K20" s="477"/>
      <c r="L20" s="477"/>
      <c r="M20" s="467"/>
      <c r="N20" s="484"/>
    </row>
    <row r="21" spans="1:14" s="485" customFormat="1" ht="13.15" customHeight="1">
      <c r="A21" s="482" t="s">
        <v>1407</v>
      </c>
      <c r="B21" s="483">
        <v>340</v>
      </c>
      <c r="C21" s="477"/>
      <c r="D21" s="477"/>
      <c r="E21" s="477"/>
      <c r="F21" s="477"/>
      <c r="G21" s="477"/>
      <c r="H21" s="477"/>
      <c r="I21" s="477"/>
      <c r="J21" s="477"/>
      <c r="K21" s="477"/>
      <c r="L21" s="477"/>
      <c r="M21" s="486"/>
      <c r="N21" s="467">
        <v>2911696</v>
      </c>
    </row>
    <row r="22" spans="1:14" s="485" customFormat="1" ht="13.15" customHeight="1">
      <c r="A22" s="482" t="s">
        <v>1408</v>
      </c>
      <c r="B22" s="483">
        <v>350</v>
      </c>
      <c r="C22" s="477"/>
      <c r="D22" s="477"/>
      <c r="E22" s="477"/>
      <c r="F22" s="477"/>
      <c r="G22" s="477"/>
      <c r="H22" s="477"/>
      <c r="I22" s="477"/>
      <c r="J22" s="477"/>
      <c r="K22" s="477"/>
      <c r="L22" s="477"/>
      <c r="M22" s="486"/>
      <c r="N22" s="487">
        <f>'Short-Term Long-Term Debt 24'!J49</f>
        <v>20288304</v>
      </c>
    </row>
    <row r="23" spans="1:14" ht="13.5" customHeight="1" thickBot="1">
      <c r="A23" s="1735" t="s">
        <v>643</v>
      </c>
      <c r="B23" s="1740"/>
      <c r="C23" s="468"/>
      <c r="D23" s="468"/>
      <c r="E23" s="468"/>
      <c r="F23" s="468"/>
      <c r="G23" s="468"/>
      <c r="H23" s="468"/>
      <c r="I23" s="468"/>
      <c r="J23" s="468"/>
      <c r="K23" s="468"/>
      <c r="L23" s="468"/>
      <c r="M23" s="1687">
        <f>SUM(M15:M22)</f>
        <v>38069372</v>
      </c>
      <c r="N23" s="1687">
        <f>SUM(N21:N22)</f>
        <v>23200000</v>
      </c>
    </row>
    <row r="24" spans="1:14" ht="18" customHeight="1" thickTop="1">
      <c r="A24" s="2169" t="s">
        <v>598</v>
      </c>
      <c r="B24" s="2170"/>
      <c r="C24" s="1567"/>
      <c r="D24" s="1564"/>
      <c r="E24" s="1564"/>
      <c r="F24" s="1564"/>
      <c r="G24" s="1564"/>
      <c r="H24" s="1564"/>
      <c r="I24" s="1564"/>
      <c r="J24" s="1564"/>
      <c r="K24" s="1564"/>
      <c r="L24" s="1564"/>
      <c r="M24" s="1563"/>
      <c r="N24" s="1568"/>
    </row>
    <row r="25" spans="1:14">
      <c r="A25" s="473" t="s">
        <v>645</v>
      </c>
      <c r="B25" s="470">
        <v>410</v>
      </c>
      <c r="C25" s="478"/>
      <c r="D25" s="478"/>
      <c r="E25" s="478"/>
      <c r="F25" s="478"/>
      <c r="G25" s="478"/>
      <c r="H25" s="479"/>
      <c r="I25" s="468"/>
      <c r="J25" s="478"/>
      <c r="K25" s="478"/>
      <c r="L25" s="468"/>
      <c r="M25" s="468"/>
      <c r="N25" s="468"/>
    </row>
    <row r="26" spans="1:14">
      <c r="A26" s="473" t="s">
        <v>646</v>
      </c>
      <c r="B26" s="470">
        <v>420</v>
      </c>
      <c r="C26" s="467"/>
      <c r="D26" s="467"/>
      <c r="E26" s="467"/>
      <c r="F26" s="467"/>
      <c r="G26" s="467"/>
      <c r="H26" s="467"/>
      <c r="I26" s="467"/>
      <c r="J26" s="474"/>
      <c r="K26" s="467"/>
      <c r="L26" s="468"/>
      <c r="M26" s="468"/>
      <c r="N26" s="468"/>
    </row>
    <row r="27" spans="1:14" ht="13.5" customHeight="1">
      <c r="A27" s="473" t="s">
        <v>647</v>
      </c>
      <c r="B27" s="470">
        <v>430</v>
      </c>
      <c r="C27" s="467"/>
      <c r="D27" s="467"/>
      <c r="E27" s="467"/>
      <c r="F27" s="467"/>
      <c r="G27" s="467"/>
      <c r="H27" s="467"/>
      <c r="I27" s="467"/>
      <c r="J27" s="467"/>
      <c r="K27" s="467"/>
      <c r="L27" s="468"/>
      <c r="M27" s="468"/>
      <c r="N27" s="468"/>
    </row>
    <row r="28" spans="1:14" ht="13.5" customHeight="1">
      <c r="A28" s="473" t="s">
        <v>648</v>
      </c>
      <c r="B28" s="470">
        <v>440</v>
      </c>
      <c r="C28" s="467"/>
      <c r="D28" s="467"/>
      <c r="E28" s="474"/>
      <c r="F28" s="467"/>
      <c r="G28" s="474"/>
      <c r="H28" s="474"/>
      <c r="I28" s="467"/>
      <c r="J28" s="467"/>
      <c r="K28" s="479"/>
      <c r="L28" s="468"/>
      <c r="M28" s="468"/>
      <c r="N28" s="468"/>
    </row>
    <row r="29" spans="1:14" ht="13.5" customHeight="1">
      <c r="A29" s="473" t="s">
        <v>649</v>
      </c>
      <c r="B29" s="470">
        <v>460</v>
      </c>
      <c r="C29" s="488"/>
      <c r="D29" s="489"/>
      <c r="E29" s="474"/>
      <c r="F29" s="467"/>
      <c r="G29" s="474"/>
      <c r="H29" s="474"/>
      <c r="I29" s="474"/>
      <c r="J29" s="474"/>
      <c r="K29" s="467"/>
      <c r="L29" s="468"/>
      <c r="M29" s="468"/>
      <c r="N29" s="468"/>
    </row>
    <row r="30" spans="1:14" ht="13.5" customHeight="1">
      <c r="A30" s="473" t="s">
        <v>650</v>
      </c>
      <c r="B30" s="470">
        <v>470</v>
      </c>
      <c r="C30" s="467"/>
      <c r="D30" s="474"/>
      <c r="E30" s="467"/>
      <c r="F30" s="467"/>
      <c r="G30" s="467"/>
      <c r="H30" s="467"/>
      <c r="I30" s="467"/>
      <c r="J30" s="467"/>
      <c r="K30" s="478"/>
      <c r="L30" s="468"/>
      <c r="M30" s="468"/>
      <c r="N30" s="468"/>
    </row>
    <row r="31" spans="1:14" ht="13.5" customHeight="1">
      <c r="A31" s="473" t="s">
        <v>651</v>
      </c>
      <c r="B31" s="470">
        <v>480</v>
      </c>
      <c r="C31" s="466"/>
      <c r="D31" s="467"/>
      <c r="E31" s="467"/>
      <c r="F31" s="466"/>
      <c r="G31" s="467"/>
      <c r="H31" s="467"/>
      <c r="I31" s="467"/>
      <c r="J31" s="467"/>
      <c r="K31" s="467"/>
      <c r="L31" s="468"/>
      <c r="M31" s="468"/>
      <c r="N31" s="468"/>
    </row>
    <row r="32" spans="1:14" ht="13.5" customHeight="1">
      <c r="A32" s="490" t="s">
        <v>652</v>
      </c>
      <c r="B32" s="491">
        <v>490</v>
      </c>
      <c r="C32" s="492"/>
      <c r="D32" s="492"/>
      <c r="E32" s="474"/>
      <c r="F32" s="474"/>
      <c r="G32" s="474"/>
      <c r="H32" s="474"/>
      <c r="I32" s="474"/>
      <c r="J32" s="474"/>
      <c r="K32" s="479"/>
      <c r="L32" s="468"/>
      <c r="M32" s="468"/>
      <c r="N32" s="468"/>
    </row>
    <row r="33" spans="1:14" ht="13.5" customHeight="1">
      <c r="A33" s="493" t="s">
        <v>303</v>
      </c>
      <c r="B33" s="491">
        <v>493</v>
      </c>
      <c r="C33" s="467"/>
      <c r="D33" s="467"/>
      <c r="E33" s="467"/>
      <c r="F33" s="467"/>
      <c r="G33" s="467"/>
      <c r="H33" s="467"/>
      <c r="I33" s="467"/>
      <c r="J33" s="467"/>
      <c r="K33" s="467"/>
      <c r="L33" s="467">
        <v>174627</v>
      </c>
      <c r="M33" s="468"/>
      <c r="N33" s="469"/>
    </row>
    <row r="34" spans="1:14" ht="13.5" customHeight="1" thickBot="1">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174627</v>
      </c>
      <c r="M34" s="468"/>
      <c r="N34" s="480"/>
    </row>
    <row r="35" spans="1:14" ht="18" customHeight="1" thickTop="1">
      <c r="A35" s="2171" t="s">
        <v>529</v>
      </c>
      <c r="B35" s="2172"/>
      <c r="C35" s="1569"/>
      <c r="D35" s="1570"/>
      <c r="E35" s="1570"/>
      <c r="F35" s="1570"/>
      <c r="G35" s="1570"/>
      <c r="H35" s="1570"/>
      <c r="I35" s="1570"/>
      <c r="J35" s="1570"/>
      <c r="K35" s="1570"/>
      <c r="L35" s="1570"/>
      <c r="M35" s="1564"/>
      <c r="N35" s="1568"/>
    </row>
    <row r="36" spans="1:14">
      <c r="A36" s="494" t="s">
        <v>1</v>
      </c>
      <c r="B36" s="470">
        <v>511</v>
      </c>
      <c r="C36" s="477"/>
      <c r="D36" s="477"/>
      <c r="E36" s="477"/>
      <c r="F36" s="477"/>
      <c r="G36" s="477"/>
      <c r="H36" s="477"/>
      <c r="I36" s="477"/>
      <c r="J36" s="477"/>
      <c r="K36" s="477"/>
      <c r="L36" s="468"/>
      <c r="M36" s="468"/>
      <c r="N36" s="495">
        <f>'Short-Term Long-Term Debt 24'!I49</f>
        <v>23200000</v>
      </c>
    </row>
    <row r="37" spans="1:14" ht="13.5" thickBot="1">
      <c r="A37" s="1735" t="s">
        <v>653</v>
      </c>
      <c r="B37" s="1740"/>
      <c r="C37" s="477"/>
      <c r="D37" s="477"/>
      <c r="E37" s="477"/>
      <c r="F37" s="477"/>
      <c r="G37" s="477"/>
      <c r="H37" s="477"/>
      <c r="I37" s="477"/>
      <c r="J37" s="477"/>
      <c r="K37" s="477"/>
      <c r="L37" s="480"/>
      <c r="M37" s="468"/>
      <c r="N37" s="1687">
        <f>SUM(N36:N36)</f>
        <v>23200000</v>
      </c>
    </row>
    <row r="38" spans="1:14" s="329" customFormat="1" ht="13.5" customHeight="1" thickTop="1">
      <c r="A38" s="496" t="s">
        <v>420</v>
      </c>
      <c r="B38" s="483">
        <v>714</v>
      </c>
      <c r="C38" s="466">
        <f>374346+1536058+4447</f>
        <v>1914851</v>
      </c>
      <c r="D38" s="466"/>
      <c r="E38" s="466">
        <v>1466656</v>
      </c>
      <c r="F38" s="466"/>
      <c r="G38" s="466"/>
      <c r="H38" s="466">
        <v>463224</v>
      </c>
      <c r="I38" s="466"/>
      <c r="J38" s="467"/>
      <c r="K38" s="466"/>
      <c r="L38" s="481"/>
      <c r="M38" s="497"/>
      <c r="N38" s="497"/>
    </row>
    <row r="39" spans="1:14" s="329" customFormat="1" ht="13.5" customHeight="1">
      <c r="A39" s="496" t="s">
        <v>342</v>
      </c>
      <c r="B39" s="483">
        <v>730</v>
      </c>
      <c r="C39" s="466">
        <f>5661226-C38</f>
        <v>3746375</v>
      </c>
      <c r="D39" s="466">
        <f>803566-D38</f>
        <v>803566</v>
      </c>
      <c r="E39" s="466">
        <f>2911696-E38</f>
        <v>1445040</v>
      </c>
      <c r="F39" s="466">
        <v>418084</v>
      </c>
      <c r="G39" s="466">
        <v>352079</v>
      </c>
      <c r="H39" s="466">
        <f>790910-H38</f>
        <v>327686</v>
      </c>
      <c r="I39" s="466">
        <v>4224243</v>
      </c>
      <c r="J39" s="467">
        <v>445677</v>
      </c>
      <c r="K39" s="466">
        <v>267745</v>
      </c>
      <c r="L39" s="466"/>
      <c r="M39" s="497"/>
      <c r="N39" s="497"/>
    </row>
    <row r="40" spans="1:14" s="329" customFormat="1" ht="13.5" customHeight="1">
      <c r="A40" s="498" t="s">
        <v>148</v>
      </c>
      <c r="B40" s="499"/>
      <c r="C40" s="500"/>
      <c r="D40" s="500"/>
      <c r="E40" s="500"/>
      <c r="F40" s="500"/>
      <c r="G40" s="500"/>
      <c r="H40" s="500"/>
      <c r="I40" s="500"/>
      <c r="J40" s="500"/>
      <c r="K40" s="500"/>
      <c r="L40" s="500"/>
      <c r="M40" s="467">
        <v>38069372</v>
      </c>
      <c r="N40" s="497"/>
    </row>
    <row r="41" spans="1:14" ht="13.5" customHeight="1" thickBot="1">
      <c r="A41" s="1735" t="s">
        <v>655</v>
      </c>
      <c r="B41" s="1705"/>
      <c r="C41" s="1687">
        <f>(SUM(C34,C37,C38,C39))</f>
        <v>5661226</v>
      </c>
      <c r="D41" s="1687">
        <f t="shared" ref="D41:L41" si="2">SUM(D34,D37,D38:D39)</f>
        <v>803566</v>
      </c>
      <c r="E41" s="1687">
        <f t="shared" si="2"/>
        <v>2911696</v>
      </c>
      <c r="F41" s="1687">
        <f t="shared" si="2"/>
        <v>418084</v>
      </c>
      <c r="G41" s="1687">
        <f t="shared" si="2"/>
        <v>352079</v>
      </c>
      <c r="H41" s="1687">
        <f t="shared" si="2"/>
        <v>790910</v>
      </c>
      <c r="I41" s="1687">
        <f t="shared" si="2"/>
        <v>4224243</v>
      </c>
      <c r="J41" s="1687">
        <f t="shared" si="2"/>
        <v>445677</v>
      </c>
      <c r="K41" s="1687">
        <f t="shared" si="2"/>
        <v>267745</v>
      </c>
      <c r="L41" s="1687">
        <f t="shared" si="2"/>
        <v>174627</v>
      </c>
      <c r="M41" s="1687">
        <f>SUM(M40)</f>
        <v>38069372</v>
      </c>
      <c r="N41" s="1687">
        <f>SUM(N37)</f>
        <v>23200000</v>
      </c>
    </row>
    <row r="42" spans="1:14" ht="13.5" thickTop="1"/>
    <row r="43" spans="1:14">
      <c r="A43" s="247"/>
      <c r="C43" s="503"/>
    </row>
    <row r="44" spans="1:14">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2" activePane="bottomLeft" state="frozen"/>
      <selection activeCell="B49" sqref="B49"/>
      <selection pane="bottomLeft" activeCell="B49" sqref="B49"/>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3.15" customHeight="1">
      <c r="A1" s="218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c r="A2" s="218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c r="A3" s="2193" t="s">
        <v>1175</v>
      </c>
      <c r="B3" s="2194"/>
      <c r="C3" s="1572"/>
      <c r="D3" s="1573"/>
      <c r="E3" s="1573"/>
      <c r="F3" s="1573"/>
      <c r="G3" s="1573"/>
      <c r="H3" s="1573"/>
      <c r="I3" s="1573"/>
      <c r="J3" s="1573"/>
      <c r="K3" s="1574"/>
      <c r="L3" s="506"/>
    </row>
    <row r="4" spans="1:13" ht="15.75" customHeight="1">
      <c r="A4" s="1927" t="s">
        <v>1499</v>
      </c>
      <c r="B4" s="1928">
        <v>1000</v>
      </c>
      <c r="C4" s="1741">
        <f>'Revenues 9-14'!C109</f>
        <v>10357330</v>
      </c>
      <c r="D4" s="1741">
        <f>'Revenues 9-14'!D109</f>
        <v>1921405</v>
      </c>
      <c r="E4" s="1741">
        <f>'Revenues 9-14'!E109</f>
        <v>3415367</v>
      </c>
      <c r="F4" s="1741">
        <f>'Revenues 9-14'!F109</f>
        <v>679360</v>
      </c>
      <c r="G4" s="1741">
        <f>'Revenues 9-14'!G109</f>
        <v>1486023</v>
      </c>
      <c r="H4" s="1741">
        <f>'Revenues 9-14'!H109</f>
        <v>589604</v>
      </c>
      <c r="I4" s="1741">
        <f>'Revenues 9-14'!I109</f>
        <v>263703</v>
      </c>
      <c r="J4" s="1741">
        <f>'Revenues 9-14'!J109</f>
        <v>912007</v>
      </c>
      <c r="K4" s="1741">
        <f>'Revenues 9-14'!K109</f>
        <v>3601</v>
      </c>
      <c r="L4" s="347"/>
    </row>
    <row r="5" spans="1:13" ht="15.75" customHeight="1">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c r="A6" s="1575" t="s">
        <v>1501</v>
      </c>
      <c r="B6" s="1577">
        <v>3000</v>
      </c>
      <c r="C6" s="1742">
        <f>'Revenues 9-14'!C170</f>
        <v>13056870</v>
      </c>
      <c r="D6" s="1742">
        <f>'Revenues 9-14'!D170</f>
        <v>0</v>
      </c>
      <c r="E6" s="1742">
        <f>'Revenues 9-14'!E170</f>
        <v>0</v>
      </c>
      <c r="F6" s="1742">
        <f>'Revenues 9-14'!F170</f>
        <v>751439</v>
      </c>
      <c r="G6" s="1742">
        <f>'Revenues 9-14'!G170</f>
        <v>0</v>
      </c>
      <c r="H6" s="1742">
        <f>'Revenues 9-14'!H170</f>
        <v>0</v>
      </c>
      <c r="I6" s="1742">
        <f>'Revenues 9-14'!I170</f>
        <v>0</v>
      </c>
      <c r="J6" s="1742">
        <f>'Revenues 9-14'!J170</f>
        <v>0</v>
      </c>
      <c r="K6" s="1742">
        <f>'Revenues 9-14'!K170</f>
        <v>0</v>
      </c>
      <c r="L6" s="347"/>
      <c r="M6" s="513"/>
    </row>
    <row r="7" spans="1:13" ht="15.75" customHeight="1">
      <c r="A7" s="1575" t="s">
        <v>1502</v>
      </c>
      <c r="B7" s="1577">
        <v>4000</v>
      </c>
      <c r="C7" s="1742">
        <f>'Revenues 9-14'!C267</f>
        <v>3962109</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c r="A8" s="1735" t="s">
        <v>1172</v>
      </c>
      <c r="B8" s="1708"/>
      <c r="C8" s="1687">
        <f>SUM(C4:C7)</f>
        <v>27376309</v>
      </c>
      <c r="D8" s="1687">
        <f t="shared" ref="D8:K8" si="0">SUM(D4:D7)</f>
        <v>1921405</v>
      </c>
      <c r="E8" s="1687">
        <f t="shared" si="0"/>
        <v>3415367</v>
      </c>
      <c r="F8" s="1687">
        <f t="shared" si="0"/>
        <v>1430799</v>
      </c>
      <c r="G8" s="1687">
        <f t="shared" si="0"/>
        <v>1486023</v>
      </c>
      <c r="H8" s="1687">
        <f t="shared" si="0"/>
        <v>589604</v>
      </c>
      <c r="I8" s="1687">
        <f t="shared" si="0"/>
        <v>263703</v>
      </c>
      <c r="J8" s="1687">
        <f t="shared" si="0"/>
        <v>912007</v>
      </c>
      <c r="K8" s="1687">
        <f t="shared" si="0"/>
        <v>3601</v>
      </c>
      <c r="L8" s="347"/>
    </row>
    <row r="9" spans="1:13" ht="15.75" thickTop="1">
      <c r="A9" s="514" t="s">
        <v>1653</v>
      </c>
      <c r="B9" s="515">
        <v>3998</v>
      </c>
      <c r="C9" s="481">
        <v>10813524</v>
      </c>
      <c r="D9" s="516"/>
      <c r="E9" s="481"/>
      <c r="F9" s="481"/>
      <c r="G9" s="517"/>
      <c r="H9" s="481"/>
      <c r="I9" s="509" t="s">
        <v>1169</v>
      </c>
      <c r="J9" s="478"/>
      <c r="K9" s="481"/>
      <c r="L9" s="347"/>
    </row>
    <row r="10" spans="1:13" s="519" customFormat="1" ht="13.5" thickBot="1">
      <c r="A10" s="1735" t="s">
        <v>1173</v>
      </c>
      <c r="B10" s="1708"/>
      <c r="C10" s="1687">
        <f>SUM(C8:C9)</f>
        <v>38189833</v>
      </c>
      <c r="D10" s="1687">
        <f t="shared" ref="D10:K10" si="1">SUM(D8:D9)</f>
        <v>1921405</v>
      </c>
      <c r="E10" s="1687">
        <f t="shared" si="1"/>
        <v>3415367</v>
      </c>
      <c r="F10" s="1687">
        <f t="shared" si="1"/>
        <v>1430799</v>
      </c>
      <c r="G10" s="1687">
        <f t="shared" si="1"/>
        <v>1486023</v>
      </c>
      <c r="H10" s="1687">
        <f t="shared" si="1"/>
        <v>589604</v>
      </c>
      <c r="I10" s="1687">
        <f t="shared" si="1"/>
        <v>263703</v>
      </c>
      <c r="J10" s="1687">
        <f t="shared" si="1"/>
        <v>912007</v>
      </c>
      <c r="K10" s="1687">
        <f t="shared" si="1"/>
        <v>3601</v>
      </c>
      <c r="L10" s="518"/>
    </row>
    <row r="11" spans="1:13" s="519" customFormat="1" ht="16.7" customHeight="1" thickTop="1">
      <c r="A11" s="2167" t="s">
        <v>1176</v>
      </c>
      <c r="B11" s="2168"/>
      <c r="C11" s="1569"/>
      <c r="D11" s="1570"/>
      <c r="E11" s="1570"/>
      <c r="F11" s="1570"/>
      <c r="G11" s="1570"/>
      <c r="H11" s="1570"/>
      <c r="I11" s="1570"/>
      <c r="J11" s="1570"/>
      <c r="K11" s="1571"/>
      <c r="L11" s="518"/>
    </row>
    <row r="12" spans="1:13" ht="15.75" customHeight="1">
      <c r="A12" s="1575" t="s">
        <v>456</v>
      </c>
      <c r="B12" s="1577">
        <v>1000</v>
      </c>
      <c r="C12" s="1741">
        <f>'Expenditures 15-22'!K33</f>
        <v>15543925</v>
      </c>
      <c r="D12" s="520" t="s">
        <v>1169</v>
      </c>
      <c r="E12" s="468" t="s">
        <v>1169</v>
      </c>
      <c r="F12" s="468" t="s">
        <v>1169</v>
      </c>
      <c r="G12" s="1741">
        <f>'Expenditures 15-22'!K229</f>
        <v>387237</v>
      </c>
      <c r="H12" s="521"/>
      <c r="I12" s="468" t="s">
        <v>1169</v>
      </c>
      <c r="J12" s="468" t="s">
        <v>1169</v>
      </c>
      <c r="K12" s="521" t="s">
        <v>1169</v>
      </c>
      <c r="L12" s="347"/>
    </row>
    <row r="13" spans="1:13" ht="15.75" customHeight="1">
      <c r="A13" s="1575" t="s">
        <v>457</v>
      </c>
      <c r="B13" s="1577">
        <v>2000</v>
      </c>
      <c r="C13" s="1742">
        <f>'Expenditures 15-22'!K74</f>
        <v>8920806</v>
      </c>
      <c r="D13" s="1742">
        <f>'Expenditures 15-22'!K129</f>
        <v>2166327</v>
      </c>
      <c r="E13" s="469" t="s">
        <v>1169</v>
      </c>
      <c r="F13" s="1742">
        <f>'Expenditures 15-22'!K184</f>
        <v>1618254</v>
      </c>
      <c r="G13" s="1742">
        <f>'Expenditures 15-22'!K279</f>
        <v>869164</v>
      </c>
      <c r="H13" s="1742">
        <f>'Expenditures 15-22'!K303</f>
        <v>24563</v>
      </c>
      <c r="I13" s="468" t="s">
        <v>1169</v>
      </c>
      <c r="J13" s="1742">
        <f>'Expenditures 15-22'!K330</f>
        <v>798154</v>
      </c>
      <c r="K13" s="1746">
        <f>'Expenditures 15-22'!K352</f>
        <v>22136</v>
      </c>
      <c r="L13" s="347"/>
    </row>
    <row r="14" spans="1:13" ht="15.75" customHeight="1">
      <c r="A14" s="1575" t="s">
        <v>449</v>
      </c>
      <c r="B14" s="1577">
        <v>3000</v>
      </c>
      <c r="C14" s="1742">
        <f>'Expenditures 15-22'!K75</f>
        <v>82967</v>
      </c>
      <c r="D14" s="1742">
        <f>'Expenditures 15-22'!K130</f>
        <v>0</v>
      </c>
      <c r="E14" s="520" t="s">
        <v>1169</v>
      </c>
      <c r="F14" s="1742">
        <f>'Expenditures 15-22'!K185</f>
        <v>0</v>
      </c>
      <c r="G14" s="1742">
        <f>'Expenditures 15-22'!K280</f>
        <v>6446</v>
      </c>
      <c r="H14" s="512"/>
      <c r="I14" s="468" t="s">
        <v>1169</v>
      </c>
      <c r="J14" s="468" t="s">
        <v>1169</v>
      </c>
      <c r="K14" s="512" t="s">
        <v>1169</v>
      </c>
      <c r="L14" s="347"/>
    </row>
    <row r="15" spans="1:13" ht="15.75" customHeight="1">
      <c r="A15" s="1575" t="s">
        <v>107</v>
      </c>
      <c r="B15" s="1577">
        <v>4000</v>
      </c>
      <c r="C15" s="1742">
        <f>'Expenditures 15-22'!K102</f>
        <v>1424958</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c r="A16" s="1575" t="s">
        <v>450</v>
      </c>
      <c r="B16" s="1577">
        <v>5000</v>
      </c>
      <c r="C16" s="1742">
        <f>'Expenditures 15-22'!K112</f>
        <v>37571</v>
      </c>
      <c r="D16" s="1742">
        <f>'Expenditures 15-22'!K149</f>
        <v>0</v>
      </c>
      <c r="E16" s="1742">
        <f>'Expenditures 15-22'!K172</f>
        <v>3289962</v>
      </c>
      <c r="F16" s="1742">
        <f>'Expenditures 15-22'!K208</f>
        <v>0</v>
      </c>
      <c r="G16" s="1742">
        <f>'Expenditures 15-22'!K293</f>
        <v>0</v>
      </c>
      <c r="H16" s="523"/>
      <c r="I16" s="468" t="s">
        <v>1169</v>
      </c>
      <c r="J16" s="1747">
        <f>'Expenditures 15-22'!K340</f>
        <v>0</v>
      </c>
      <c r="K16" s="1742">
        <f>'Expenditures 15-22'!K365</f>
        <v>0</v>
      </c>
      <c r="L16" s="347"/>
    </row>
    <row r="17" spans="1:12" ht="13.5" thickBot="1">
      <c r="A17" s="1707" t="s">
        <v>48</v>
      </c>
      <c r="B17" s="1708"/>
      <c r="C17" s="1687">
        <f t="shared" ref="C17:H17" si="2">SUM(C12:C16)</f>
        <v>26010227</v>
      </c>
      <c r="D17" s="1687">
        <f t="shared" si="2"/>
        <v>2166327</v>
      </c>
      <c r="E17" s="1687">
        <f t="shared" si="2"/>
        <v>3289962</v>
      </c>
      <c r="F17" s="1687">
        <f t="shared" si="2"/>
        <v>1618254</v>
      </c>
      <c r="G17" s="1687">
        <f t="shared" si="2"/>
        <v>1262847</v>
      </c>
      <c r="H17" s="1687">
        <f t="shared" si="2"/>
        <v>24563</v>
      </c>
      <c r="I17" s="468"/>
      <c r="J17" s="1687">
        <f>SUM(J12:J16)</f>
        <v>798154</v>
      </c>
      <c r="K17" s="1687">
        <f>SUM(K12:K16)</f>
        <v>22136</v>
      </c>
      <c r="L17" s="347"/>
    </row>
    <row r="18" spans="1:12" ht="15" customHeight="1" thickTop="1">
      <c r="A18" s="1743" t="s">
        <v>1654</v>
      </c>
      <c r="B18" s="1744">
        <v>4180</v>
      </c>
      <c r="C18" s="1741">
        <f t="shared" ref="C18:H18" si="3">C9</f>
        <v>10813524</v>
      </c>
      <c r="D18" s="1741">
        <f t="shared" si="3"/>
        <v>0</v>
      </c>
      <c r="E18" s="1741">
        <f t="shared" si="3"/>
        <v>0</v>
      </c>
      <c r="F18" s="1741">
        <f t="shared" si="3"/>
        <v>0</v>
      </c>
      <c r="G18" s="1741">
        <f t="shared" si="3"/>
        <v>0</v>
      </c>
      <c r="H18" s="1741">
        <f t="shared" si="3"/>
        <v>0</v>
      </c>
      <c r="I18" s="468"/>
      <c r="J18" s="1741">
        <f>J9</f>
        <v>0</v>
      </c>
      <c r="K18" s="1741">
        <f>K9</f>
        <v>0</v>
      </c>
      <c r="L18" s="347"/>
    </row>
    <row r="19" spans="1:12" ht="13.5" thickBot="1">
      <c r="A19" s="1707" t="s">
        <v>505</v>
      </c>
      <c r="B19" s="1708"/>
      <c r="C19" s="1687">
        <f t="shared" ref="C19:H19" si="4">SUM(C17:C18)</f>
        <v>36823751</v>
      </c>
      <c r="D19" s="1687">
        <f t="shared" si="4"/>
        <v>2166327</v>
      </c>
      <c r="E19" s="1687">
        <f t="shared" si="4"/>
        <v>3289962</v>
      </c>
      <c r="F19" s="1687">
        <f t="shared" si="4"/>
        <v>1618254</v>
      </c>
      <c r="G19" s="1687">
        <f t="shared" si="4"/>
        <v>1262847</v>
      </c>
      <c r="H19" s="1687">
        <f t="shared" si="4"/>
        <v>24563</v>
      </c>
      <c r="I19" s="468"/>
      <c r="J19" s="1687">
        <f>SUM(J17:J18)</f>
        <v>798154</v>
      </c>
      <c r="K19" s="1687">
        <f>SUM(K17:K18)</f>
        <v>22136</v>
      </c>
      <c r="L19" s="347"/>
    </row>
    <row r="20" spans="1:12" ht="16.5" thickTop="1" thickBot="1">
      <c r="A20" s="2183" t="s">
        <v>1655</v>
      </c>
      <c r="B20" s="2184"/>
      <c r="C20" s="1745">
        <f>C8-C17</f>
        <v>1366082</v>
      </c>
      <c r="D20" s="1745">
        <f t="shared" ref="D20:K20" si="5">D8-D17</f>
        <v>-244922</v>
      </c>
      <c r="E20" s="1745">
        <f t="shared" si="5"/>
        <v>125405</v>
      </c>
      <c r="F20" s="1745">
        <f t="shared" si="5"/>
        <v>-187455</v>
      </c>
      <c r="G20" s="1745">
        <f t="shared" si="5"/>
        <v>223176</v>
      </c>
      <c r="H20" s="1745">
        <f t="shared" si="5"/>
        <v>565041</v>
      </c>
      <c r="I20" s="1745">
        <f t="shared" si="5"/>
        <v>263703</v>
      </c>
      <c r="J20" s="1745">
        <f t="shared" si="5"/>
        <v>113853</v>
      </c>
      <c r="K20" s="1745">
        <f t="shared" si="5"/>
        <v>-18535</v>
      </c>
      <c r="L20" s="347"/>
    </row>
    <row r="21" spans="1:12" ht="16.7" customHeight="1" thickTop="1">
      <c r="A21" s="2195" t="s">
        <v>595</v>
      </c>
      <c r="B21" s="2196"/>
      <c r="C21" s="1569"/>
      <c r="D21" s="1570"/>
      <c r="E21" s="1570"/>
      <c r="F21" s="1570"/>
      <c r="G21" s="1570"/>
      <c r="H21" s="1570"/>
      <c r="I21" s="1570"/>
      <c r="J21" s="1570"/>
      <c r="K21" s="1571"/>
      <c r="L21" s="524"/>
    </row>
    <row r="22" spans="1:12" ht="15.75" customHeight="1" collapsed="1">
      <c r="A22" s="2191" t="s">
        <v>596</v>
      </c>
      <c r="B22" s="2192"/>
      <c r="C22" s="477"/>
      <c r="D22" s="477"/>
      <c r="E22" s="477"/>
      <c r="F22" s="477"/>
      <c r="G22" s="477"/>
      <c r="H22" s="477"/>
      <c r="I22" s="477"/>
      <c r="J22" s="477"/>
      <c r="K22" s="477"/>
      <c r="L22" s="347"/>
    </row>
    <row r="23" spans="1:12" s="485" customFormat="1" ht="15.75" customHeight="1">
      <c r="A23" s="2187" t="s">
        <v>293</v>
      </c>
      <c r="B23" s="2188"/>
      <c r="C23" s="480"/>
      <c r="D23" s="477"/>
      <c r="E23" s="477"/>
      <c r="F23" s="477"/>
      <c r="G23" s="477"/>
      <c r="H23" s="477"/>
      <c r="I23" s="477"/>
      <c r="J23" s="477"/>
      <c r="K23" s="477"/>
      <c r="L23" s="524"/>
    </row>
    <row r="24" spans="1:12" s="485" customFormat="1" ht="13.5" customHeight="1">
      <c r="A24" s="1488" t="s">
        <v>1656</v>
      </c>
      <c r="B24" s="525">
        <v>7110</v>
      </c>
      <c r="C24" s="467"/>
      <c r="D24" s="477"/>
      <c r="E24" s="477"/>
      <c r="F24" s="477"/>
      <c r="G24" s="477"/>
      <c r="H24" s="477"/>
      <c r="I24" s="477"/>
      <c r="J24" s="477"/>
      <c r="K24" s="477"/>
      <c r="L24" s="524"/>
    </row>
    <row r="25" spans="1:12" s="485" customFormat="1" ht="13.5" customHeight="1">
      <c r="A25" s="1488" t="s">
        <v>1657</v>
      </c>
      <c r="B25" s="525">
        <v>7110</v>
      </c>
      <c r="C25" s="467"/>
      <c r="D25" s="467">
        <v>635000</v>
      </c>
      <c r="E25" s="467"/>
      <c r="F25" s="467">
        <v>343432</v>
      </c>
      <c r="G25" s="467"/>
      <c r="H25" s="467"/>
      <c r="I25" s="477"/>
      <c r="J25" s="467"/>
      <c r="K25" s="467"/>
      <c r="L25" s="524"/>
    </row>
    <row r="26" spans="1:12" s="485" customFormat="1" ht="13.5" customHeight="1">
      <c r="A26" s="1488" t="s">
        <v>184</v>
      </c>
      <c r="B26" s="483">
        <v>7120</v>
      </c>
      <c r="C26" s="467"/>
      <c r="D26" s="467"/>
      <c r="E26" s="467"/>
      <c r="F26" s="467"/>
      <c r="G26" s="467"/>
      <c r="H26" s="467"/>
      <c r="I26" s="477"/>
      <c r="J26" s="467"/>
      <c r="K26" s="467"/>
      <c r="L26" s="524"/>
    </row>
    <row r="27" spans="1:12" s="485" customFormat="1" ht="13.5" customHeight="1">
      <c r="A27" s="1488" t="s">
        <v>185</v>
      </c>
      <c r="B27" s="483">
        <v>7130</v>
      </c>
      <c r="C27" s="467">
        <v>137977</v>
      </c>
      <c r="D27" s="467"/>
      <c r="E27" s="526"/>
      <c r="F27" s="467"/>
      <c r="G27" s="480"/>
      <c r="H27" s="480"/>
      <c r="I27" s="480"/>
      <c r="J27" s="480"/>
      <c r="K27" s="480"/>
      <c r="L27" s="524"/>
    </row>
    <row r="28" spans="1:12" s="485" customFormat="1" ht="13.5" customHeight="1">
      <c r="A28" s="1488" t="s">
        <v>1398</v>
      </c>
      <c r="B28" s="483">
        <v>7140</v>
      </c>
      <c r="C28" s="467"/>
      <c r="D28" s="467"/>
      <c r="E28" s="467"/>
      <c r="F28" s="467"/>
      <c r="G28" s="467"/>
      <c r="H28" s="467"/>
      <c r="I28" s="467"/>
      <c r="J28" s="467"/>
      <c r="K28" s="467"/>
      <c r="L28" s="524"/>
    </row>
    <row r="29" spans="1:12" s="485" customFormat="1" ht="13.5" customHeight="1">
      <c r="A29" s="1488" t="s">
        <v>294</v>
      </c>
      <c r="B29" s="483">
        <v>7150</v>
      </c>
      <c r="C29" s="475"/>
      <c r="D29" s="467"/>
      <c r="E29" s="475"/>
      <c r="F29" s="475"/>
      <c r="G29" s="475"/>
      <c r="H29" s="475"/>
      <c r="I29" s="475"/>
      <c r="J29" s="475"/>
      <c r="K29" s="475"/>
      <c r="L29" s="524"/>
    </row>
    <row r="30" spans="1:12" s="485" customFormat="1" ht="26.25">
      <c r="A30" s="1488" t="s">
        <v>1791</v>
      </c>
      <c r="B30" s="527">
        <v>7160</v>
      </c>
      <c r="C30" s="477"/>
      <c r="D30" s="467"/>
      <c r="E30" s="477"/>
      <c r="F30" s="477"/>
      <c r="G30" s="477"/>
      <c r="H30" s="477"/>
      <c r="I30" s="477"/>
      <c r="J30" s="477"/>
      <c r="K30" s="477"/>
      <c r="L30" s="524"/>
    </row>
    <row r="31" spans="1:12" s="485" customFormat="1" ht="26.25">
      <c r="A31" s="1488" t="s">
        <v>1795</v>
      </c>
      <c r="B31" s="527">
        <v>7170</v>
      </c>
      <c r="C31" s="477"/>
      <c r="D31" s="477"/>
      <c r="E31" s="474"/>
      <c r="F31" s="477"/>
      <c r="G31" s="477"/>
      <c r="H31" s="477"/>
      <c r="I31" s="477"/>
      <c r="J31" s="477"/>
      <c r="K31" s="477"/>
      <c r="L31" s="524"/>
    </row>
    <row r="32" spans="1:12" s="485" customFormat="1" ht="15.75" customHeight="1">
      <c r="A32" s="2189" t="s">
        <v>981</v>
      </c>
      <c r="B32" s="2190"/>
      <c r="C32" s="477"/>
      <c r="D32" s="477"/>
      <c r="E32" s="475"/>
      <c r="F32" s="477"/>
      <c r="G32" s="477"/>
      <c r="H32" s="477"/>
      <c r="I32" s="477"/>
      <c r="J32" s="477"/>
      <c r="K32" s="477"/>
      <c r="L32" s="524"/>
    </row>
    <row r="33" spans="1:12" s="485" customFormat="1">
      <c r="A33" s="1488" t="s">
        <v>412</v>
      </c>
      <c r="B33" s="525">
        <v>7210</v>
      </c>
      <c r="C33" s="467"/>
      <c r="D33" s="467"/>
      <c r="E33" s="467"/>
      <c r="F33" s="467"/>
      <c r="G33" s="477"/>
      <c r="H33" s="467"/>
      <c r="I33" s="467"/>
      <c r="J33" s="467"/>
      <c r="K33" s="467"/>
      <c r="L33" s="524"/>
    </row>
    <row r="34" spans="1:12" s="485" customFormat="1">
      <c r="A34" s="1488" t="s">
        <v>1001</v>
      </c>
      <c r="B34" s="525">
        <v>7220</v>
      </c>
      <c r="C34" s="467"/>
      <c r="D34" s="467"/>
      <c r="E34" s="467"/>
      <c r="F34" s="467"/>
      <c r="G34" s="477"/>
      <c r="H34" s="478"/>
      <c r="I34" s="478"/>
      <c r="J34" s="478"/>
      <c r="K34" s="478"/>
      <c r="L34" s="524"/>
    </row>
    <row r="35" spans="1:12" s="485" customFormat="1">
      <c r="A35" s="1488" t="s">
        <v>990</v>
      </c>
      <c r="B35" s="525">
        <v>7230</v>
      </c>
      <c r="C35" s="467"/>
      <c r="D35" s="467"/>
      <c r="E35" s="467"/>
      <c r="F35" s="467"/>
      <c r="G35" s="480"/>
      <c r="H35" s="467"/>
      <c r="I35" s="467"/>
      <c r="J35" s="467"/>
      <c r="K35" s="467"/>
      <c r="L35" s="524"/>
    </row>
    <row r="36" spans="1:12" s="485" customFormat="1" ht="15">
      <c r="A36" s="1488" t="s">
        <v>1658</v>
      </c>
      <c r="B36" s="525">
        <v>7300</v>
      </c>
      <c r="C36" s="467"/>
      <c r="D36" s="467"/>
      <c r="E36" s="467"/>
      <c r="F36" s="467"/>
      <c r="G36" s="467"/>
      <c r="H36" s="467"/>
      <c r="I36" s="475"/>
      <c r="J36" s="467"/>
      <c r="K36" s="467"/>
      <c r="L36" s="524"/>
    </row>
    <row r="37" spans="1:12" s="485" customFormat="1">
      <c r="A37" s="1488" t="s">
        <v>441</v>
      </c>
      <c r="B37" s="525">
        <v>7400</v>
      </c>
      <c r="C37" s="475"/>
      <c r="D37" s="475"/>
      <c r="E37" s="1742">
        <f>SUM(C54:D57,H54:H57)</f>
        <v>0</v>
      </c>
      <c r="F37" s="475"/>
      <c r="G37" s="475"/>
      <c r="H37" s="475"/>
      <c r="I37" s="477"/>
      <c r="J37" s="475"/>
      <c r="K37" s="475"/>
      <c r="L37" s="524"/>
    </row>
    <row r="38" spans="1:12" s="485" customFormat="1">
      <c r="A38" s="1488" t="s">
        <v>442</v>
      </c>
      <c r="B38" s="525">
        <v>7500</v>
      </c>
      <c r="C38" s="477"/>
      <c r="D38" s="477"/>
      <c r="E38" s="1742">
        <f>SUM(C58:D61,H58:H61)</f>
        <v>0</v>
      </c>
      <c r="F38" s="477"/>
      <c r="G38" s="477"/>
      <c r="H38" s="477"/>
      <c r="I38" s="477"/>
      <c r="J38" s="477"/>
      <c r="K38" s="477"/>
      <c r="L38" s="524"/>
    </row>
    <row r="39" spans="1:12" s="485" customFormat="1">
      <c r="A39" s="1488" t="s">
        <v>443</v>
      </c>
      <c r="B39" s="525">
        <v>7600</v>
      </c>
      <c r="C39" s="477"/>
      <c r="D39" s="477"/>
      <c r="E39" s="1742">
        <f>SUM(C62:D65)</f>
        <v>0</v>
      </c>
      <c r="F39" s="477"/>
      <c r="G39" s="477"/>
      <c r="H39" s="477"/>
      <c r="I39" s="477"/>
      <c r="J39" s="477"/>
      <c r="K39" s="477"/>
      <c r="L39" s="524"/>
    </row>
    <row r="40" spans="1:12" s="485" customFormat="1" ht="13.5" customHeight="1">
      <c r="A40" s="1488" t="s">
        <v>642</v>
      </c>
      <c r="B40" s="483">
        <v>7700</v>
      </c>
      <c r="C40" s="477"/>
      <c r="D40" s="477"/>
      <c r="E40" s="1742">
        <f>SUM(C66:D69)</f>
        <v>0</v>
      </c>
      <c r="F40" s="477"/>
      <c r="G40" s="477"/>
      <c r="H40" s="480"/>
      <c r="I40" s="477"/>
      <c r="J40" s="477"/>
      <c r="K40" s="477"/>
      <c r="L40" s="524"/>
    </row>
    <row r="41" spans="1:12" s="485" customFormat="1" ht="13.5" customHeight="1">
      <c r="A41" s="1488" t="s">
        <v>640</v>
      </c>
      <c r="B41" s="483">
        <v>7800</v>
      </c>
      <c r="C41" s="480"/>
      <c r="D41" s="480"/>
      <c r="E41" s="526"/>
      <c r="F41" s="480"/>
      <c r="G41" s="480"/>
      <c r="H41" s="1742">
        <f>SUM(C70:D73)</f>
        <v>0</v>
      </c>
      <c r="I41" s="477"/>
      <c r="J41" s="477"/>
      <c r="K41" s="480"/>
      <c r="L41" s="524"/>
    </row>
    <row r="42" spans="1:12" s="485" customFormat="1" ht="13.5" customHeight="1">
      <c r="A42" s="1488" t="s">
        <v>641</v>
      </c>
      <c r="B42" s="483">
        <v>7900</v>
      </c>
      <c r="C42" s="467"/>
      <c r="D42" s="467"/>
      <c r="E42" s="467"/>
      <c r="F42" s="467"/>
      <c r="G42" s="467"/>
      <c r="H42" s="467"/>
      <c r="I42" s="480"/>
      <c r="J42" s="480"/>
      <c r="K42" s="467"/>
      <c r="L42" s="524"/>
    </row>
    <row r="43" spans="1:12" s="485" customFormat="1" ht="13.5" customHeight="1">
      <c r="A43" s="1488" t="s">
        <v>373</v>
      </c>
      <c r="B43" s="483">
        <v>7990</v>
      </c>
      <c r="C43" s="467"/>
      <c r="D43" s="467"/>
      <c r="E43" s="467"/>
      <c r="F43" s="467"/>
      <c r="G43" s="467"/>
      <c r="H43" s="467"/>
      <c r="I43" s="467"/>
      <c r="J43" s="467"/>
      <c r="K43" s="467"/>
      <c r="L43" s="524"/>
    </row>
    <row r="44" spans="1:12" s="485" customFormat="1" ht="13.5" customHeight="1" thickBot="1">
      <c r="A44" s="2197" t="s">
        <v>374</v>
      </c>
      <c r="B44" s="2198"/>
      <c r="C44" s="1702">
        <f>SUM(C24:C43)</f>
        <v>137977</v>
      </c>
      <c r="D44" s="1702">
        <f t="shared" ref="D44:K44" si="6">SUM(D24:D43)</f>
        <v>635000</v>
      </c>
      <c r="E44" s="1702">
        <f t="shared" si="6"/>
        <v>0</v>
      </c>
      <c r="F44" s="1702">
        <f t="shared" si="6"/>
        <v>343432</v>
      </c>
      <c r="G44" s="1702">
        <f t="shared" si="6"/>
        <v>0</v>
      </c>
      <c r="H44" s="1702">
        <f t="shared" si="6"/>
        <v>0</v>
      </c>
      <c r="I44" s="1702">
        <f t="shared" si="6"/>
        <v>0</v>
      </c>
      <c r="J44" s="1702">
        <f t="shared" si="6"/>
        <v>0</v>
      </c>
      <c r="K44" s="1702">
        <f t="shared" si="6"/>
        <v>0</v>
      </c>
      <c r="L44" s="524"/>
    </row>
    <row r="45" spans="1:12" ht="15.75" customHeight="1" thickTop="1">
      <c r="A45" s="2191" t="s">
        <v>108</v>
      </c>
      <c r="B45" s="2192"/>
      <c r="C45" s="528"/>
      <c r="D45" s="528"/>
      <c r="E45" s="528"/>
      <c r="F45" s="528"/>
      <c r="G45" s="528"/>
      <c r="H45" s="528"/>
      <c r="I45" s="528"/>
      <c r="J45" s="528"/>
      <c r="K45" s="528"/>
      <c r="L45" s="347"/>
    </row>
    <row r="46" spans="1:12" s="485" customFormat="1" ht="15.75" customHeight="1">
      <c r="A46" s="2199" t="s">
        <v>109</v>
      </c>
      <c r="B46" s="2200"/>
      <c r="C46" s="477"/>
      <c r="D46" s="477"/>
      <c r="E46" s="477"/>
      <c r="F46" s="477"/>
      <c r="G46" s="477"/>
      <c r="H46" s="477"/>
      <c r="I46" s="480"/>
      <c r="J46" s="477"/>
      <c r="K46" s="477"/>
      <c r="L46" s="529"/>
    </row>
    <row r="47" spans="1:12" s="485" customFormat="1" ht="15">
      <c r="A47" s="1489" t="s">
        <v>1659</v>
      </c>
      <c r="B47" s="483">
        <v>8110</v>
      </c>
      <c r="C47" s="477"/>
      <c r="D47" s="477"/>
      <c r="E47" s="477"/>
      <c r="F47" s="477"/>
      <c r="G47" s="477"/>
      <c r="H47" s="477"/>
      <c r="I47" s="1742">
        <f>SUM(C24,C25:H25,J25:K25)</f>
        <v>978432</v>
      </c>
      <c r="J47" s="477"/>
      <c r="K47" s="477"/>
      <c r="L47" s="529"/>
    </row>
    <row r="48" spans="1:12" s="485" customFormat="1" ht="15">
      <c r="A48" s="1489" t="s">
        <v>1660</v>
      </c>
      <c r="B48" s="483">
        <v>8120</v>
      </c>
      <c r="C48" s="480"/>
      <c r="D48" s="480"/>
      <c r="E48" s="477"/>
      <c r="F48" s="480"/>
      <c r="G48" s="477"/>
      <c r="H48" s="477"/>
      <c r="I48" s="1742">
        <f>SUM(C26:H26,J26,K26)</f>
        <v>0</v>
      </c>
      <c r="J48" s="477"/>
      <c r="K48" s="477"/>
      <c r="L48" s="529"/>
    </row>
    <row r="49" spans="1:12" s="485" customFormat="1">
      <c r="A49" s="1489" t="s">
        <v>185</v>
      </c>
      <c r="B49" s="483">
        <v>8130</v>
      </c>
      <c r="C49" s="467"/>
      <c r="D49" s="467">
        <v>137977</v>
      </c>
      <c r="E49" s="480"/>
      <c r="F49" s="467"/>
      <c r="G49" s="480"/>
      <c r="H49" s="480"/>
      <c r="I49" s="477"/>
      <c r="J49" s="480"/>
      <c r="K49" s="477"/>
      <c r="L49" s="524"/>
    </row>
    <row r="50" spans="1:12" s="485" customFormat="1">
      <c r="A50" s="1489" t="s">
        <v>1398</v>
      </c>
      <c r="B50" s="483">
        <v>8140</v>
      </c>
      <c r="C50" s="467"/>
      <c r="D50" s="467"/>
      <c r="E50" s="467"/>
      <c r="F50" s="467"/>
      <c r="G50" s="467"/>
      <c r="H50" s="467"/>
      <c r="I50" s="477"/>
      <c r="J50" s="467"/>
      <c r="K50" s="477"/>
      <c r="L50" s="524"/>
    </row>
    <row r="51" spans="1:12" s="485" customFormat="1">
      <c r="A51" s="1489" t="s">
        <v>294</v>
      </c>
      <c r="B51" s="483">
        <v>8150</v>
      </c>
      <c r="C51" s="475"/>
      <c r="D51" s="475"/>
      <c r="E51" s="475"/>
      <c r="F51" s="475"/>
      <c r="G51" s="475"/>
      <c r="H51" s="1742">
        <f>SUM(D29)</f>
        <v>0</v>
      </c>
      <c r="I51" s="477"/>
      <c r="J51" s="475"/>
      <c r="K51" s="480"/>
      <c r="L51" s="524"/>
    </row>
    <row r="52" spans="1:12" s="485" customFormat="1" ht="26.25">
      <c r="A52" s="1489" t="s">
        <v>1794</v>
      </c>
      <c r="B52" s="483">
        <v>8160</v>
      </c>
      <c r="C52" s="477"/>
      <c r="D52" s="477"/>
      <c r="E52" s="477"/>
      <c r="F52" s="477"/>
      <c r="G52" s="477"/>
      <c r="H52" s="477"/>
      <c r="I52" s="477"/>
      <c r="J52" s="477"/>
      <c r="K52" s="1742">
        <f>D30</f>
        <v>0</v>
      </c>
      <c r="L52" s="524"/>
    </row>
    <row r="53" spans="1:12" s="485" customFormat="1" ht="26.25">
      <c r="A53" s="1489" t="s">
        <v>1793</v>
      </c>
      <c r="B53" s="483">
        <v>8170</v>
      </c>
      <c r="C53" s="480"/>
      <c r="D53" s="480"/>
      <c r="E53" s="477"/>
      <c r="F53" s="477"/>
      <c r="G53" s="477"/>
      <c r="H53" s="480"/>
      <c r="I53" s="477"/>
      <c r="J53" s="477"/>
      <c r="K53" s="1742">
        <f>E31</f>
        <v>0</v>
      </c>
      <c r="L53" s="524"/>
    </row>
    <row r="54" spans="1:12" s="485" customFormat="1" ht="13.5" thickBot="1">
      <c r="A54" s="1489" t="s">
        <v>692</v>
      </c>
      <c r="B54" s="483">
        <v>8410</v>
      </c>
      <c r="C54" s="530"/>
      <c r="D54" s="530"/>
      <c r="E54" s="477"/>
      <c r="F54" s="477"/>
      <c r="G54" s="477"/>
      <c r="H54" s="530"/>
      <c r="I54" s="477"/>
      <c r="J54" s="477"/>
      <c r="K54" s="475"/>
      <c r="L54" s="524"/>
    </row>
    <row r="55" spans="1:12" s="485" customFormat="1" ht="14.25" thickTop="1" thickBot="1">
      <c r="A55" s="1490" t="s">
        <v>693</v>
      </c>
      <c r="B55" s="483">
        <v>8420</v>
      </c>
      <c r="C55" s="531"/>
      <c r="D55" s="531"/>
      <c r="E55" s="477"/>
      <c r="F55" s="477"/>
      <c r="G55" s="477"/>
      <c r="H55" s="530"/>
      <c r="I55" s="477"/>
      <c r="J55" s="477"/>
      <c r="K55" s="477"/>
      <c r="L55" s="524"/>
    </row>
    <row r="56" spans="1:12" s="485" customFormat="1" ht="14.25" thickTop="1" thickBot="1">
      <c r="A56" s="1489" t="s">
        <v>581</v>
      </c>
      <c r="B56" s="483">
        <v>8430</v>
      </c>
      <c r="C56" s="531"/>
      <c r="D56" s="531"/>
      <c r="E56" s="477"/>
      <c r="F56" s="477"/>
      <c r="G56" s="477"/>
      <c r="H56" s="530"/>
      <c r="I56" s="477"/>
      <c r="J56" s="477"/>
      <c r="K56" s="477"/>
      <c r="L56" s="524"/>
    </row>
    <row r="57" spans="1:12" s="485" customFormat="1" ht="14.25" thickTop="1" thickBot="1">
      <c r="A57" s="1490" t="s">
        <v>578</v>
      </c>
      <c r="B57" s="483">
        <v>8440</v>
      </c>
      <c r="C57" s="531"/>
      <c r="D57" s="531"/>
      <c r="E57" s="477"/>
      <c r="F57" s="477"/>
      <c r="G57" s="477"/>
      <c r="H57" s="530"/>
      <c r="I57" s="477"/>
      <c r="J57" s="477"/>
      <c r="K57" s="477"/>
      <c r="L57" s="524"/>
    </row>
    <row r="58" spans="1:12" s="485" customFormat="1" ht="14.25" thickTop="1" thickBot="1">
      <c r="A58" s="1489" t="s">
        <v>579</v>
      </c>
      <c r="B58" s="483">
        <v>8510</v>
      </c>
      <c r="C58" s="531"/>
      <c r="D58" s="531"/>
      <c r="E58" s="477"/>
      <c r="F58" s="477"/>
      <c r="G58" s="477"/>
      <c r="H58" s="530"/>
      <c r="I58" s="477"/>
      <c r="J58" s="477"/>
      <c r="K58" s="477"/>
      <c r="L58" s="524"/>
    </row>
    <row r="59" spans="1:12" s="485" customFormat="1" ht="14.25" thickTop="1" thickBot="1">
      <c r="A59" s="1491" t="s">
        <v>694</v>
      </c>
      <c r="B59" s="483">
        <v>8520</v>
      </c>
      <c r="C59" s="531"/>
      <c r="D59" s="531"/>
      <c r="E59" s="477"/>
      <c r="F59" s="477"/>
      <c r="G59" s="477"/>
      <c r="H59" s="530"/>
      <c r="I59" s="477"/>
      <c r="J59" s="477"/>
      <c r="K59" s="477"/>
      <c r="L59" s="524"/>
    </row>
    <row r="60" spans="1:12" s="485" customFormat="1" ht="14.25" thickTop="1" thickBot="1">
      <c r="A60" s="1489" t="s">
        <v>580</v>
      </c>
      <c r="B60" s="483">
        <v>8530</v>
      </c>
      <c r="C60" s="531"/>
      <c r="D60" s="531"/>
      <c r="E60" s="477"/>
      <c r="F60" s="477"/>
      <c r="G60" s="477"/>
      <c r="H60" s="530"/>
      <c r="I60" s="477"/>
      <c r="J60" s="477"/>
      <c r="K60" s="477"/>
      <c r="L60" s="524"/>
    </row>
    <row r="61" spans="1:12" s="485" customFormat="1" ht="14.25" thickTop="1" thickBot="1">
      <c r="A61" s="1490" t="s">
        <v>743</v>
      </c>
      <c r="B61" s="483">
        <v>8540</v>
      </c>
      <c r="C61" s="531"/>
      <c r="D61" s="531"/>
      <c r="E61" s="477"/>
      <c r="F61" s="477"/>
      <c r="G61" s="477"/>
      <c r="H61" s="530"/>
      <c r="I61" s="477"/>
      <c r="J61" s="477"/>
      <c r="K61" s="477"/>
      <c r="L61" s="524"/>
    </row>
    <row r="62" spans="1:12" s="485" customFormat="1" ht="13.5" customHeight="1" thickTop="1" thickBot="1">
      <c r="A62" s="1489" t="s">
        <v>744</v>
      </c>
      <c r="B62" s="483">
        <v>8610</v>
      </c>
      <c r="C62" s="531"/>
      <c r="D62" s="531"/>
      <c r="E62" s="477"/>
      <c r="F62" s="477"/>
      <c r="G62" s="477"/>
      <c r="H62" s="477"/>
      <c r="I62" s="477"/>
      <c r="J62" s="477"/>
      <c r="K62" s="477"/>
      <c r="L62" s="524"/>
    </row>
    <row r="63" spans="1:12" s="485" customFormat="1" ht="14.25" thickTop="1" thickBot="1">
      <c r="A63" s="1490" t="s">
        <v>695</v>
      </c>
      <c r="B63" s="483">
        <v>8620</v>
      </c>
      <c r="C63" s="531"/>
      <c r="D63" s="531"/>
      <c r="E63" s="477"/>
      <c r="F63" s="477"/>
      <c r="G63" s="477"/>
      <c r="H63" s="477"/>
      <c r="I63" s="477"/>
      <c r="J63" s="477"/>
      <c r="K63" s="477"/>
      <c r="L63" s="524"/>
    </row>
    <row r="64" spans="1:12" s="485" customFormat="1" ht="13.5" customHeight="1" thickTop="1" thickBot="1">
      <c r="A64" s="1489" t="s">
        <v>745</v>
      </c>
      <c r="B64" s="483">
        <v>8630</v>
      </c>
      <c r="C64" s="531"/>
      <c r="D64" s="531"/>
      <c r="E64" s="477"/>
      <c r="F64" s="477"/>
      <c r="G64" s="477"/>
      <c r="H64" s="477"/>
      <c r="I64" s="477"/>
      <c r="J64" s="477"/>
      <c r="K64" s="477"/>
      <c r="L64" s="524"/>
    </row>
    <row r="65" spans="1:12" s="485" customFormat="1" ht="14.25" thickTop="1" thickBot="1">
      <c r="A65" s="1490" t="s">
        <v>746</v>
      </c>
      <c r="B65" s="483">
        <v>8640</v>
      </c>
      <c r="C65" s="531"/>
      <c r="D65" s="531"/>
      <c r="E65" s="477"/>
      <c r="F65" s="477"/>
      <c r="G65" s="477"/>
      <c r="H65" s="477"/>
      <c r="I65" s="477"/>
      <c r="J65" s="477"/>
      <c r="K65" s="477"/>
      <c r="L65" s="524"/>
    </row>
    <row r="66" spans="1:12" s="485" customFormat="1" ht="14.25" thickTop="1" thickBot="1">
      <c r="A66" s="1489" t="s">
        <v>747</v>
      </c>
      <c r="B66" s="483">
        <v>8710</v>
      </c>
      <c r="C66" s="531"/>
      <c r="D66" s="531"/>
      <c r="E66" s="477"/>
      <c r="F66" s="477"/>
      <c r="G66" s="477"/>
      <c r="H66" s="477"/>
      <c r="I66" s="477"/>
      <c r="J66" s="477"/>
      <c r="K66" s="477"/>
      <c r="L66" s="524"/>
    </row>
    <row r="67" spans="1:12" s="485" customFormat="1" ht="14.25" thickTop="1" thickBot="1">
      <c r="A67" s="1490" t="s">
        <v>696</v>
      </c>
      <c r="B67" s="483">
        <v>8720</v>
      </c>
      <c r="C67" s="531"/>
      <c r="D67" s="531"/>
      <c r="E67" s="477"/>
      <c r="F67" s="477"/>
      <c r="G67" s="477"/>
      <c r="H67" s="477"/>
      <c r="I67" s="477"/>
      <c r="J67" s="477"/>
      <c r="K67" s="477"/>
      <c r="L67" s="524"/>
    </row>
    <row r="68" spans="1:12" s="485" customFormat="1" ht="14.25" thickTop="1" thickBot="1">
      <c r="A68" s="1491" t="s">
        <v>748</v>
      </c>
      <c r="B68" s="483">
        <v>8730</v>
      </c>
      <c r="C68" s="531"/>
      <c r="D68" s="531"/>
      <c r="E68" s="477"/>
      <c r="F68" s="477"/>
      <c r="G68" s="477"/>
      <c r="H68" s="477"/>
      <c r="I68" s="477"/>
      <c r="J68" s="477"/>
      <c r="K68" s="477"/>
      <c r="L68" s="524"/>
    </row>
    <row r="69" spans="1:12" s="485" customFormat="1" ht="14.25" thickTop="1" thickBot="1">
      <c r="A69" s="1490" t="s">
        <v>749</v>
      </c>
      <c r="B69" s="483">
        <v>8740</v>
      </c>
      <c r="C69" s="531"/>
      <c r="D69" s="531"/>
      <c r="E69" s="477"/>
      <c r="F69" s="477"/>
      <c r="G69" s="477"/>
      <c r="H69" s="477"/>
      <c r="I69" s="477"/>
      <c r="J69" s="477"/>
      <c r="K69" s="477"/>
      <c r="L69" s="524"/>
    </row>
    <row r="70" spans="1:12" s="485" customFormat="1" ht="14.25" thickTop="1" thickBot="1">
      <c r="A70" s="1489" t="s">
        <v>750</v>
      </c>
      <c r="B70" s="483">
        <v>8810</v>
      </c>
      <c r="C70" s="531"/>
      <c r="D70" s="531"/>
      <c r="E70" s="477"/>
      <c r="F70" s="477"/>
      <c r="G70" s="477"/>
      <c r="H70" s="477"/>
      <c r="I70" s="477"/>
      <c r="J70" s="477"/>
      <c r="K70" s="477"/>
      <c r="L70" s="524"/>
    </row>
    <row r="71" spans="1:12" s="485" customFormat="1" ht="14.25" thickTop="1" thickBot="1">
      <c r="A71" s="1489" t="s">
        <v>754</v>
      </c>
      <c r="B71" s="483">
        <v>8820</v>
      </c>
      <c r="C71" s="531"/>
      <c r="D71" s="531"/>
      <c r="E71" s="477"/>
      <c r="F71" s="477"/>
      <c r="G71" s="477"/>
      <c r="H71" s="477"/>
      <c r="I71" s="477"/>
      <c r="J71" s="477"/>
      <c r="K71" s="477"/>
      <c r="L71" s="524"/>
    </row>
    <row r="72" spans="1:12" s="485" customFormat="1" ht="14.25" thickTop="1" thickBot="1">
      <c r="A72" s="1489" t="s">
        <v>751</v>
      </c>
      <c r="B72" s="483">
        <v>8830</v>
      </c>
      <c r="C72" s="531"/>
      <c r="D72" s="531"/>
      <c r="E72" s="477"/>
      <c r="F72" s="477"/>
      <c r="G72" s="477"/>
      <c r="H72" s="477"/>
      <c r="I72" s="477"/>
      <c r="J72" s="477"/>
      <c r="K72" s="477"/>
      <c r="L72" s="524"/>
    </row>
    <row r="73" spans="1:12" s="485" customFormat="1" ht="14.25" thickTop="1" thickBot="1">
      <c r="A73" s="1489" t="s">
        <v>752</v>
      </c>
      <c r="B73" s="483">
        <v>8840</v>
      </c>
      <c r="C73" s="531"/>
      <c r="D73" s="531"/>
      <c r="E73" s="477"/>
      <c r="F73" s="477"/>
      <c r="G73" s="477"/>
      <c r="H73" s="477"/>
      <c r="I73" s="477"/>
      <c r="J73" s="477"/>
      <c r="K73" s="480"/>
      <c r="L73" s="524"/>
    </row>
    <row r="74" spans="1:12" s="485" customFormat="1" ht="14.25" thickTop="1" thickBot="1">
      <c r="A74" s="1489" t="s">
        <v>375</v>
      </c>
      <c r="B74" s="483">
        <v>8910</v>
      </c>
      <c r="C74" s="531"/>
      <c r="D74" s="531"/>
      <c r="E74" s="480"/>
      <c r="F74" s="530"/>
      <c r="G74" s="530"/>
      <c r="H74" s="530"/>
      <c r="I74" s="480"/>
      <c r="J74" s="480"/>
      <c r="K74" s="530"/>
      <c r="L74" s="524"/>
    </row>
    <row r="75" spans="1:12" s="485" customFormat="1" ht="14.25" thickTop="1" thickBot="1">
      <c r="A75" s="1492" t="s">
        <v>439</v>
      </c>
      <c r="B75" s="483">
        <v>8990</v>
      </c>
      <c r="C75" s="531"/>
      <c r="D75" s="531"/>
      <c r="E75" s="530"/>
      <c r="F75" s="532"/>
      <c r="G75" s="532"/>
      <c r="H75" s="532"/>
      <c r="I75" s="530"/>
      <c r="J75" s="530"/>
      <c r="K75" s="532"/>
      <c r="L75" s="524"/>
    </row>
    <row r="76" spans="1:12" s="485" customFormat="1" ht="14.25" thickTop="1" thickBot="1">
      <c r="A76" s="2173" t="s">
        <v>440</v>
      </c>
      <c r="B76" s="2174"/>
      <c r="C76" s="1702">
        <f t="shared" ref="C76:K76" si="7">SUM(C47:C75)</f>
        <v>0</v>
      </c>
      <c r="D76" s="1702">
        <f t="shared" si="7"/>
        <v>137977</v>
      </c>
      <c r="E76" s="1702">
        <f t="shared" si="7"/>
        <v>0</v>
      </c>
      <c r="F76" s="1702">
        <f t="shared" si="7"/>
        <v>0</v>
      </c>
      <c r="G76" s="1702">
        <f t="shared" si="7"/>
        <v>0</v>
      </c>
      <c r="H76" s="1702">
        <f t="shared" si="7"/>
        <v>0</v>
      </c>
      <c r="I76" s="1702">
        <f t="shared" si="7"/>
        <v>978432</v>
      </c>
      <c r="J76" s="1702">
        <f t="shared" si="7"/>
        <v>0</v>
      </c>
      <c r="K76" s="1702">
        <f t="shared" si="7"/>
        <v>0</v>
      </c>
      <c r="L76" s="524"/>
    </row>
    <row r="77" spans="1:12" ht="14.25" thickTop="1" thickBot="1">
      <c r="A77" s="2175" t="s">
        <v>1177</v>
      </c>
      <c r="B77" s="2176"/>
      <c r="C77" s="1702">
        <f t="shared" ref="C77:K77" si="8">C44-C76</f>
        <v>137977</v>
      </c>
      <c r="D77" s="1702">
        <f t="shared" si="8"/>
        <v>497023</v>
      </c>
      <c r="E77" s="1702">
        <f t="shared" si="8"/>
        <v>0</v>
      </c>
      <c r="F77" s="1702">
        <f t="shared" si="8"/>
        <v>343432</v>
      </c>
      <c r="G77" s="1702">
        <f t="shared" si="8"/>
        <v>0</v>
      </c>
      <c r="H77" s="1702">
        <f t="shared" si="8"/>
        <v>0</v>
      </c>
      <c r="I77" s="1702">
        <f t="shared" si="8"/>
        <v>-978432</v>
      </c>
      <c r="J77" s="1702">
        <f t="shared" si="8"/>
        <v>0</v>
      </c>
      <c r="K77" s="1702">
        <f t="shared" si="8"/>
        <v>0</v>
      </c>
      <c r="L77" s="347"/>
    </row>
    <row r="78" spans="1:12" ht="21.75" customHeight="1" thickTop="1" thickBot="1">
      <c r="A78" s="2179" t="s">
        <v>597</v>
      </c>
      <c r="B78" s="2180"/>
      <c r="C78" s="1701">
        <f t="shared" ref="C78:K78" si="9">C20+C77</f>
        <v>1504059</v>
      </c>
      <c r="D78" s="1701">
        <f t="shared" si="9"/>
        <v>252101</v>
      </c>
      <c r="E78" s="1701">
        <f t="shared" si="9"/>
        <v>125405</v>
      </c>
      <c r="F78" s="1701">
        <f t="shared" si="9"/>
        <v>155977</v>
      </c>
      <c r="G78" s="1701">
        <f t="shared" si="9"/>
        <v>223176</v>
      </c>
      <c r="H78" s="1701">
        <f t="shared" si="9"/>
        <v>565041</v>
      </c>
      <c r="I78" s="1701">
        <f t="shared" si="9"/>
        <v>-714729</v>
      </c>
      <c r="J78" s="1701">
        <f t="shared" si="9"/>
        <v>113853</v>
      </c>
      <c r="K78" s="1701">
        <f t="shared" si="9"/>
        <v>-18535</v>
      </c>
      <c r="L78" s="533"/>
    </row>
    <row r="79" spans="1:12" ht="13.5" thickTop="1">
      <c r="A79" s="1493" t="s">
        <v>1946</v>
      </c>
      <c r="B79" s="534"/>
      <c r="C79" s="478">
        <v>2697378</v>
      </c>
      <c r="D79" s="535">
        <v>551465</v>
      </c>
      <c r="E79" s="535">
        <v>2786291</v>
      </c>
      <c r="F79" s="535">
        <v>262107</v>
      </c>
      <c r="G79" s="535">
        <v>128903</v>
      </c>
      <c r="H79" s="535">
        <v>225869</v>
      </c>
      <c r="I79" s="535">
        <v>4938972</v>
      </c>
      <c r="J79" s="535">
        <v>331824</v>
      </c>
      <c r="K79" s="535">
        <v>286280</v>
      </c>
      <c r="L79" s="347"/>
    </row>
    <row r="80" spans="1:12">
      <c r="A80" s="2185" t="s">
        <v>1792</v>
      </c>
      <c r="B80" s="2186"/>
      <c r="C80" s="467">
        <v>1459789</v>
      </c>
      <c r="D80" s="467"/>
      <c r="E80" s="467"/>
      <c r="F80" s="467"/>
      <c r="G80" s="467"/>
      <c r="H80" s="467"/>
      <c r="I80" s="467"/>
      <c r="J80" s="467"/>
      <c r="K80" s="467"/>
      <c r="L80" s="347"/>
    </row>
    <row r="81" spans="1:12" ht="13.5" thickBot="1">
      <c r="A81" s="2177" t="s">
        <v>1947</v>
      </c>
      <c r="B81" s="2178"/>
      <c r="C81" s="1687">
        <f>(SUM(C78:C80))</f>
        <v>5661226</v>
      </c>
      <c r="D81" s="1687">
        <f>SUM(D78:D80)</f>
        <v>803566</v>
      </c>
      <c r="E81" s="1687">
        <f t="shared" ref="E81:K81" si="10">SUM(E78:E80)</f>
        <v>2911696</v>
      </c>
      <c r="F81" s="1687">
        <f t="shared" si="10"/>
        <v>418084</v>
      </c>
      <c r="G81" s="1687">
        <f t="shared" si="10"/>
        <v>352079</v>
      </c>
      <c r="H81" s="1687">
        <f t="shared" si="10"/>
        <v>790910</v>
      </c>
      <c r="I81" s="1687">
        <f t="shared" si="10"/>
        <v>4224243</v>
      </c>
      <c r="J81" s="1687">
        <f t="shared" si="10"/>
        <v>445677</v>
      </c>
      <c r="K81" s="1687">
        <f t="shared" si="10"/>
        <v>267745</v>
      </c>
      <c r="L81" s="347"/>
    </row>
    <row r="82" spans="1:12" ht="0.75" customHeight="1" thickTop="1" thickBot="1">
      <c r="A82" s="536" t="s">
        <v>343</v>
      </c>
      <c r="B82" s="537"/>
      <c r="C82" s="538">
        <f>(C81-C79)</f>
        <v>2963848</v>
      </c>
      <c r="D82" s="538">
        <f t="shared" ref="D82:K82" si="11">(D81-D79)</f>
        <v>252101</v>
      </c>
      <c r="E82" s="538">
        <f t="shared" si="11"/>
        <v>125405</v>
      </c>
      <c r="F82" s="538">
        <f t="shared" si="11"/>
        <v>155977</v>
      </c>
      <c r="G82" s="538">
        <f t="shared" si="11"/>
        <v>223176</v>
      </c>
      <c r="H82" s="538">
        <f t="shared" si="11"/>
        <v>565041</v>
      </c>
      <c r="I82" s="538">
        <f t="shared" si="11"/>
        <v>-714729</v>
      </c>
      <c r="J82" s="538">
        <f t="shared" si="11"/>
        <v>113853</v>
      </c>
      <c r="K82" s="538">
        <f t="shared" si="11"/>
        <v>-18535</v>
      </c>
    </row>
    <row r="83" spans="1:12" ht="14.25" hidden="1" thickTop="1" thickBot="1">
      <c r="A83" s="539" t="s">
        <v>344</v>
      </c>
      <c r="B83" s="464"/>
      <c r="C83" s="540">
        <f>C82/C81</f>
        <v>0.52353465486097883</v>
      </c>
      <c r="D83" s="540">
        <f t="shared" ref="D83:K83" si="12">D82/D81</f>
        <v>0.31372780829452712</v>
      </c>
      <c r="E83" s="540">
        <f t="shared" si="12"/>
        <v>4.3069400102208472E-2</v>
      </c>
      <c r="F83" s="540">
        <f t="shared" si="12"/>
        <v>0.37307574554395767</v>
      </c>
      <c r="G83" s="540">
        <f t="shared" si="12"/>
        <v>0.63388046432760825</v>
      </c>
      <c r="H83" s="540">
        <f t="shared" si="12"/>
        <v>0.71441883400134021</v>
      </c>
      <c r="I83" s="540">
        <f t="shared" si="12"/>
        <v>-0.16919694250543826</v>
      </c>
      <c r="J83" s="540">
        <f t="shared" si="12"/>
        <v>0.25546079335482874</v>
      </c>
      <c r="K83" s="540">
        <f t="shared" si="12"/>
        <v>-6.922631608433398E-2</v>
      </c>
    </row>
    <row r="84" spans="1:12" ht="13.5" thickTop="1"/>
    <row r="86" spans="1:12">
      <c r="C86" s="503"/>
      <c r="D86" s="503"/>
      <c r="E86" s="503"/>
      <c r="F86" s="503"/>
      <c r="G86" s="503"/>
      <c r="H86" s="503"/>
      <c r="I86" s="503"/>
      <c r="J86" s="503"/>
    </row>
    <row r="87" spans="1:1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2019 &amp;R&amp;8Page &amp;P</oddHeader>
    <oddFooter>&amp;L&amp;8Print Date: &amp;D
&amp;F&amp;CSee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01" activePane="bottomLeft" state="frozen"/>
      <selection activeCell="B49" sqref="B49"/>
      <selection pane="bottomLeft" activeCell="C213" sqref="C213"/>
    </sheetView>
  </sheetViews>
  <sheetFormatPr defaultColWidth="9.140625" defaultRowHeight="12.75"/>
  <cols>
    <col min="1" max="1" width="54.140625" style="594" customWidth="1"/>
    <col min="2" max="2" width="4.7109375" style="595" customWidth="1"/>
    <col min="3" max="11" width="13.7109375" style="384" customWidth="1"/>
    <col min="12" max="16384" width="9.140625" style="384"/>
  </cols>
  <sheetData>
    <row r="1" spans="1:12">
      <c r="A1" s="2181" t="s">
        <v>1799</v>
      </c>
      <c r="B1" s="452"/>
      <c r="C1" s="453" t="s">
        <v>425</v>
      </c>
      <c r="D1" s="453" t="s">
        <v>426</v>
      </c>
      <c r="E1" s="453" t="s">
        <v>427</v>
      </c>
      <c r="F1" s="453" t="s">
        <v>428</v>
      </c>
      <c r="G1" s="453" t="s">
        <v>429</v>
      </c>
      <c r="H1" s="453" t="s">
        <v>430</v>
      </c>
      <c r="I1" s="453" t="s">
        <v>431</v>
      </c>
      <c r="J1" s="453" t="s">
        <v>432</v>
      </c>
      <c r="K1" s="453" t="s">
        <v>756</v>
      </c>
    </row>
    <row r="2" spans="1:12" ht="36">
      <c r="A2" s="2182"/>
      <c r="B2" s="541" t="s">
        <v>378</v>
      </c>
      <c r="C2" s="542" t="s">
        <v>1155</v>
      </c>
      <c r="D2" s="542" t="s">
        <v>870</v>
      </c>
      <c r="E2" s="542" t="s">
        <v>438</v>
      </c>
      <c r="F2" s="542" t="s">
        <v>155</v>
      </c>
      <c r="G2" s="542" t="s">
        <v>989</v>
      </c>
      <c r="H2" s="542" t="s">
        <v>437</v>
      </c>
      <c r="I2" s="542" t="s">
        <v>407</v>
      </c>
      <c r="J2" s="542" t="s">
        <v>436</v>
      </c>
      <c r="K2" s="542" t="s">
        <v>157</v>
      </c>
    </row>
    <row r="3" spans="1:12" ht="16.7" customHeight="1">
      <c r="A3" s="1578" t="s">
        <v>113</v>
      </c>
      <c r="B3" s="1579"/>
      <c r="C3" s="1580"/>
      <c r="D3" s="1580"/>
      <c r="E3" s="1580"/>
      <c r="F3" s="1581"/>
      <c r="G3" s="1582"/>
      <c r="H3" s="1581"/>
      <c r="I3" s="1581"/>
      <c r="J3" s="1581"/>
      <c r="K3" s="1583"/>
    </row>
    <row r="4" spans="1:12" ht="15.75" customHeight="1">
      <c r="A4" s="1589" t="s">
        <v>379</v>
      </c>
      <c r="B4" s="1590">
        <v>1100</v>
      </c>
      <c r="C4" s="543"/>
      <c r="D4" s="543"/>
      <c r="E4" s="543"/>
      <c r="F4" s="544"/>
      <c r="G4" s="545"/>
      <c r="H4" s="546"/>
      <c r="I4" s="546"/>
      <c r="J4" s="546"/>
      <c r="K4" s="546"/>
    </row>
    <row r="5" spans="1:12" ht="15">
      <c r="A5" s="493" t="s">
        <v>1661</v>
      </c>
      <c r="B5" s="547"/>
      <c r="C5" s="481">
        <v>8409533</v>
      </c>
      <c r="D5" s="481">
        <v>868753</v>
      </c>
      <c r="E5" s="466">
        <v>2402079</v>
      </c>
      <c r="F5" s="548">
        <v>417002</v>
      </c>
      <c r="G5" s="466">
        <v>710813</v>
      </c>
      <c r="H5" s="466"/>
      <c r="I5" s="466">
        <v>173751</v>
      </c>
      <c r="J5" s="467">
        <v>884616</v>
      </c>
      <c r="K5" s="466"/>
    </row>
    <row r="6" spans="1:12" ht="15">
      <c r="A6" s="463" t="s">
        <v>1662</v>
      </c>
      <c r="B6" s="470">
        <v>1130</v>
      </c>
      <c r="C6" s="466">
        <v>173751</v>
      </c>
      <c r="D6" s="466"/>
      <c r="E6" s="475"/>
      <c r="F6" s="475"/>
      <c r="G6" s="468"/>
      <c r="H6" s="468"/>
      <c r="I6" s="468"/>
      <c r="J6" s="468"/>
      <c r="K6" s="468"/>
    </row>
    <row r="7" spans="1:12">
      <c r="A7" s="463" t="s">
        <v>110</v>
      </c>
      <c r="B7" s="549">
        <v>1140</v>
      </c>
      <c r="C7" s="466">
        <v>69500</v>
      </c>
      <c r="D7" s="466"/>
      <c r="E7" s="468"/>
      <c r="F7" s="467"/>
      <c r="G7" s="467"/>
      <c r="H7" s="467"/>
      <c r="I7" s="468"/>
      <c r="J7" s="468"/>
      <c r="K7" s="468"/>
    </row>
    <row r="8" spans="1:12">
      <c r="A8" s="463" t="s">
        <v>413</v>
      </c>
      <c r="B8" s="470">
        <v>1150</v>
      </c>
      <c r="C8" s="475"/>
      <c r="D8" s="475"/>
      <c r="E8" s="477"/>
      <c r="F8" s="477"/>
      <c r="G8" s="481">
        <v>657199</v>
      </c>
      <c r="H8" s="468"/>
      <c r="I8" s="468"/>
      <c r="J8" s="468"/>
      <c r="K8" s="468"/>
    </row>
    <row r="9" spans="1:12">
      <c r="A9" s="473" t="s">
        <v>111</v>
      </c>
      <c r="B9" s="470">
        <v>1160</v>
      </c>
      <c r="C9" s="468"/>
      <c r="D9" s="467"/>
      <c r="E9" s="467"/>
      <c r="F9" s="469"/>
      <c r="G9" s="475"/>
      <c r="H9" s="467"/>
      <c r="I9" s="468"/>
      <c r="J9" s="468"/>
      <c r="K9" s="468"/>
    </row>
    <row r="10" spans="1:12">
      <c r="A10" s="473" t="s">
        <v>112</v>
      </c>
      <c r="B10" s="470">
        <v>1170</v>
      </c>
      <c r="C10" s="467"/>
      <c r="D10" s="526"/>
      <c r="E10" s="526"/>
      <c r="F10" s="469"/>
      <c r="G10" s="468"/>
      <c r="H10" s="468"/>
      <c r="I10" s="468"/>
      <c r="J10" s="468"/>
      <c r="K10" s="468"/>
    </row>
    <row r="11" spans="1:12">
      <c r="A11" s="473" t="s">
        <v>414</v>
      </c>
      <c r="B11" s="550">
        <v>1190</v>
      </c>
      <c r="C11" s="551"/>
      <c r="D11" s="466"/>
      <c r="E11" s="466"/>
      <c r="F11" s="466"/>
      <c r="G11" s="466"/>
      <c r="H11" s="466"/>
      <c r="I11" s="466"/>
      <c r="J11" s="467"/>
      <c r="K11" s="466"/>
      <c r="L11" s="552"/>
    </row>
    <row r="12" spans="1:12" ht="13.15" customHeight="1" thickBot="1">
      <c r="A12" s="1704" t="s">
        <v>29</v>
      </c>
      <c r="B12" s="1705"/>
      <c r="C12" s="1706">
        <f t="shared" ref="C12:K12" si="0">SUM(C5:C11)</f>
        <v>8652784</v>
      </c>
      <c r="D12" s="1706">
        <f t="shared" si="0"/>
        <v>868753</v>
      </c>
      <c r="E12" s="1706">
        <f t="shared" si="0"/>
        <v>2402079</v>
      </c>
      <c r="F12" s="1706">
        <f t="shared" si="0"/>
        <v>417002</v>
      </c>
      <c r="G12" s="1706">
        <f t="shared" si="0"/>
        <v>1368012</v>
      </c>
      <c r="H12" s="1706">
        <f t="shared" si="0"/>
        <v>0</v>
      </c>
      <c r="I12" s="1706">
        <f t="shared" si="0"/>
        <v>173751</v>
      </c>
      <c r="J12" s="1706">
        <f t="shared" si="0"/>
        <v>884616</v>
      </c>
      <c r="K12" s="1687">
        <f t="shared" si="0"/>
        <v>0</v>
      </c>
    </row>
    <row r="13" spans="1:12" ht="15.75" customHeight="1" thickTop="1">
      <c r="A13" s="1591" t="s">
        <v>451</v>
      </c>
      <c r="B13" s="1592">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3.15" customHeight="1">
      <c r="A15" s="463" t="s">
        <v>95</v>
      </c>
      <c r="B15" s="470">
        <v>1220</v>
      </c>
      <c r="C15" s="551"/>
      <c r="D15" s="466"/>
      <c r="E15" s="466"/>
      <c r="F15" s="466"/>
      <c r="G15" s="466"/>
      <c r="H15" s="466"/>
      <c r="I15" s="466"/>
      <c r="J15" s="467"/>
      <c r="K15" s="466"/>
    </row>
    <row r="16" spans="1:12" ht="15" customHeight="1">
      <c r="A16" s="463" t="s">
        <v>1663</v>
      </c>
      <c r="B16" s="549">
        <v>1230</v>
      </c>
      <c r="C16" s="551">
        <v>934505</v>
      </c>
      <c r="D16" s="466">
        <v>905813</v>
      </c>
      <c r="E16" s="466"/>
      <c r="F16" s="466">
        <v>212949</v>
      </c>
      <c r="G16" s="466">
        <v>111722</v>
      </c>
      <c r="H16" s="466"/>
      <c r="I16" s="466"/>
      <c r="J16" s="467">
        <v>18961</v>
      </c>
      <c r="K16" s="466"/>
    </row>
    <row r="17" spans="1:11" ht="13.15" customHeight="1">
      <c r="A17" s="463" t="s">
        <v>807</v>
      </c>
      <c r="B17" s="470">
        <v>1290</v>
      </c>
      <c r="C17" s="551">
        <v>39413</v>
      </c>
      <c r="D17" s="466"/>
      <c r="E17" s="466"/>
      <c r="F17" s="466"/>
      <c r="G17" s="466"/>
      <c r="H17" s="466"/>
      <c r="I17" s="466"/>
      <c r="J17" s="467"/>
      <c r="K17" s="466"/>
    </row>
    <row r="18" spans="1:11" ht="13.15" customHeight="1" thickBot="1">
      <c r="A18" s="1707" t="s">
        <v>537</v>
      </c>
      <c r="B18" s="1708"/>
      <c r="C18" s="1709">
        <f>SUM(C14:C17)</f>
        <v>973918</v>
      </c>
      <c r="D18" s="1709">
        <f t="shared" ref="D18:K18" si="1">SUM(D14:D17)</f>
        <v>905813</v>
      </c>
      <c r="E18" s="1709">
        <f t="shared" si="1"/>
        <v>0</v>
      </c>
      <c r="F18" s="1709">
        <f t="shared" si="1"/>
        <v>212949</v>
      </c>
      <c r="G18" s="1709">
        <f t="shared" si="1"/>
        <v>111722</v>
      </c>
      <c r="H18" s="1709">
        <f t="shared" si="1"/>
        <v>0</v>
      </c>
      <c r="I18" s="1709">
        <f t="shared" si="1"/>
        <v>0</v>
      </c>
      <c r="J18" s="1709">
        <f t="shared" si="1"/>
        <v>18961</v>
      </c>
      <c r="K18" s="1710">
        <f t="shared" si="1"/>
        <v>0</v>
      </c>
    </row>
    <row r="19" spans="1:11" ht="15.75" customHeight="1" thickTop="1">
      <c r="A19" s="1591" t="s">
        <v>452</v>
      </c>
      <c r="B19" s="1592">
        <v>1300</v>
      </c>
      <c r="C19" s="554"/>
      <c r="D19" s="554"/>
      <c r="E19" s="554"/>
      <c r="F19" s="554"/>
      <c r="G19" s="553"/>
      <c r="H19" s="554"/>
      <c r="I19" s="554"/>
      <c r="J19" s="554"/>
      <c r="K19" s="555"/>
    </row>
    <row r="20" spans="1:11">
      <c r="A20" s="463" t="s">
        <v>1073</v>
      </c>
      <c r="B20" s="470">
        <v>1311</v>
      </c>
      <c r="C20" s="466"/>
      <c r="D20" s="468"/>
      <c r="E20" s="468"/>
      <c r="F20" s="468"/>
      <c r="G20" s="468"/>
      <c r="H20" s="468"/>
      <c r="I20" s="468"/>
      <c r="J20" s="468"/>
      <c r="K20" s="468"/>
    </row>
    <row r="21" spans="1:11" ht="13.15" customHeight="1">
      <c r="A21" s="463" t="s">
        <v>832</v>
      </c>
      <c r="B21" s="470">
        <v>1312</v>
      </c>
      <c r="C21" s="551"/>
      <c r="D21" s="468"/>
      <c r="E21" s="468"/>
      <c r="F21" s="468"/>
      <c r="G21" s="468"/>
      <c r="H21" s="468"/>
      <c r="I21" s="468"/>
      <c r="J21" s="468"/>
      <c r="K21" s="468"/>
    </row>
    <row r="22" spans="1:11" ht="13.15" customHeight="1">
      <c r="A22" s="463" t="s">
        <v>1074</v>
      </c>
      <c r="B22" s="470">
        <v>1313</v>
      </c>
      <c r="C22" s="551"/>
      <c r="D22" s="468"/>
      <c r="E22" s="468"/>
      <c r="F22" s="468"/>
      <c r="G22" s="468"/>
      <c r="H22" s="468"/>
      <c r="I22" s="468"/>
      <c r="J22" s="468"/>
      <c r="K22" s="468"/>
    </row>
    <row r="23" spans="1:11" ht="13.15" customHeight="1">
      <c r="A23" s="463" t="s">
        <v>1075</v>
      </c>
      <c r="B23" s="470">
        <v>1314</v>
      </c>
      <c r="C23" s="489"/>
      <c r="D23" s="468"/>
      <c r="E23" s="468"/>
      <c r="F23" s="468"/>
      <c r="G23" s="468"/>
      <c r="H23" s="468"/>
      <c r="I23" s="468"/>
      <c r="J23" s="468"/>
      <c r="K23" s="468"/>
    </row>
    <row r="24" spans="1:11" ht="13.15" customHeight="1">
      <c r="A24" s="463" t="s">
        <v>1027</v>
      </c>
      <c r="B24" s="470">
        <v>1321</v>
      </c>
      <c r="C24" s="551"/>
      <c r="D24" s="468"/>
      <c r="E24" s="468"/>
      <c r="F24" s="468"/>
      <c r="G24" s="468"/>
      <c r="H24" s="468"/>
      <c r="I24" s="468"/>
      <c r="J24" s="468"/>
      <c r="K24" s="468"/>
    </row>
    <row r="25" spans="1:11" ht="13.15" customHeight="1">
      <c r="A25" s="463" t="s">
        <v>833</v>
      </c>
      <c r="B25" s="470">
        <v>1322</v>
      </c>
      <c r="C25" s="551"/>
      <c r="D25" s="468"/>
      <c r="E25" s="468"/>
      <c r="F25" s="468"/>
      <c r="G25" s="468"/>
      <c r="H25" s="468"/>
      <c r="I25" s="468"/>
      <c r="J25" s="468"/>
      <c r="K25" s="468"/>
    </row>
    <row r="26" spans="1:11" ht="13.15" customHeight="1">
      <c r="A26" s="463" t="s">
        <v>1101</v>
      </c>
      <c r="B26" s="470">
        <v>1323</v>
      </c>
      <c r="C26" s="551"/>
      <c r="D26" s="468"/>
      <c r="E26" s="468"/>
      <c r="F26" s="468"/>
      <c r="G26" s="468"/>
      <c r="H26" s="468"/>
      <c r="I26" s="468"/>
      <c r="J26" s="468"/>
      <c r="K26" s="468"/>
    </row>
    <row r="27" spans="1:11" ht="13.15" customHeight="1">
      <c r="A27" s="463" t="s">
        <v>1023</v>
      </c>
      <c r="B27" s="470">
        <v>1324</v>
      </c>
      <c r="C27" s="489"/>
      <c r="D27" s="468"/>
      <c r="E27" s="468"/>
      <c r="F27" s="468"/>
      <c r="G27" s="468"/>
      <c r="H27" s="468"/>
      <c r="I27" s="468"/>
      <c r="J27" s="468"/>
      <c r="K27" s="468"/>
    </row>
    <row r="28" spans="1:11" ht="13.15" customHeight="1">
      <c r="A28" s="463" t="s">
        <v>1024</v>
      </c>
      <c r="B28" s="470">
        <v>1331</v>
      </c>
      <c r="C28" s="551"/>
      <c r="D28" s="468"/>
      <c r="E28" s="468"/>
      <c r="F28" s="468"/>
      <c r="G28" s="468"/>
      <c r="H28" s="468"/>
      <c r="I28" s="468"/>
      <c r="J28" s="468"/>
      <c r="K28" s="468"/>
    </row>
    <row r="29" spans="1:11" ht="13.15" customHeight="1">
      <c r="A29" s="463" t="s">
        <v>834</v>
      </c>
      <c r="B29" s="470">
        <v>1332</v>
      </c>
      <c r="C29" s="551"/>
      <c r="D29" s="468"/>
      <c r="E29" s="468"/>
      <c r="F29" s="468"/>
      <c r="G29" s="468"/>
      <c r="H29" s="468"/>
      <c r="I29" s="468"/>
      <c r="J29" s="468"/>
      <c r="K29" s="468"/>
    </row>
    <row r="30" spans="1:11" ht="13.15" customHeight="1">
      <c r="A30" s="463" t="s">
        <v>1026</v>
      </c>
      <c r="B30" s="470">
        <v>1333</v>
      </c>
      <c r="C30" s="551"/>
      <c r="D30" s="468"/>
      <c r="E30" s="468"/>
      <c r="F30" s="468"/>
      <c r="G30" s="468"/>
      <c r="H30" s="468"/>
      <c r="I30" s="468"/>
      <c r="J30" s="468"/>
      <c r="K30" s="468"/>
    </row>
    <row r="31" spans="1:11" ht="13.15" customHeight="1">
      <c r="A31" s="463" t="s">
        <v>1025</v>
      </c>
      <c r="B31" s="470">
        <v>1334</v>
      </c>
      <c r="C31" s="489"/>
      <c r="D31" s="468"/>
      <c r="E31" s="468"/>
      <c r="F31" s="468"/>
      <c r="G31" s="468"/>
      <c r="H31" s="468"/>
      <c r="I31" s="468"/>
      <c r="J31" s="468"/>
      <c r="K31" s="468"/>
    </row>
    <row r="32" spans="1:11" ht="13.15" customHeight="1">
      <c r="A32" s="463" t="s">
        <v>494</v>
      </c>
      <c r="B32" s="470">
        <v>1341</v>
      </c>
      <c r="C32" s="551"/>
      <c r="D32" s="468"/>
      <c r="E32" s="468"/>
      <c r="F32" s="468"/>
      <c r="G32" s="468"/>
      <c r="H32" s="468"/>
      <c r="I32" s="468"/>
      <c r="J32" s="468"/>
      <c r="K32" s="468"/>
    </row>
    <row r="33" spans="1:11" ht="13.15" customHeight="1">
      <c r="A33" s="463" t="s">
        <v>835</v>
      </c>
      <c r="B33" s="470">
        <v>1342</v>
      </c>
      <c r="C33" s="551"/>
      <c r="D33" s="468"/>
      <c r="E33" s="468"/>
      <c r="F33" s="468"/>
      <c r="G33" s="468"/>
      <c r="H33" s="468"/>
      <c r="I33" s="468"/>
      <c r="J33" s="468"/>
      <c r="K33" s="468"/>
    </row>
    <row r="34" spans="1:11" ht="13.15" customHeight="1">
      <c r="A34" s="463" t="s">
        <v>495</v>
      </c>
      <c r="B34" s="470">
        <v>1343</v>
      </c>
      <c r="C34" s="551"/>
      <c r="D34" s="468"/>
      <c r="E34" s="468"/>
      <c r="F34" s="468"/>
      <c r="G34" s="468"/>
      <c r="H34" s="468"/>
      <c r="I34" s="468"/>
      <c r="J34" s="468"/>
      <c r="K34" s="468"/>
    </row>
    <row r="35" spans="1:11" ht="13.15" customHeight="1">
      <c r="A35" s="463" t="s">
        <v>493</v>
      </c>
      <c r="B35" s="470">
        <v>1344</v>
      </c>
      <c r="C35" s="489"/>
      <c r="D35" s="468"/>
      <c r="E35" s="468"/>
      <c r="F35" s="468"/>
      <c r="G35" s="468"/>
      <c r="H35" s="468"/>
      <c r="I35" s="468"/>
      <c r="J35" s="468"/>
      <c r="K35" s="468"/>
    </row>
    <row r="36" spans="1:11" ht="13.15" customHeight="1">
      <c r="A36" s="463" t="s">
        <v>831</v>
      </c>
      <c r="B36" s="470">
        <v>1351</v>
      </c>
      <c r="C36" s="551"/>
      <c r="D36" s="468"/>
      <c r="E36" s="468"/>
      <c r="F36" s="468"/>
      <c r="G36" s="468"/>
      <c r="H36" s="468"/>
      <c r="I36" s="468"/>
      <c r="J36" s="468"/>
      <c r="K36" s="468"/>
    </row>
    <row r="37" spans="1:11" ht="13.15" customHeight="1">
      <c r="A37" s="463" t="s">
        <v>836</v>
      </c>
      <c r="B37" s="470">
        <v>1352</v>
      </c>
      <c r="C37" s="551"/>
      <c r="D37" s="468"/>
      <c r="E37" s="468"/>
      <c r="F37" s="468"/>
      <c r="G37" s="468"/>
      <c r="H37" s="468"/>
      <c r="I37" s="468"/>
      <c r="J37" s="468"/>
      <c r="K37" s="468"/>
    </row>
    <row r="38" spans="1:11" ht="13.15" customHeight="1">
      <c r="A38" s="463" t="s">
        <v>593</v>
      </c>
      <c r="B38" s="470">
        <v>1353</v>
      </c>
      <c r="C38" s="551"/>
      <c r="D38" s="468"/>
      <c r="E38" s="468"/>
      <c r="F38" s="468"/>
      <c r="G38" s="468"/>
      <c r="H38" s="468"/>
      <c r="I38" s="468"/>
      <c r="J38" s="468"/>
      <c r="K38" s="468"/>
    </row>
    <row r="39" spans="1:11" ht="13.15" customHeight="1">
      <c r="A39" s="1494" t="s">
        <v>594</v>
      </c>
      <c r="B39" s="556">
        <v>1354</v>
      </c>
      <c r="C39" s="489"/>
      <c r="D39" s="468"/>
      <c r="E39" s="468"/>
      <c r="F39" s="468"/>
      <c r="G39" s="468"/>
      <c r="H39" s="468"/>
      <c r="I39" s="468"/>
      <c r="J39" s="468"/>
      <c r="K39" s="468"/>
    </row>
    <row r="40" spans="1:11" ht="13.15" customHeight="1" thickBot="1">
      <c r="A40" s="1707" t="s">
        <v>538</v>
      </c>
      <c r="B40" s="1708"/>
      <c r="C40" s="1687">
        <f>SUM(C20:C39)</f>
        <v>0</v>
      </c>
      <c r="D40" s="468"/>
      <c r="E40" s="468"/>
      <c r="F40" s="468"/>
      <c r="G40" s="468"/>
      <c r="H40" s="468"/>
      <c r="I40" s="468"/>
      <c r="J40" s="468"/>
      <c r="K40" s="468"/>
    </row>
    <row r="41" spans="1:11" ht="15.75" customHeight="1" thickTop="1">
      <c r="A41" s="1591" t="s">
        <v>274</v>
      </c>
      <c r="B41" s="1592">
        <v>1400</v>
      </c>
      <c r="C41" s="468"/>
      <c r="D41" s="468"/>
      <c r="E41" s="468"/>
      <c r="F41" s="521"/>
      <c r="G41" s="468"/>
      <c r="H41" s="468"/>
      <c r="I41" s="468"/>
      <c r="J41" s="468"/>
      <c r="K41" s="468"/>
    </row>
    <row r="42" spans="1:11" ht="13.15" customHeight="1">
      <c r="A42" s="463" t="s">
        <v>1076</v>
      </c>
      <c r="B42" s="470">
        <v>1411</v>
      </c>
      <c r="C42" s="468"/>
      <c r="D42" s="468"/>
      <c r="E42" s="468"/>
      <c r="F42" s="481">
        <v>19050</v>
      </c>
      <c r="G42" s="468"/>
      <c r="H42" s="468"/>
      <c r="I42" s="468"/>
      <c r="J42" s="468"/>
      <c r="K42" s="468"/>
    </row>
    <row r="43" spans="1:11" ht="13.15" customHeight="1">
      <c r="A43" s="463" t="s">
        <v>837</v>
      </c>
      <c r="B43" s="470">
        <v>1412</v>
      </c>
      <c r="C43" s="468"/>
      <c r="D43" s="468"/>
      <c r="E43" s="468"/>
      <c r="F43" s="466"/>
      <c r="G43" s="468"/>
      <c r="H43" s="468"/>
      <c r="I43" s="468"/>
      <c r="J43" s="468"/>
      <c r="K43" s="468"/>
    </row>
    <row r="44" spans="1:11" ht="13.15" customHeight="1">
      <c r="A44" s="463" t="s">
        <v>384</v>
      </c>
      <c r="B44" s="470">
        <v>1413</v>
      </c>
      <c r="C44" s="468"/>
      <c r="D44" s="468"/>
      <c r="E44" s="468"/>
      <c r="F44" s="466">
        <v>24316</v>
      </c>
      <c r="G44" s="468"/>
      <c r="H44" s="468"/>
      <c r="I44" s="468"/>
      <c r="J44" s="468"/>
      <c r="K44" s="468"/>
    </row>
    <row r="45" spans="1:11" ht="13.15" customHeight="1">
      <c r="A45" s="463" t="s">
        <v>240</v>
      </c>
      <c r="B45" s="470">
        <v>1415</v>
      </c>
      <c r="C45" s="468"/>
      <c r="D45" s="468"/>
      <c r="E45" s="468"/>
      <c r="F45" s="466"/>
      <c r="G45" s="468"/>
      <c r="H45" s="468"/>
      <c r="I45" s="468"/>
      <c r="J45" s="468"/>
      <c r="K45" s="468"/>
    </row>
    <row r="46" spans="1:11" ht="13.15" customHeight="1">
      <c r="A46" s="463" t="s">
        <v>1174</v>
      </c>
      <c r="B46" s="470">
        <v>1416</v>
      </c>
      <c r="C46" s="468"/>
      <c r="D46" s="468"/>
      <c r="E46" s="468"/>
      <c r="F46" s="467"/>
      <c r="G46" s="468"/>
      <c r="H46" s="468"/>
      <c r="I46" s="468"/>
      <c r="J46" s="468"/>
      <c r="K46" s="468"/>
    </row>
    <row r="47" spans="1:11" ht="13.15" customHeight="1">
      <c r="A47" s="463" t="s">
        <v>57</v>
      </c>
      <c r="B47" s="470">
        <v>1421</v>
      </c>
      <c r="C47" s="468"/>
      <c r="D47" s="468"/>
      <c r="E47" s="468"/>
      <c r="F47" s="466"/>
      <c r="G47" s="468"/>
      <c r="H47" s="468"/>
      <c r="I47" s="468"/>
      <c r="J47" s="468"/>
      <c r="K47" s="468"/>
    </row>
    <row r="48" spans="1:11" ht="13.15" customHeight="1">
      <c r="A48" s="463" t="s">
        <v>838</v>
      </c>
      <c r="B48" s="470">
        <v>1422</v>
      </c>
      <c r="C48" s="468"/>
      <c r="D48" s="468"/>
      <c r="E48" s="468"/>
      <c r="F48" s="466"/>
      <c r="G48" s="468"/>
      <c r="H48" s="468"/>
      <c r="I48" s="468"/>
      <c r="J48" s="468"/>
      <c r="K48" s="468"/>
    </row>
    <row r="49" spans="1:11" ht="13.15" customHeight="1">
      <c r="A49" s="463" t="s">
        <v>58</v>
      </c>
      <c r="B49" s="470">
        <v>1423</v>
      </c>
      <c r="C49" s="468"/>
      <c r="D49" s="468"/>
      <c r="E49" s="468"/>
      <c r="F49" s="466"/>
      <c r="G49" s="468"/>
      <c r="H49" s="468"/>
      <c r="I49" s="468"/>
      <c r="J49" s="468"/>
      <c r="K49" s="468"/>
    </row>
    <row r="50" spans="1:11" ht="13.15" customHeight="1">
      <c r="A50" s="463" t="s">
        <v>59</v>
      </c>
      <c r="B50" s="470">
        <v>1424</v>
      </c>
      <c r="C50" s="468"/>
      <c r="D50" s="468"/>
      <c r="E50" s="468"/>
      <c r="F50" s="467"/>
      <c r="G50" s="468"/>
      <c r="H50" s="468"/>
      <c r="I50" s="468"/>
      <c r="J50" s="468"/>
      <c r="K50" s="468"/>
    </row>
    <row r="51" spans="1:11" ht="13.15" customHeight="1">
      <c r="A51" s="1495" t="s">
        <v>60</v>
      </c>
      <c r="B51" s="557">
        <v>1431</v>
      </c>
      <c r="C51" s="468"/>
      <c r="D51" s="468"/>
      <c r="E51" s="468"/>
      <c r="F51" s="466"/>
      <c r="G51" s="468"/>
      <c r="H51" s="468"/>
      <c r="I51" s="468"/>
      <c r="J51" s="468"/>
      <c r="K51" s="468"/>
    </row>
    <row r="52" spans="1:11" ht="13.15" customHeight="1">
      <c r="A52" s="1495" t="s">
        <v>1106</v>
      </c>
      <c r="B52" s="557">
        <v>1432</v>
      </c>
      <c r="C52" s="468"/>
      <c r="D52" s="468"/>
      <c r="E52" s="468"/>
      <c r="F52" s="466"/>
      <c r="G52" s="468"/>
      <c r="H52" s="468"/>
      <c r="I52" s="468"/>
      <c r="J52" s="468"/>
      <c r="K52" s="468"/>
    </row>
    <row r="53" spans="1:11" ht="13.15" customHeight="1">
      <c r="A53" s="1495" t="s">
        <v>61</v>
      </c>
      <c r="B53" s="557">
        <v>1433</v>
      </c>
      <c r="C53" s="468"/>
      <c r="D53" s="468"/>
      <c r="E53" s="468"/>
      <c r="F53" s="466"/>
      <c r="G53" s="468"/>
      <c r="H53" s="468"/>
      <c r="I53" s="468"/>
      <c r="J53" s="468"/>
      <c r="K53" s="468"/>
    </row>
    <row r="54" spans="1:11" ht="13.15" customHeight="1">
      <c r="A54" s="1495" t="s">
        <v>62</v>
      </c>
      <c r="B54" s="557">
        <v>1434</v>
      </c>
      <c r="C54" s="468"/>
      <c r="D54" s="468"/>
      <c r="E54" s="468"/>
      <c r="F54" s="467"/>
      <c r="G54" s="468"/>
      <c r="H54" s="468"/>
      <c r="I54" s="468"/>
      <c r="J54" s="468"/>
      <c r="K54" s="468"/>
    </row>
    <row r="55" spans="1:11" ht="13.15" customHeight="1">
      <c r="A55" s="1495" t="s">
        <v>63</v>
      </c>
      <c r="B55" s="557">
        <v>1441</v>
      </c>
      <c r="C55" s="468"/>
      <c r="D55" s="468"/>
      <c r="E55" s="468"/>
      <c r="F55" s="466"/>
      <c r="G55" s="468"/>
      <c r="H55" s="468"/>
      <c r="I55" s="468"/>
      <c r="J55" s="468"/>
      <c r="K55" s="468"/>
    </row>
    <row r="56" spans="1:11" ht="13.15" customHeight="1">
      <c r="A56" s="1495" t="s">
        <v>1107</v>
      </c>
      <c r="B56" s="557">
        <v>1442</v>
      </c>
      <c r="C56" s="468"/>
      <c r="D56" s="468"/>
      <c r="E56" s="468"/>
      <c r="F56" s="466"/>
      <c r="G56" s="468"/>
      <c r="H56" s="468"/>
      <c r="I56" s="468"/>
      <c r="J56" s="468"/>
      <c r="K56" s="468"/>
    </row>
    <row r="57" spans="1:11" ht="13.15" customHeight="1">
      <c r="A57" s="1495" t="s">
        <v>489</v>
      </c>
      <c r="B57" s="557">
        <v>1443</v>
      </c>
      <c r="C57" s="468"/>
      <c r="D57" s="468"/>
      <c r="E57" s="468"/>
      <c r="F57" s="466"/>
      <c r="G57" s="468"/>
      <c r="H57" s="468"/>
      <c r="I57" s="468"/>
      <c r="J57" s="468"/>
      <c r="K57" s="468"/>
    </row>
    <row r="58" spans="1:11" ht="13.15" customHeight="1">
      <c r="A58" s="1495" t="s">
        <v>65</v>
      </c>
      <c r="B58" s="557">
        <v>1444</v>
      </c>
      <c r="C58" s="468"/>
      <c r="D58" s="468"/>
      <c r="E58" s="468"/>
      <c r="F58" s="466"/>
      <c r="G58" s="468"/>
      <c r="H58" s="468"/>
      <c r="I58" s="468"/>
      <c r="J58" s="468"/>
      <c r="K58" s="468"/>
    </row>
    <row r="59" spans="1:11" ht="13.15" customHeight="1">
      <c r="A59" s="1495" t="s">
        <v>878</v>
      </c>
      <c r="B59" s="557">
        <v>1451</v>
      </c>
      <c r="C59" s="468"/>
      <c r="D59" s="468"/>
      <c r="E59" s="468"/>
      <c r="F59" s="466"/>
      <c r="G59" s="468"/>
      <c r="H59" s="468"/>
      <c r="I59" s="468"/>
      <c r="J59" s="468"/>
      <c r="K59" s="468"/>
    </row>
    <row r="60" spans="1:11" ht="13.15" customHeight="1">
      <c r="A60" s="1495" t="s">
        <v>1108</v>
      </c>
      <c r="B60" s="557">
        <v>1452</v>
      </c>
      <c r="C60" s="468"/>
      <c r="D60" s="468"/>
      <c r="E60" s="468"/>
      <c r="F60" s="466"/>
      <c r="G60" s="468"/>
      <c r="H60" s="468"/>
      <c r="I60" s="468"/>
      <c r="J60" s="468"/>
      <c r="K60" s="468"/>
    </row>
    <row r="61" spans="1:11" ht="13.15" customHeight="1">
      <c r="A61" s="563" t="s">
        <v>879</v>
      </c>
      <c r="B61" s="557">
        <v>1453</v>
      </c>
      <c r="C61" s="468"/>
      <c r="D61" s="468"/>
      <c r="E61" s="468"/>
      <c r="F61" s="466"/>
      <c r="G61" s="468"/>
      <c r="H61" s="468"/>
      <c r="I61" s="468"/>
      <c r="J61" s="468"/>
      <c r="K61" s="468"/>
    </row>
    <row r="62" spans="1:11" ht="13.15" customHeight="1">
      <c r="A62" s="1496" t="s">
        <v>880</v>
      </c>
      <c r="B62" s="558">
        <v>1454</v>
      </c>
      <c r="C62" s="468"/>
      <c r="D62" s="468"/>
      <c r="E62" s="468"/>
      <c r="F62" s="467"/>
      <c r="G62" s="468"/>
      <c r="H62" s="468"/>
      <c r="I62" s="468"/>
      <c r="J62" s="468"/>
      <c r="K62" s="468"/>
    </row>
    <row r="63" spans="1:11" ht="13.15" customHeight="1" thickBot="1">
      <c r="A63" s="1707" t="s">
        <v>485</v>
      </c>
      <c r="B63" s="1708"/>
      <c r="C63" s="468"/>
      <c r="D63" s="468"/>
      <c r="E63" s="468"/>
      <c r="F63" s="1687">
        <f>SUM(F42:F62)</f>
        <v>43366</v>
      </c>
      <c r="G63" s="468"/>
      <c r="H63" s="468"/>
      <c r="I63" s="468"/>
      <c r="J63" s="468"/>
      <c r="K63" s="468"/>
    </row>
    <row r="64" spans="1:11" ht="15.75" customHeight="1" thickTop="1">
      <c r="A64" s="1591" t="s">
        <v>454</v>
      </c>
      <c r="B64" s="1592">
        <v>1500</v>
      </c>
      <c r="C64" s="468"/>
      <c r="D64" s="468"/>
      <c r="E64" s="468"/>
      <c r="F64" s="468"/>
      <c r="G64" s="468"/>
      <c r="H64" s="468"/>
      <c r="I64" s="468"/>
      <c r="J64" s="468"/>
      <c r="K64" s="468"/>
    </row>
    <row r="65" spans="1:11" ht="13.15" customHeight="1">
      <c r="A65" s="463" t="s">
        <v>547</v>
      </c>
      <c r="B65" s="470">
        <v>1510</v>
      </c>
      <c r="C65" s="466">
        <v>56487</v>
      </c>
      <c r="D65" s="466">
        <v>11423</v>
      </c>
      <c r="E65" s="466">
        <v>53939</v>
      </c>
      <c r="F65" s="467">
        <v>5974</v>
      </c>
      <c r="G65" s="466">
        <v>6158</v>
      </c>
      <c r="H65" s="466">
        <v>10337</v>
      </c>
      <c r="I65" s="466">
        <v>89952</v>
      </c>
      <c r="J65" s="467">
        <v>8418</v>
      </c>
      <c r="K65" s="466">
        <v>3601</v>
      </c>
    </row>
    <row r="66" spans="1:11" ht="13.15" customHeight="1">
      <c r="A66" s="463" t="s">
        <v>679</v>
      </c>
      <c r="B66" s="470">
        <v>1520</v>
      </c>
      <c r="C66" s="466"/>
      <c r="D66" s="466"/>
      <c r="E66" s="466"/>
      <c r="F66" s="466"/>
      <c r="G66" s="466"/>
      <c r="H66" s="466"/>
      <c r="I66" s="466"/>
      <c r="J66" s="467"/>
      <c r="K66" s="466"/>
    </row>
    <row r="67" spans="1:11" ht="13.15" customHeight="1" thickBot="1">
      <c r="A67" s="1707" t="s">
        <v>486</v>
      </c>
      <c r="B67" s="1708"/>
      <c r="C67" s="1687">
        <f>SUM(C65:C66)</f>
        <v>56487</v>
      </c>
      <c r="D67" s="1687">
        <f t="shared" ref="D67:K67" si="2">SUM(D65:D66)</f>
        <v>11423</v>
      </c>
      <c r="E67" s="1687">
        <f t="shared" si="2"/>
        <v>53939</v>
      </c>
      <c r="F67" s="1687">
        <f t="shared" si="2"/>
        <v>5974</v>
      </c>
      <c r="G67" s="1687">
        <f t="shared" si="2"/>
        <v>6158</v>
      </c>
      <c r="H67" s="1687">
        <f t="shared" si="2"/>
        <v>10337</v>
      </c>
      <c r="I67" s="1687">
        <f t="shared" si="2"/>
        <v>89952</v>
      </c>
      <c r="J67" s="1687">
        <f t="shared" si="2"/>
        <v>8418</v>
      </c>
      <c r="K67" s="1687">
        <f t="shared" si="2"/>
        <v>3601</v>
      </c>
    </row>
    <row r="68" spans="1:11" ht="15.75" customHeight="1" thickTop="1">
      <c r="A68" s="1591" t="s">
        <v>455</v>
      </c>
      <c r="B68" s="1593">
        <v>1600</v>
      </c>
      <c r="C68" s="553"/>
      <c r="D68" s="468"/>
      <c r="E68" s="468"/>
      <c r="F68" s="468"/>
      <c r="G68" s="468"/>
      <c r="H68" s="468"/>
      <c r="I68" s="468"/>
      <c r="J68" s="468"/>
      <c r="K68" s="468"/>
    </row>
    <row r="69" spans="1:11" ht="13.15" customHeight="1">
      <c r="A69" s="463" t="s">
        <v>666</v>
      </c>
      <c r="B69" s="470">
        <v>1611</v>
      </c>
      <c r="C69" s="466"/>
      <c r="D69" s="468"/>
      <c r="E69" s="468"/>
      <c r="F69" s="468"/>
      <c r="G69" s="468"/>
      <c r="H69" s="468"/>
      <c r="I69" s="468"/>
      <c r="J69" s="468"/>
      <c r="K69" s="468"/>
    </row>
    <row r="70" spans="1:11" ht="13.15" customHeight="1">
      <c r="A70" s="463" t="s">
        <v>997</v>
      </c>
      <c r="B70" s="470">
        <v>1612</v>
      </c>
      <c r="C70" s="551"/>
      <c r="D70" s="468"/>
      <c r="E70" s="468"/>
      <c r="F70" s="468"/>
      <c r="G70" s="468"/>
      <c r="H70" s="468"/>
      <c r="I70" s="468"/>
      <c r="J70" s="468"/>
      <c r="K70" s="468"/>
    </row>
    <row r="71" spans="1:11" ht="13.15" customHeight="1">
      <c r="A71" s="463" t="s">
        <v>273</v>
      </c>
      <c r="B71" s="470">
        <v>1613</v>
      </c>
      <c r="C71" s="551">
        <v>9078</v>
      </c>
      <c r="D71" s="468"/>
      <c r="E71" s="468"/>
      <c r="F71" s="468"/>
      <c r="G71" s="468"/>
      <c r="H71" s="468"/>
      <c r="I71" s="468"/>
      <c r="J71" s="468"/>
      <c r="K71" s="468"/>
    </row>
    <row r="72" spans="1:11" ht="13.15" customHeight="1">
      <c r="A72" s="463" t="s">
        <v>24</v>
      </c>
      <c r="B72" s="470">
        <v>1614</v>
      </c>
      <c r="C72" s="551"/>
      <c r="D72" s="468"/>
      <c r="E72" s="468"/>
      <c r="F72" s="468"/>
      <c r="G72" s="468"/>
      <c r="H72" s="468"/>
      <c r="I72" s="468"/>
      <c r="J72" s="468"/>
      <c r="K72" s="468"/>
    </row>
    <row r="73" spans="1:11" ht="13.15" customHeight="1">
      <c r="A73" s="463" t="s">
        <v>998</v>
      </c>
      <c r="B73" s="470">
        <v>1620</v>
      </c>
      <c r="C73" s="551"/>
      <c r="D73" s="468"/>
      <c r="E73" s="468"/>
      <c r="F73" s="468"/>
      <c r="G73" s="468"/>
      <c r="H73" s="468"/>
      <c r="I73" s="468"/>
      <c r="J73" s="468"/>
      <c r="K73" s="468"/>
    </row>
    <row r="74" spans="1:11" ht="13.15" customHeight="1">
      <c r="A74" s="463" t="s">
        <v>25</v>
      </c>
      <c r="B74" s="470">
        <v>1690</v>
      </c>
      <c r="C74" s="551">
        <v>369</v>
      </c>
      <c r="D74" s="468"/>
      <c r="E74" s="468"/>
      <c r="F74" s="468"/>
      <c r="G74" s="468"/>
      <c r="H74" s="468"/>
      <c r="I74" s="468"/>
      <c r="J74" s="468"/>
      <c r="K74" s="468"/>
    </row>
    <row r="75" spans="1:11" ht="13.15" customHeight="1" thickBot="1">
      <c r="A75" s="1707" t="s">
        <v>548</v>
      </c>
      <c r="B75" s="1708"/>
      <c r="C75" s="1687">
        <f>SUM(C69:C74)</f>
        <v>9447</v>
      </c>
      <c r="D75" s="468"/>
      <c r="E75" s="468"/>
      <c r="F75" s="468"/>
      <c r="G75" s="468"/>
      <c r="H75" s="468"/>
      <c r="I75" s="468"/>
      <c r="J75" s="468"/>
      <c r="K75" s="468"/>
    </row>
    <row r="76" spans="1:11" ht="15.75" customHeight="1" thickTop="1">
      <c r="A76" s="1591" t="s">
        <v>881</v>
      </c>
      <c r="B76" s="1593">
        <v>1700</v>
      </c>
      <c r="C76" s="553"/>
      <c r="D76" s="468"/>
      <c r="E76" s="468"/>
      <c r="F76" s="468"/>
      <c r="G76" s="468"/>
      <c r="H76" s="468"/>
      <c r="I76" s="468"/>
      <c r="J76" s="468"/>
      <c r="K76" s="468"/>
    </row>
    <row r="77" spans="1:11" ht="13.15" customHeight="1">
      <c r="A77" s="463" t="s">
        <v>549</v>
      </c>
      <c r="B77" s="470">
        <v>1711</v>
      </c>
      <c r="C77" s="516"/>
      <c r="D77" s="466"/>
      <c r="E77" s="468"/>
      <c r="F77" s="468"/>
      <c r="G77" s="468"/>
      <c r="H77" s="468"/>
      <c r="I77" s="468"/>
      <c r="J77" s="468"/>
      <c r="K77" s="468"/>
    </row>
    <row r="78" spans="1:11" ht="13.15" customHeight="1">
      <c r="A78" s="463" t="s">
        <v>76</v>
      </c>
      <c r="B78" s="470">
        <v>1719</v>
      </c>
      <c r="C78" s="551"/>
      <c r="D78" s="466"/>
      <c r="E78" s="468"/>
      <c r="F78" s="468"/>
      <c r="G78" s="468"/>
      <c r="H78" s="468"/>
      <c r="I78" s="468"/>
      <c r="J78" s="468"/>
      <c r="K78" s="468"/>
    </row>
    <row r="79" spans="1:11" ht="13.15" customHeight="1">
      <c r="A79" s="463" t="s">
        <v>550</v>
      </c>
      <c r="B79" s="470">
        <v>1720</v>
      </c>
      <c r="C79" s="551">
        <v>8710</v>
      </c>
      <c r="D79" s="466"/>
      <c r="E79" s="468"/>
      <c r="F79" s="468"/>
      <c r="G79" s="468"/>
      <c r="H79" s="468"/>
      <c r="I79" s="468"/>
      <c r="J79" s="468"/>
      <c r="K79" s="468"/>
    </row>
    <row r="80" spans="1:11" ht="13.15" customHeight="1">
      <c r="A80" s="463" t="s">
        <v>551</v>
      </c>
      <c r="B80" s="470">
        <v>1730</v>
      </c>
      <c r="C80" s="551"/>
      <c r="D80" s="466"/>
      <c r="E80" s="468"/>
      <c r="F80" s="468"/>
      <c r="G80" s="468"/>
      <c r="H80" s="468"/>
      <c r="I80" s="468"/>
      <c r="J80" s="468"/>
      <c r="K80" s="468"/>
    </row>
    <row r="81" spans="1:11" ht="13.15" customHeight="1">
      <c r="A81" s="463" t="s">
        <v>26</v>
      </c>
      <c r="B81" s="470">
        <v>1790</v>
      </c>
      <c r="C81" s="551"/>
      <c r="D81" s="466"/>
      <c r="E81" s="468"/>
      <c r="F81" s="468"/>
      <c r="G81" s="468"/>
      <c r="H81" s="468"/>
      <c r="I81" s="468"/>
      <c r="J81" s="468"/>
      <c r="K81" s="468"/>
    </row>
    <row r="82" spans="1:11" ht="13.15" customHeight="1" thickBot="1">
      <c r="A82" s="1707" t="s">
        <v>241</v>
      </c>
      <c r="B82" s="1708"/>
      <c r="C82" s="1706">
        <f>SUM(C77:C81)</f>
        <v>8710</v>
      </c>
      <c r="D82" s="1687">
        <f>SUM(D77:D81)</f>
        <v>0</v>
      </c>
      <c r="E82" s="468"/>
      <c r="F82" s="468"/>
      <c r="G82" s="468"/>
      <c r="H82" s="468"/>
      <c r="I82" s="468"/>
      <c r="J82" s="468"/>
      <c r="K82" s="468"/>
    </row>
    <row r="83" spans="1:11" ht="15.75" customHeight="1" thickTop="1">
      <c r="A83" s="1591" t="s">
        <v>242</v>
      </c>
      <c r="B83" s="1593">
        <v>1800</v>
      </c>
      <c r="C83" s="553"/>
      <c r="D83" s="468"/>
      <c r="E83" s="468"/>
      <c r="F83" s="468"/>
      <c r="G83" s="468"/>
      <c r="H83" s="468"/>
      <c r="I83" s="468"/>
      <c r="J83" s="468"/>
      <c r="K83" s="468"/>
    </row>
    <row r="84" spans="1:11" ht="13.15" customHeight="1">
      <c r="A84" s="463" t="s">
        <v>552</v>
      </c>
      <c r="B84" s="470">
        <v>1811</v>
      </c>
      <c r="C84" s="466"/>
      <c r="D84" s="468"/>
      <c r="E84" s="468"/>
      <c r="F84" s="468"/>
      <c r="G84" s="468"/>
      <c r="H84" s="468"/>
      <c r="I84" s="468"/>
      <c r="J84" s="468"/>
      <c r="K84" s="468"/>
    </row>
    <row r="85" spans="1:11" ht="13.15" customHeight="1">
      <c r="A85" s="463" t="s">
        <v>553</v>
      </c>
      <c r="B85" s="470">
        <v>1812</v>
      </c>
      <c r="C85" s="551"/>
      <c r="D85" s="468"/>
      <c r="E85" s="468"/>
      <c r="F85" s="468"/>
      <c r="G85" s="468"/>
      <c r="H85" s="468"/>
      <c r="I85" s="468"/>
      <c r="J85" s="468"/>
      <c r="K85" s="468"/>
    </row>
    <row r="86" spans="1:11" ht="13.15" customHeight="1">
      <c r="A86" s="463" t="s">
        <v>999</v>
      </c>
      <c r="B86" s="470">
        <v>1813</v>
      </c>
      <c r="C86" s="551"/>
      <c r="D86" s="468"/>
      <c r="E86" s="468"/>
      <c r="F86" s="468"/>
      <c r="G86" s="468"/>
      <c r="H86" s="468"/>
      <c r="I86" s="468"/>
      <c r="J86" s="468"/>
      <c r="K86" s="468"/>
    </row>
    <row r="87" spans="1:11" ht="13.15" customHeight="1">
      <c r="A87" s="463" t="s">
        <v>77</v>
      </c>
      <c r="B87" s="470">
        <v>1819</v>
      </c>
      <c r="C87" s="551"/>
      <c r="D87" s="468"/>
      <c r="E87" s="468"/>
      <c r="F87" s="468"/>
      <c r="G87" s="468"/>
      <c r="H87" s="468"/>
      <c r="I87" s="468"/>
      <c r="J87" s="468"/>
      <c r="K87" s="468"/>
    </row>
    <row r="88" spans="1:11" ht="13.15" customHeight="1">
      <c r="A88" s="463" t="s">
        <v>554</v>
      </c>
      <c r="B88" s="470">
        <v>1821</v>
      </c>
      <c r="C88" s="551"/>
      <c r="D88" s="468"/>
      <c r="E88" s="468"/>
      <c r="F88" s="468"/>
      <c r="G88" s="468"/>
      <c r="H88" s="468"/>
      <c r="I88" s="468"/>
      <c r="J88" s="468"/>
      <c r="K88" s="468"/>
    </row>
    <row r="89" spans="1:11" ht="13.15" customHeight="1">
      <c r="A89" s="463" t="s">
        <v>714</v>
      </c>
      <c r="B89" s="470">
        <v>1822</v>
      </c>
      <c r="C89" s="551"/>
      <c r="D89" s="468"/>
      <c r="E89" s="468"/>
      <c r="F89" s="468"/>
      <c r="G89" s="468"/>
      <c r="H89" s="468"/>
      <c r="I89" s="468"/>
      <c r="J89" s="468"/>
      <c r="K89" s="468"/>
    </row>
    <row r="90" spans="1:11" ht="13.15" customHeight="1">
      <c r="A90" s="463" t="s">
        <v>139</v>
      </c>
      <c r="B90" s="470">
        <v>1823</v>
      </c>
      <c r="C90" s="551"/>
      <c r="D90" s="468"/>
      <c r="E90" s="468"/>
      <c r="F90" s="468"/>
      <c r="G90" s="468"/>
      <c r="H90" s="468"/>
      <c r="I90" s="468"/>
      <c r="J90" s="468"/>
      <c r="K90" s="468"/>
    </row>
    <row r="91" spans="1:11" ht="13.15" customHeight="1">
      <c r="A91" s="463" t="s">
        <v>27</v>
      </c>
      <c r="B91" s="470">
        <v>1829</v>
      </c>
      <c r="C91" s="551"/>
      <c r="D91" s="468"/>
      <c r="E91" s="468"/>
      <c r="F91" s="468"/>
      <c r="G91" s="468"/>
      <c r="H91" s="468"/>
      <c r="I91" s="468"/>
      <c r="J91" s="468"/>
      <c r="K91" s="468"/>
    </row>
    <row r="92" spans="1:11" ht="13.15" customHeight="1">
      <c r="A92" s="463" t="s">
        <v>762</v>
      </c>
      <c r="B92" s="470">
        <v>1890</v>
      </c>
      <c r="C92" s="551"/>
      <c r="D92" s="468"/>
      <c r="E92" s="468"/>
      <c r="F92" s="468"/>
      <c r="G92" s="468"/>
      <c r="H92" s="468"/>
      <c r="I92" s="468"/>
      <c r="J92" s="468"/>
      <c r="K92" s="468"/>
    </row>
    <row r="93" spans="1:11" ht="13.15" customHeight="1" thickBot="1">
      <c r="A93" s="1707" t="s">
        <v>243</v>
      </c>
      <c r="B93" s="1708"/>
      <c r="C93" s="1687">
        <f>SUM(C84:C92)</f>
        <v>0</v>
      </c>
      <c r="D93" s="468"/>
      <c r="E93" s="468"/>
      <c r="F93" s="468"/>
      <c r="G93" s="468"/>
      <c r="H93" s="468"/>
      <c r="I93" s="468"/>
      <c r="J93" s="468"/>
      <c r="K93" s="468"/>
    </row>
    <row r="94" spans="1:11" ht="15.75" customHeight="1" thickTop="1">
      <c r="A94" s="1591" t="s">
        <v>1137</v>
      </c>
      <c r="B94" s="1593">
        <v>1900</v>
      </c>
      <c r="C94" s="553"/>
      <c r="D94" s="521"/>
      <c r="E94" s="468"/>
      <c r="F94" s="468"/>
      <c r="G94" s="468"/>
      <c r="H94" s="468"/>
      <c r="I94" s="468"/>
      <c r="J94" s="468"/>
      <c r="K94" s="468"/>
    </row>
    <row r="95" spans="1:11" ht="13.15" customHeight="1">
      <c r="A95" s="463" t="s">
        <v>1064</v>
      </c>
      <c r="B95" s="470">
        <v>1910</v>
      </c>
      <c r="C95" s="466"/>
      <c r="D95" s="551">
        <v>33196</v>
      </c>
      <c r="E95" s="521"/>
      <c r="F95" s="521"/>
      <c r="G95" s="521"/>
      <c r="H95" s="521"/>
      <c r="I95" s="521"/>
      <c r="J95" s="521"/>
      <c r="K95" s="521"/>
    </row>
    <row r="96" spans="1:11" ht="13.15" customHeight="1">
      <c r="A96" s="463" t="s">
        <v>391</v>
      </c>
      <c r="B96" s="470">
        <v>1920</v>
      </c>
      <c r="C96" s="551">
        <v>120922</v>
      </c>
      <c r="D96" s="551"/>
      <c r="E96" s="479"/>
      <c r="F96" s="478"/>
      <c r="G96" s="478"/>
      <c r="H96" s="478"/>
      <c r="I96" s="478"/>
      <c r="J96" s="478"/>
      <c r="K96" s="478"/>
    </row>
    <row r="97" spans="1:12" ht="13.15" customHeight="1">
      <c r="A97" s="1494" t="s">
        <v>244</v>
      </c>
      <c r="B97" s="559">
        <v>1930</v>
      </c>
      <c r="C97" s="489"/>
      <c r="D97" s="467"/>
      <c r="E97" s="474"/>
      <c r="F97" s="467"/>
      <c r="G97" s="467"/>
      <c r="H97" s="467"/>
      <c r="I97" s="467"/>
      <c r="J97" s="467"/>
      <c r="K97" s="467"/>
    </row>
    <row r="98" spans="1:12" ht="13.15" customHeight="1">
      <c r="A98" s="463" t="s">
        <v>189</v>
      </c>
      <c r="B98" s="470">
        <v>1940</v>
      </c>
      <c r="C98" s="489">
        <v>43042</v>
      </c>
      <c r="D98" s="466"/>
      <c r="E98" s="512"/>
      <c r="F98" s="466"/>
      <c r="G98" s="512"/>
      <c r="H98" s="512"/>
      <c r="I98" s="510"/>
      <c r="J98" s="512"/>
      <c r="K98" s="512"/>
    </row>
    <row r="99" spans="1:12" ht="13.15" customHeight="1">
      <c r="A99" s="463" t="s">
        <v>821</v>
      </c>
      <c r="B99" s="470">
        <v>1950</v>
      </c>
      <c r="C99" s="489">
        <v>4261</v>
      </c>
      <c r="D99" s="466"/>
      <c r="E99" s="466"/>
      <c r="F99" s="466">
        <v>69</v>
      </c>
      <c r="G99" s="466"/>
      <c r="H99" s="466"/>
      <c r="I99" s="468"/>
      <c r="J99" s="467">
        <v>12</v>
      </c>
      <c r="K99" s="466"/>
    </row>
    <row r="100" spans="1:12" ht="13.15" customHeight="1">
      <c r="A100" s="463" t="s">
        <v>245</v>
      </c>
      <c r="B100" s="470">
        <v>1960</v>
      </c>
      <c r="C100" s="489">
        <v>289220</v>
      </c>
      <c r="D100" s="489"/>
      <c r="E100" s="489"/>
      <c r="F100" s="489"/>
      <c r="G100" s="489"/>
      <c r="H100" s="489"/>
      <c r="I100" s="467"/>
      <c r="J100" s="489"/>
      <c r="K100" s="467"/>
    </row>
    <row r="101" spans="1:12" ht="13.15" customHeight="1">
      <c r="A101" s="463" t="s">
        <v>246</v>
      </c>
      <c r="B101" s="470">
        <v>1970</v>
      </c>
      <c r="C101" s="489"/>
      <c r="D101" s="526"/>
      <c r="E101" s="480"/>
      <c r="F101" s="526"/>
      <c r="G101" s="475"/>
      <c r="H101" s="526"/>
      <c r="I101" s="468"/>
      <c r="J101" s="475"/>
      <c r="K101" s="475"/>
    </row>
    <row r="102" spans="1:12" ht="13.15" customHeight="1">
      <c r="A102" s="463" t="s">
        <v>247</v>
      </c>
      <c r="B102" s="470">
        <v>1980</v>
      </c>
      <c r="C102" s="489">
        <v>83041</v>
      </c>
      <c r="D102" s="489"/>
      <c r="E102" s="489"/>
      <c r="F102" s="489"/>
      <c r="G102" s="489"/>
      <c r="H102" s="489"/>
      <c r="I102" s="467"/>
      <c r="J102" s="489"/>
      <c r="K102" s="467"/>
    </row>
    <row r="103" spans="1:12" ht="13.15" customHeight="1">
      <c r="A103" s="463" t="s">
        <v>345</v>
      </c>
      <c r="B103" s="470">
        <v>1983</v>
      </c>
      <c r="C103" s="468"/>
      <c r="D103" s="468"/>
      <c r="E103" s="560">
        <v>959349</v>
      </c>
      <c r="F103" s="468"/>
      <c r="G103" s="468"/>
      <c r="H103" s="489">
        <v>484406</v>
      </c>
      <c r="I103" s="468"/>
      <c r="J103" s="510"/>
      <c r="K103" s="510"/>
    </row>
    <row r="104" spans="1:12" ht="13.15" customHeight="1">
      <c r="A104" s="463" t="s">
        <v>830</v>
      </c>
      <c r="B104" s="470">
        <v>1991</v>
      </c>
      <c r="C104" s="489">
        <v>113240</v>
      </c>
      <c r="D104" s="466"/>
      <c r="E104" s="481"/>
      <c r="F104" s="467"/>
      <c r="G104" s="467"/>
      <c r="H104" s="466"/>
      <c r="I104" s="468"/>
      <c r="J104" s="468"/>
      <c r="K104" s="468"/>
    </row>
    <row r="105" spans="1:12" ht="13.15" customHeight="1">
      <c r="A105" s="463" t="s">
        <v>822</v>
      </c>
      <c r="B105" s="470">
        <v>1992</v>
      </c>
      <c r="C105" s="466"/>
      <c r="D105" s="561"/>
      <c r="E105" s="468"/>
      <c r="F105" s="468"/>
      <c r="G105" s="468"/>
      <c r="H105" s="510"/>
      <c r="I105" s="468"/>
      <c r="J105" s="468"/>
      <c r="K105" s="468"/>
    </row>
    <row r="106" spans="1:12" ht="13.15" customHeight="1">
      <c r="A106" s="463" t="s">
        <v>1430</v>
      </c>
      <c r="B106" s="470">
        <v>1993</v>
      </c>
      <c r="C106" s="466"/>
      <c r="D106" s="489"/>
      <c r="E106" s="467"/>
      <c r="F106" s="467"/>
      <c r="G106" s="467"/>
      <c r="H106" s="467"/>
      <c r="I106" s="521"/>
      <c r="J106" s="467"/>
      <c r="K106" s="467"/>
    </row>
    <row r="107" spans="1:12" ht="13.15" customHeight="1">
      <c r="A107" s="463" t="s">
        <v>78</v>
      </c>
      <c r="B107" s="470">
        <v>1999</v>
      </c>
      <c r="C107" s="551">
        <v>2258</v>
      </c>
      <c r="D107" s="466">
        <v>102220</v>
      </c>
      <c r="E107" s="466"/>
      <c r="F107" s="466"/>
      <c r="G107" s="466">
        <v>131</v>
      </c>
      <c r="H107" s="466">
        <v>94861</v>
      </c>
      <c r="I107" s="466"/>
      <c r="J107" s="467"/>
      <c r="K107" s="466"/>
    </row>
    <row r="108" spans="1:12" ht="13.15" customHeight="1" thickBot="1">
      <c r="A108" s="1707" t="s">
        <v>487</v>
      </c>
      <c r="B108" s="1711"/>
      <c r="C108" s="1706">
        <f>SUM(C95:C107)</f>
        <v>655984</v>
      </c>
      <c r="D108" s="1706">
        <f t="shared" ref="D108:K108" si="3">SUM(D95:D107)</f>
        <v>135416</v>
      </c>
      <c r="E108" s="1706">
        <f t="shared" si="3"/>
        <v>959349</v>
      </c>
      <c r="F108" s="1706">
        <f t="shared" si="3"/>
        <v>69</v>
      </c>
      <c r="G108" s="1706">
        <f t="shared" si="3"/>
        <v>131</v>
      </c>
      <c r="H108" s="1706">
        <f t="shared" si="3"/>
        <v>579267</v>
      </c>
      <c r="I108" s="1706">
        <f t="shared" si="3"/>
        <v>0</v>
      </c>
      <c r="J108" s="1706">
        <f t="shared" si="3"/>
        <v>12</v>
      </c>
      <c r="K108" s="1687">
        <f t="shared" si="3"/>
        <v>0</v>
      </c>
    </row>
    <row r="109" spans="1:12" ht="14.25" thickTop="1" thickBot="1">
      <c r="A109" s="1712" t="s">
        <v>248</v>
      </c>
      <c r="B109" s="1713" t="s">
        <v>570</v>
      </c>
      <c r="C109" s="1714">
        <f t="shared" ref="C109:K109" si="4">SUM(C12,C18,C40,C63,C67,C75,C82,C93,C108,)</f>
        <v>10357330</v>
      </c>
      <c r="D109" s="1714">
        <f t="shared" si="4"/>
        <v>1921405</v>
      </c>
      <c r="E109" s="1714">
        <f t="shared" si="4"/>
        <v>3415367</v>
      </c>
      <c r="F109" s="1714">
        <f t="shared" si="4"/>
        <v>679360</v>
      </c>
      <c r="G109" s="1714">
        <f t="shared" si="4"/>
        <v>1486023</v>
      </c>
      <c r="H109" s="1714">
        <f t="shared" si="4"/>
        <v>589604</v>
      </c>
      <c r="I109" s="1714">
        <f t="shared" si="4"/>
        <v>263703</v>
      </c>
      <c r="J109" s="1714">
        <f t="shared" si="4"/>
        <v>912007</v>
      </c>
      <c r="K109" s="1701">
        <f t="shared" si="4"/>
        <v>3601</v>
      </c>
    </row>
    <row r="110" spans="1:12" ht="30" customHeight="1" thickTop="1">
      <c r="A110" s="1584" t="s">
        <v>346</v>
      </c>
      <c r="B110" s="1585"/>
      <c r="C110" s="1570"/>
      <c r="D110" s="1570"/>
      <c r="E110" s="1570"/>
      <c r="F110" s="1570"/>
      <c r="G110" s="1570"/>
      <c r="H110" s="1570"/>
      <c r="I110" s="1570"/>
      <c r="J110" s="1570"/>
      <c r="K110" s="1571"/>
    </row>
    <row r="111" spans="1:12" ht="13.15" customHeight="1">
      <c r="A111" s="493" t="s">
        <v>823</v>
      </c>
      <c r="B111" s="491">
        <v>2100</v>
      </c>
      <c r="C111" s="516"/>
      <c r="D111" s="481"/>
      <c r="E111" s="561"/>
      <c r="F111" s="481"/>
      <c r="G111" s="481"/>
      <c r="H111" s="561"/>
      <c r="I111" s="468"/>
      <c r="J111" s="468"/>
      <c r="K111" s="468"/>
    </row>
    <row r="112" spans="1:12" ht="13.15" customHeight="1">
      <c r="A112" s="463" t="s">
        <v>824</v>
      </c>
      <c r="B112" s="470">
        <v>2200</v>
      </c>
      <c r="C112" s="551"/>
      <c r="D112" s="466"/>
      <c r="E112" s="561"/>
      <c r="F112" s="466"/>
      <c r="G112" s="466"/>
      <c r="H112" s="561"/>
      <c r="I112" s="468"/>
      <c r="J112" s="468"/>
      <c r="K112" s="468"/>
      <c r="L112" s="552"/>
    </row>
    <row r="113" spans="1:11" ht="13.15" customHeight="1">
      <c r="A113" s="463" t="s">
        <v>28</v>
      </c>
      <c r="B113" s="470">
        <v>2300</v>
      </c>
      <c r="C113" s="551"/>
      <c r="D113" s="466"/>
      <c r="E113" s="561"/>
      <c r="F113" s="466"/>
      <c r="G113" s="466"/>
      <c r="H113" s="561"/>
      <c r="I113" s="468"/>
      <c r="J113" s="468"/>
      <c r="K113" s="468"/>
    </row>
    <row r="114" spans="1:11" ht="13.5" thickBot="1">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c r="A115" s="1586" t="s">
        <v>803</v>
      </c>
      <c r="B115" s="1587"/>
      <c r="C115" s="1569"/>
      <c r="D115" s="1570"/>
      <c r="E115" s="1570"/>
      <c r="F115" s="1570"/>
      <c r="G115" s="1570"/>
      <c r="H115" s="1570"/>
      <c r="I115" s="1570"/>
      <c r="J115" s="1570"/>
      <c r="K115" s="1571"/>
    </row>
    <row r="116" spans="1:11" ht="18" customHeight="1">
      <c r="A116" s="1594" t="s">
        <v>1491</v>
      </c>
      <c r="B116" s="1595"/>
      <c r="C116" s="522"/>
      <c r="D116" s="521"/>
      <c r="E116" s="561"/>
      <c r="F116" s="521"/>
      <c r="G116" s="521"/>
      <c r="H116" s="561"/>
      <c r="I116" s="468"/>
      <c r="J116" s="521"/>
      <c r="K116" s="521"/>
    </row>
    <row r="117" spans="1:11" ht="13.15" customHeight="1">
      <c r="A117" s="463" t="s">
        <v>1667</v>
      </c>
      <c r="B117" s="562">
        <v>3001</v>
      </c>
      <c r="C117" s="516">
        <v>12309593</v>
      </c>
      <c r="D117" s="481"/>
      <c r="E117" s="466"/>
      <c r="F117" s="481"/>
      <c r="G117" s="481"/>
      <c r="H117" s="466"/>
      <c r="I117" s="468"/>
      <c r="J117" s="467"/>
      <c r="K117" s="466"/>
    </row>
    <row r="118" spans="1:11" ht="13.15" customHeight="1">
      <c r="A118" s="463" t="s">
        <v>1796</v>
      </c>
      <c r="B118" s="562">
        <v>3002</v>
      </c>
      <c r="C118" s="551"/>
      <c r="D118" s="466"/>
      <c r="E118" s="466"/>
      <c r="F118" s="466"/>
      <c r="G118" s="466"/>
      <c r="H118" s="466"/>
      <c r="I118" s="468"/>
      <c r="J118" s="467"/>
      <c r="K118" s="466"/>
    </row>
    <row r="119" spans="1:11" ht="13.15" customHeight="1">
      <c r="A119" s="463" t="s">
        <v>1797</v>
      </c>
      <c r="B119" s="562">
        <v>3005</v>
      </c>
      <c r="C119" s="551"/>
      <c r="D119" s="466"/>
      <c r="E119" s="466"/>
      <c r="F119" s="466"/>
      <c r="G119" s="466"/>
      <c r="H119" s="466"/>
      <c r="I119" s="468"/>
      <c r="J119" s="467"/>
      <c r="K119" s="466"/>
    </row>
    <row r="120" spans="1:11" ht="13.15" customHeight="1">
      <c r="A120" s="1930" t="s">
        <v>1933</v>
      </c>
      <c r="B120" s="562">
        <v>3030</v>
      </c>
      <c r="C120" s="551"/>
      <c r="D120" s="466"/>
      <c r="E120" s="466"/>
      <c r="F120" s="466"/>
      <c r="G120" s="466"/>
      <c r="H120" s="466"/>
      <c r="I120" s="468"/>
      <c r="J120" s="467"/>
      <c r="K120" s="466"/>
    </row>
    <row r="121" spans="1:11">
      <c r="A121" s="1495" t="s">
        <v>1798</v>
      </c>
      <c r="B121" s="564">
        <v>3099</v>
      </c>
      <c r="C121" s="551"/>
      <c r="D121" s="466"/>
      <c r="E121" s="466"/>
      <c r="F121" s="466"/>
      <c r="G121" s="466"/>
      <c r="H121" s="466"/>
      <c r="I121" s="468"/>
      <c r="J121" s="467"/>
      <c r="K121" s="466"/>
    </row>
    <row r="122" spans="1:11" ht="13.15" customHeight="1" thickBot="1">
      <c r="A122" s="1707" t="s">
        <v>488</v>
      </c>
      <c r="B122" s="1718"/>
      <c r="C122" s="1706">
        <f t="shared" ref="C122:H122" si="5">SUM(C117:C121)</f>
        <v>12309593</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c r="A123" s="1591" t="s">
        <v>1490</v>
      </c>
      <c r="B123" s="1596"/>
      <c r="C123" s="565"/>
      <c r="D123" s="509"/>
      <c r="E123" s="468"/>
      <c r="F123" s="566"/>
      <c r="G123" s="468"/>
      <c r="H123" s="468"/>
      <c r="I123" s="468"/>
      <c r="J123" s="468"/>
      <c r="K123" s="468"/>
    </row>
    <row r="124" spans="1:11" ht="15" customHeight="1">
      <c r="A124" s="1597" t="s">
        <v>667</v>
      </c>
      <c r="B124" s="1598"/>
      <c r="C124" s="521"/>
      <c r="D124" s="509"/>
      <c r="E124" s="468"/>
      <c r="F124" s="521"/>
      <c r="G124" s="468"/>
      <c r="H124" s="468"/>
      <c r="I124" s="468"/>
      <c r="J124" s="468"/>
      <c r="K124" s="468"/>
    </row>
    <row r="125" spans="1:11" ht="13.15" customHeight="1">
      <c r="A125" s="463" t="s">
        <v>866</v>
      </c>
      <c r="B125" s="567">
        <v>3100</v>
      </c>
      <c r="C125" s="481">
        <v>35413</v>
      </c>
      <c r="D125" s="561"/>
      <c r="E125" s="468"/>
      <c r="F125" s="548"/>
      <c r="G125" s="468"/>
      <c r="H125" s="468"/>
      <c r="I125" s="468"/>
      <c r="J125" s="468"/>
      <c r="K125" s="468"/>
    </row>
    <row r="126" spans="1:11" ht="13.15" customHeight="1">
      <c r="A126" s="463" t="s">
        <v>1446</v>
      </c>
      <c r="B126" s="562">
        <v>3105</v>
      </c>
      <c r="C126" s="466"/>
      <c r="D126" s="561"/>
      <c r="E126" s="468"/>
      <c r="F126" s="466"/>
      <c r="G126" s="468"/>
      <c r="H126" s="468"/>
      <c r="I126" s="468"/>
      <c r="J126" s="468"/>
      <c r="K126" s="468"/>
    </row>
    <row r="127" spans="1:11" ht="13.15" customHeight="1">
      <c r="A127" s="463" t="s">
        <v>867</v>
      </c>
      <c r="B127" s="562">
        <v>3110</v>
      </c>
      <c r="C127" s="551"/>
      <c r="D127" s="466"/>
      <c r="E127" s="468"/>
      <c r="F127" s="466"/>
      <c r="G127" s="468"/>
      <c r="H127" s="468"/>
      <c r="I127" s="468"/>
      <c r="J127" s="468"/>
      <c r="K127" s="468"/>
    </row>
    <row r="128" spans="1:11" ht="13.15" customHeight="1">
      <c r="A128" s="463" t="s">
        <v>105</v>
      </c>
      <c r="B128" s="562">
        <v>3120</v>
      </c>
      <c r="C128" s="466">
        <v>6180</v>
      </c>
      <c r="D128" s="561"/>
      <c r="E128" s="468"/>
      <c r="F128" s="466"/>
      <c r="G128" s="468"/>
      <c r="H128" s="468"/>
      <c r="I128" s="468"/>
      <c r="J128" s="468"/>
      <c r="K128" s="468"/>
    </row>
    <row r="129" spans="1:11" ht="13.15" customHeight="1">
      <c r="A129" s="463" t="s">
        <v>1447</v>
      </c>
      <c r="B129" s="562">
        <v>3130</v>
      </c>
      <c r="C129" s="466"/>
      <c r="D129" s="561"/>
      <c r="E129" s="468"/>
      <c r="F129" s="466"/>
      <c r="G129" s="468"/>
      <c r="H129" s="468"/>
      <c r="I129" s="468"/>
      <c r="J129" s="468"/>
      <c r="K129" s="468"/>
    </row>
    <row r="130" spans="1:11" ht="13.15" customHeight="1">
      <c r="A130" s="463" t="s">
        <v>137</v>
      </c>
      <c r="B130" s="562">
        <v>3145</v>
      </c>
      <c r="C130" s="466"/>
      <c r="D130" s="561"/>
      <c r="E130" s="468"/>
      <c r="F130" s="466"/>
      <c r="G130" s="468"/>
      <c r="H130" s="468"/>
      <c r="I130" s="468"/>
      <c r="J130" s="468"/>
      <c r="K130" s="468"/>
    </row>
    <row r="131" spans="1:11" ht="13.15" customHeight="1">
      <c r="A131" s="463" t="s">
        <v>66</v>
      </c>
      <c r="B131" s="562">
        <v>3199</v>
      </c>
      <c r="C131" s="551"/>
      <c r="D131" s="467"/>
      <c r="E131" s="468"/>
      <c r="F131" s="466"/>
      <c r="G131" s="468"/>
      <c r="H131" s="468"/>
      <c r="I131" s="468"/>
      <c r="J131" s="468"/>
      <c r="K131" s="468"/>
    </row>
    <row r="132" spans="1:11" ht="13.15" customHeight="1" thickBot="1">
      <c r="A132" s="1707" t="s">
        <v>1032</v>
      </c>
      <c r="B132" s="1719"/>
      <c r="C132" s="1706">
        <f>SUM(C125:C131)</f>
        <v>41593</v>
      </c>
      <c r="D132" s="1706">
        <f>SUM(D125:D131)</f>
        <v>0</v>
      </c>
      <c r="E132" s="469" t="s">
        <v>1169</v>
      </c>
      <c r="F132" s="1706">
        <f>SUM(F125:F131)</f>
        <v>0</v>
      </c>
      <c r="G132" s="468" t="s">
        <v>1169</v>
      </c>
      <c r="H132" s="468" t="s">
        <v>1169</v>
      </c>
      <c r="I132" s="468" t="s">
        <v>1169</v>
      </c>
      <c r="J132" s="468" t="s">
        <v>1169</v>
      </c>
      <c r="K132" s="468" t="s">
        <v>1169</v>
      </c>
    </row>
    <row r="133" spans="1:11" ht="15.75" customHeight="1" thickTop="1">
      <c r="A133" s="1599" t="s">
        <v>250</v>
      </c>
      <c r="B133" s="1600"/>
      <c r="C133" s="553"/>
      <c r="D133" s="553"/>
      <c r="E133" s="509"/>
      <c r="F133" s="553"/>
      <c r="G133" s="468"/>
      <c r="H133" s="468"/>
      <c r="I133" s="468"/>
      <c r="J133" s="468"/>
      <c r="K133" s="468"/>
    </row>
    <row r="134" spans="1:11">
      <c r="A134" s="463" t="s">
        <v>599</v>
      </c>
      <c r="B134" s="562">
        <v>3200</v>
      </c>
      <c r="C134" s="551"/>
      <c r="D134" s="466"/>
      <c r="E134" s="561"/>
      <c r="F134" s="468"/>
      <c r="G134" s="466"/>
      <c r="H134" s="468"/>
      <c r="I134" s="468"/>
      <c r="J134" s="468"/>
      <c r="K134" s="468"/>
    </row>
    <row r="135" spans="1:11" ht="13.15" customHeight="1">
      <c r="A135" s="463" t="s">
        <v>669</v>
      </c>
      <c r="B135" s="562">
        <v>3220</v>
      </c>
      <c r="C135" s="551"/>
      <c r="D135" s="466"/>
      <c r="E135" s="561"/>
      <c r="F135" s="468"/>
      <c r="G135" s="467"/>
      <c r="H135" s="468"/>
      <c r="I135" s="468"/>
      <c r="J135" s="468"/>
      <c r="K135" s="468"/>
    </row>
    <row r="136" spans="1:11" ht="13.15" customHeight="1">
      <c r="A136" s="463" t="s">
        <v>249</v>
      </c>
      <c r="B136" s="562">
        <v>3225</v>
      </c>
      <c r="C136" s="551"/>
      <c r="D136" s="466"/>
      <c r="E136" s="561"/>
      <c r="F136" s="468"/>
      <c r="G136" s="467"/>
      <c r="H136" s="468"/>
      <c r="I136" s="468"/>
      <c r="J136" s="468"/>
      <c r="K136" s="468"/>
    </row>
    <row r="137" spans="1:11" ht="13.15" customHeight="1">
      <c r="A137" s="463" t="s">
        <v>600</v>
      </c>
      <c r="B137" s="562">
        <v>3235</v>
      </c>
      <c r="C137" s="489"/>
      <c r="D137" s="467"/>
      <c r="E137" s="561"/>
      <c r="F137" s="468"/>
      <c r="G137" s="467"/>
      <c r="H137" s="468"/>
      <c r="I137" s="468"/>
      <c r="J137" s="468"/>
      <c r="K137" s="468"/>
    </row>
    <row r="138" spans="1:11" ht="13.15" customHeight="1">
      <c r="A138" s="463" t="s">
        <v>601</v>
      </c>
      <c r="B138" s="562">
        <v>3240</v>
      </c>
      <c r="C138" s="489"/>
      <c r="D138" s="467"/>
      <c r="E138" s="561"/>
      <c r="F138" s="468"/>
      <c r="G138" s="467"/>
      <c r="H138" s="468"/>
      <c r="I138" s="468"/>
      <c r="J138" s="468"/>
      <c r="K138" s="468"/>
    </row>
    <row r="139" spans="1:11" ht="13.15" customHeight="1">
      <c r="A139" s="463" t="s">
        <v>602</v>
      </c>
      <c r="B139" s="562">
        <v>3270</v>
      </c>
      <c r="C139" s="489"/>
      <c r="D139" s="467"/>
      <c r="E139" s="561"/>
      <c r="F139" s="468"/>
      <c r="G139" s="467"/>
      <c r="H139" s="468"/>
      <c r="I139" s="468"/>
      <c r="J139" s="468"/>
      <c r="K139" s="468"/>
    </row>
    <row r="140" spans="1:11" ht="13.15" customHeight="1">
      <c r="A140" s="463" t="s">
        <v>67</v>
      </c>
      <c r="B140" s="562">
        <v>3299</v>
      </c>
      <c r="C140" s="551"/>
      <c r="D140" s="466"/>
      <c r="E140" s="561"/>
      <c r="F140" s="477"/>
      <c r="G140" s="467"/>
      <c r="H140" s="468"/>
      <c r="I140" s="468"/>
      <c r="J140" s="468"/>
      <c r="K140" s="468"/>
    </row>
    <row r="141" spans="1:11" ht="13.15" customHeight="1" thickBot="1">
      <c r="A141" s="1707" t="s">
        <v>603</v>
      </c>
      <c r="B141" s="1719"/>
      <c r="C141" s="1706">
        <f>SUM(C134:C140)</f>
        <v>0</v>
      </c>
      <c r="D141" s="1706">
        <f>SUM(D134:D140)</f>
        <v>0</v>
      </c>
      <c r="E141" s="561" t="s">
        <v>1169</v>
      </c>
      <c r="F141" s="477"/>
      <c r="G141" s="1706">
        <f>SUM(G134:G140)</f>
        <v>0</v>
      </c>
      <c r="H141" s="468" t="s">
        <v>1169</v>
      </c>
      <c r="I141" s="468" t="s">
        <v>1169</v>
      </c>
      <c r="J141" s="468" t="s">
        <v>1169</v>
      </c>
      <c r="K141" s="468" t="s">
        <v>1169</v>
      </c>
    </row>
    <row r="142" spans="1:11" ht="15.75" customHeight="1" thickTop="1">
      <c r="A142" s="1599" t="s">
        <v>670</v>
      </c>
      <c r="B142" s="1600"/>
      <c r="C142" s="553"/>
      <c r="D142" s="566"/>
      <c r="E142" s="561"/>
      <c r="F142" s="553"/>
      <c r="G142" s="553"/>
      <c r="H142" s="468"/>
      <c r="I142" s="468"/>
      <c r="J142" s="468"/>
      <c r="K142" s="468"/>
    </row>
    <row r="143" spans="1:11" ht="13.15" customHeight="1">
      <c r="A143" s="463" t="s">
        <v>604</v>
      </c>
      <c r="B143" s="562">
        <v>3305</v>
      </c>
      <c r="C143" s="466"/>
      <c r="D143" s="468"/>
      <c r="E143" s="561"/>
      <c r="F143" s="468"/>
      <c r="G143" s="466"/>
      <c r="H143" s="468"/>
      <c r="I143" s="468"/>
      <c r="J143" s="468"/>
      <c r="K143" s="468"/>
    </row>
    <row r="144" spans="1:11" ht="13.15" customHeight="1">
      <c r="A144" s="463" t="s">
        <v>347</v>
      </c>
      <c r="B144" s="562">
        <v>3310</v>
      </c>
      <c r="C144" s="551"/>
      <c r="D144" s="468"/>
      <c r="E144" s="561"/>
      <c r="F144" s="468"/>
      <c r="G144" s="466"/>
      <c r="H144" s="468"/>
      <c r="I144" s="468"/>
      <c r="J144" s="468"/>
      <c r="K144" s="468"/>
    </row>
    <row r="145" spans="1:11" s="202" customFormat="1" ht="13.5" thickBot="1">
      <c r="A145" s="1707" t="s">
        <v>396</v>
      </c>
      <c r="B145" s="1719"/>
      <c r="C145" s="1687">
        <f>SUM(C143:C144)</f>
        <v>0</v>
      </c>
      <c r="D145" s="468"/>
      <c r="E145" s="509"/>
      <c r="F145" s="468"/>
      <c r="G145" s="1720">
        <f>SUM(G143:G144)</f>
        <v>0</v>
      </c>
      <c r="H145" s="468"/>
      <c r="I145" s="468"/>
      <c r="J145" s="468"/>
      <c r="K145" s="468"/>
    </row>
    <row r="146" spans="1:11" s="202" customFormat="1" ht="13.15" customHeight="1" thickTop="1">
      <c r="A146" s="1497" t="s">
        <v>1056</v>
      </c>
      <c r="B146" s="568">
        <v>3360</v>
      </c>
      <c r="C146" s="569">
        <v>36180</v>
      </c>
      <c r="D146" s="570"/>
      <c r="E146" s="509"/>
      <c r="F146" s="468"/>
      <c r="G146" s="571"/>
      <c r="H146" s="468"/>
      <c r="I146" s="468"/>
      <c r="J146" s="468"/>
      <c r="K146" s="468"/>
    </row>
    <row r="147" spans="1:11" ht="13.15" customHeight="1" thickBot="1">
      <c r="A147" s="1498" t="s">
        <v>922</v>
      </c>
      <c r="B147" s="572">
        <v>3365</v>
      </c>
      <c r="C147" s="573"/>
      <c r="D147" s="532"/>
      <c r="E147" s="561"/>
      <c r="F147" s="468"/>
      <c r="G147" s="532"/>
      <c r="H147" s="468"/>
      <c r="I147" s="468"/>
      <c r="J147" s="468"/>
      <c r="K147" s="468"/>
    </row>
    <row r="148" spans="1:11" ht="13.15" customHeight="1" thickTop="1" thickBot="1">
      <c r="A148" s="1499" t="s">
        <v>138</v>
      </c>
      <c r="B148" s="574">
        <v>3370</v>
      </c>
      <c r="C148" s="573"/>
      <c r="D148" s="573"/>
      <c r="E148" s="509"/>
      <c r="F148" s="468"/>
      <c r="G148" s="468"/>
      <c r="H148" s="468"/>
      <c r="I148" s="468"/>
      <c r="J148" s="468"/>
      <c r="K148" s="468"/>
    </row>
    <row r="149" spans="1:11" ht="13.15" customHeight="1" thickTop="1" thickBot="1">
      <c r="A149" s="1499" t="s">
        <v>767</v>
      </c>
      <c r="B149" s="574">
        <v>3410</v>
      </c>
      <c r="C149" s="575"/>
      <c r="D149" s="576"/>
      <c r="E149" s="577"/>
      <c r="F149" s="530"/>
      <c r="G149" s="530"/>
      <c r="H149" s="530"/>
      <c r="I149" s="530"/>
      <c r="J149" s="530"/>
      <c r="K149" s="530"/>
    </row>
    <row r="150" spans="1:11" ht="13.15" customHeight="1" thickTop="1" thickBot="1">
      <c r="A150" s="1499" t="s">
        <v>68</v>
      </c>
      <c r="B150" s="574">
        <v>3499</v>
      </c>
      <c r="C150" s="575"/>
      <c r="D150" s="576"/>
      <c r="E150" s="532"/>
      <c r="F150" s="532"/>
      <c r="G150" s="532"/>
      <c r="H150" s="532"/>
      <c r="I150" s="532"/>
      <c r="J150" s="532"/>
      <c r="K150" s="532"/>
    </row>
    <row r="151" spans="1:11" ht="15.75" customHeight="1" thickTop="1">
      <c r="A151" s="1599" t="s">
        <v>453</v>
      </c>
      <c r="B151" s="1601"/>
      <c r="C151" s="553"/>
      <c r="D151" s="468"/>
      <c r="E151" s="561"/>
      <c r="F151" s="468"/>
      <c r="G151" s="468"/>
      <c r="H151" s="468"/>
      <c r="I151" s="468"/>
      <c r="J151" s="468"/>
      <c r="K151" s="468"/>
    </row>
    <row r="152" spans="1:11" ht="13.15" customHeight="1">
      <c r="A152" s="463" t="s">
        <v>1448</v>
      </c>
      <c r="B152" s="562">
        <v>3500</v>
      </c>
      <c r="C152" s="551"/>
      <c r="D152" s="466"/>
      <c r="E152" s="561"/>
      <c r="F152" s="466">
        <v>386956</v>
      </c>
      <c r="G152" s="467"/>
      <c r="H152" s="468"/>
      <c r="I152" s="468"/>
      <c r="J152" s="468"/>
      <c r="K152" s="468"/>
    </row>
    <row r="153" spans="1:11" ht="13.15" customHeight="1">
      <c r="A153" s="463" t="s">
        <v>1057</v>
      </c>
      <c r="B153" s="562">
        <v>3510</v>
      </c>
      <c r="C153" s="551"/>
      <c r="D153" s="466"/>
      <c r="E153" s="561"/>
      <c r="F153" s="466">
        <v>267579</v>
      </c>
      <c r="G153" s="467"/>
      <c r="H153" s="468"/>
      <c r="I153" s="468"/>
      <c r="J153" s="468"/>
      <c r="K153" s="468"/>
    </row>
    <row r="154" spans="1:11" ht="13.15" customHeight="1">
      <c r="A154" s="463" t="s">
        <v>69</v>
      </c>
      <c r="B154" s="562">
        <v>3599</v>
      </c>
      <c r="C154" s="551"/>
      <c r="D154" s="466"/>
      <c r="E154" s="561"/>
      <c r="F154" s="466"/>
      <c r="G154" s="467"/>
      <c r="H154" s="468"/>
      <c r="I154" s="468"/>
      <c r="J154" s="468"/>
      <c r="K154" s="468"/>
    </row>
    <row r="155" spans="1:11" ht="13.15" customHeight="1" thickBot="1">
      <c r="A155" s="1707" t="s">
        <v>94</v>
      </c>
      <c r="B155" s="1719"/>
      <c r="C155" s="1706">
        <f>SUM(C152:C154)</f>
        <v>0</v>
      </c>
      <c r="D155" s="1706">
        <f>SUM(D152:D154)</f>
        <v>0</v>
      </c>
      <c r="E155" s="561"/>
      <c r="F155" s="1706">
        <f>SUM(F152:F154)</f>
        <v>654535</v>
      </c>
      <c r="G155" s="1706">
        <f>SUM(G152:G154)</f>
        <v>0</v>
      </c>
      <c r="H155" s="468"/>
      <c r="I155" s="468"/>
      <c r="J155" s="468"/>
      <c r="K155" s="468"/>
    </row>
    <row r="156" spans="1:11" ht="13.15" customHeight="1" thickTop="1" thickBot="1">
      <c r="A156" s="1499" t="s">
        <v>380</v>
      </c>
      <c r="B156" s="574">
        <v>3610</v>
      </c>
      <c r="C156" s="576"/>
      <c r="D156" s="468"/>
      <c r="E156" s="509"/>
      <c r="F156" s="468"/>
      <c r="G156" s="468"/>
      <c r="H156" s="468"/>
      <c r="I156" s="468"/>
      <c r="J156" s="468"/>
      <c r="K156" s="468"/>
    </row>
    <row r="157" spans="1:11" ht="13.15" customHeight="1" thickTop="1" thickBot="1">
      <c r="A157" s="1499" t="s">
        <v>50</v>
      </c>
      <c r="B157" s="574">
        <v>3660</v>
      </c>
      <c r="C157" s="573"/>
      <c r="D157" s="578"/>
      <c r="E157" s="561"/>
      <c r="F157" s="578"/>
      <c r="G157" s="578"/>
      <c r="H157" s="468"/>
      <c r="I157" s="468"/>
      <c r="J157" s="468"/>
      <c r="K157" s="468"/>
    </row>
    <row r="158" spans="1:11" ht="13.15" customHeight="1" thickTop="1" thickBot="1">
      <c r="A158" s="1499" t="s">
        <v>1000</v>
      </c>
      <c r="B158" s="574">
        <v>3695</v>
      </c>
      <c r="C158" s="576"/>
      <c r="D158" s="468"/>
      <c r="E158" s="561"/>
      <c r="F158" s="576"/>
      <c r="G158" s="576"/>
      <c r="H158" s="468"/>
      <c r="I158" s="468"/>
      <c r="J158" s="468"/>
      <c r="K158" s="468"/>
    </row>
    <row r="159" spans="1:11" ht="13.15" customHeight="1" thickTop="1" thickBot="1">
      <c r="A159" s="1499" t="s">
        <v>1051</v>
      </c>
      <c r="B159" s="574">
        <v>3705</v>
      </c>
      <c r="C159" s="576">
        <v>632004</v>
      </c>
      <c r="D159" s="578"/>
      <c r="E159" s="561"/>
      <c r="F159" s="576">
        <v>96904</v>
      </c>
      <c r="G159" s="576"/>
      <c r="H159" s="468"/>
      <c r="I159" s="468"/>
      <c r="J159" s="468"/>
      <c r="K159" s="468"/>
    </row>
    <row r="160" spans="1:11" ht="13.15" customHeight="1" thickTop="1" thickBot="1">
      <c r="A160" s="1499" t="s">
        <v>39</v>
      </c>
      <c r="B160" s="574">
        <v>3766</v>
      </c>
      <c r="C160" s="576"/>
      <c r="D160" s="578"/>
      <c r="E160" s="561"/>
      <c r="F160" s="576"/>
      <c r="G160" s="531"/>
      <c r="H160" s="468"/>
      <c r="I160" s="468"/>
      <c r="J160" s="468"/>
      <c r="K160" s="468"/>
    </row>
    <row r="161" spans="1:11" ht="13.15" customHeight="1" thickTop="1" thickBot="1">
      <c r="A161" s="1499" t="s">
        <v>985</v>
      </c>
      <c r="B161" s="574">
        <v>3767</v>
      </c>
      <c r="C161" s="576"/>
      <c r="D161" s="531"/>
      <c r="E161" s="561"/>
      <c r="F161" s="531"/>
      <c r="G161" s="531"/>
      <c r="H161" s="468"/>
      <c r="I161" s="468"/>
      <c r="J161" s="468"/>
      <c r="K161" s="468"/>
    </row>
    <row r="162" spans="1:11" ht="13.15" customHeight="1" thickTop="1" thickBot="1">
      <c r="A162" s="1499" t="s">
        <v>986</v>
      </c>
      <c r="B162" s="574">
        <v>3775</v>
      </c>
      <c r="C162" s="576"/>
      <c r="D162" s="573"/>
      <c r="E162" s="530"/>
      <c r="F162" s="573"/>
      <c r="G162" s="532"/>
      <c r="H162" s="530"/>
      <c r="I162" s="468"/>
      <c r="J162" s="468"/>
      <c r="K162" s="530"/>
    </row>
    <row r="163" spans="1:11" ht="13.15" customHeight="1" thickTop="1" thickBot="1">
      <c r="A163" s="1499" t="s">
        <v>1449</v>
      </c>
      <c r="B163" s="574">
        <v>3780</v>
      </c>
      <c r="C163" s="531"/>
      <c r="D163" s="530"/>
      <c r="E163" s="531"/>
      <c r="F163" s="531"/>
      <c r="G163" s="531"/>
      <c r="H163" s="531"/>
      <c r="I163" s="468"/>
      <c r="J163" s="468"/>
      <c r="K163" s="531"/>
    </row>
    <row r="164" spans="1:11" ht="13.15" customHeight="1" thickTop="1" thickBot="1">
      <c r="A164" s="1499" t="s">
        <v>858</v>
      </c>
      <c r="B164" s="574">
        <v>3815</v>
      </c>
      <c r="C164" s="576"/>
      <c r="D164" s="468"/>
      <c r="E164" s="561"/>
      <c r="F164" s="576"/>
      <c r="G164" s="468"/>
      <c r="H164" s="468"/>
      <c r="I164" s="468"/>
      <c r="J164" s="468"/>
      <c r="K164" s="468"/>
    </row>
    <row r="165" spans="1:11" ht="13.15" customHeight="1" thickTop="1" thickBot="1">
      <c r="A165" s="1499" t="s">
        <v>397</v>
      </c>
      <c r="B165" s="574">
        <v>3825</v>
      </c>
      <c r="C165" s="576"/>
      <c r="D165" s="468"/>
      <c r="E165" s="561"/>
      <c r="F165" s="576"/>
      <c r="G165" s="468"/>
      <c r="H165" s="468"/>
      <c r="I165" s="468"/>
      <c r="J165" s="468"/>
      <c r="K165" s="468"/>
    </row>
    <row r="166" spans="1:11" ht="13.15" customHeight="1" thickTop="1" thickBot="1">
      <c r="A166" s="1499" t="s">
        <v>348</v>
      </c>
      <c r="B166" s="574">
        <v>3920</v>
      </c>
      <c r="C166" s="566"/>
      <c r="D166" s="578"/>
      <c r="E166" s="468"/>
      <c r="F166" s="566"/>
      <c r="G166" s="468"/>
      <c r="H166" s="530"/>
      <c r="I166" s="468"/>
      <c r="J166" s="468"/>
      <c r="K166" s="468"/>
    </row>
    <row r="167" spans="1:11" ht="13.15" customHeight="1" thickTop="1" thickBot="1">
      <c r="A167" s="1499" t="s">
        <v>349</v>
      </c>
      <c r="B167" s="574">
        <v>3925</v>
      </c>
      <c r="C167" s="521"/>
      <c r="D167" s="576"/>
      <c r="E167" s="521"/>
      <c r="F167" s="521"/>
      <c r="G167" s="468"/>
      <c r="H167" s="531"/>
      <c r="I167" s="468"/>
      <c r="J167" s="468"/>
      <c r="K167" s="530"/>
    </row>
    <row r="168" spans="1:11" ht="14.25" thickTop="1" thickBot="1">
      <c r="A168" s="1499" t="s">
        <v>70</v>
      </c>
      <c r="B168" s="574">
        <v>3999</v>
      </c>
      <c r="C168" s="579">
        <v>37500</v>
      </c>
      <c r="D168" s="580"/>
      <c r="E168" s="580"/>
      <c r="F168" s="580"/>
      <c r="G168" s="581"/>
      <c r="H168" s="582"/>
      <c r="I168" s="581"/>
      <c r="J168" s="581"/>
      <c r="K168" s="582"/>
    </row>
    <row r="169" spans="1:11" ht="13.15" customHeight="1" thickTop="1" thickBot="1">
      <c r="A169" s="2201" t="s">
        <v>398</v>
      </c>
      <c r="B169" s="2202"/>
      <c r="C169" s="1721">
        <f t="shared" ref="C169:K169" si="6">SUM(C132,C141,C145,C146:C150,C155,C156:C167,C168)</f>
        <v>747277</v>
      </c>
      <c r="D169" s="1721">
        <f t="shared" si="6"/>
        <v>0</v>
      </c>
      <c r="E169" s="1721">
        <f t="shared" si="6"/>
        <v>0</v>
      </c>
      <c r="F169" s="1721">
        <f t="shared" si="6"/>
        <v>751439</v>
      </c>
      <c r="G169" s="1721">
        <f t="shared" si="6"/>
        <v>0</v>
      </c>
      <c r="H169" s="1721">
        <f t="shared" si="6"/>
        <v>0</v>
      </c>
      <c r="I169" s="1721">
        <f t="shared" si="6"/>
        <v>0</v>
      </c>
      <c r="J169" s="1721">
        <f t="shared" si="6"/>
        <v>0</v>
      </c>
      <c r="K169" s="1702">
        <f t="shared" si="6"/>
        <v>0</v>
      </c>
    </row>
    <row r="170" spans="1:11" ht="13.15" customHeight="1" thickTop="1" thickBot="1">
      <c r="A170" s="1707" t="s">
        <v>399</v>
      </c>
      <c r="B170" s="1713" t="s">
        <v>575</v>
      </c>
      <c r="C170" s="1714">
        <f t="shared" ref="C170:K170" si="7">SUM(C122,C169)</f>
        <v>13056870</v>
      </c>
      <c r="D170" s="1714">
        <f t="shared" si="7"/>
        <v>0</v>
      </c>
      <c r="E170" s="1714">
        <f t="shared" si="7"/>
        <v>0</v>
      </c>
      <c r="F170" s="1714">
        <f t="shared" si="7"/>
        <v>751439</v>
      </c>
      <c r="G170" s="1714">
        <f t="shared" si="7"/>
        <v>0</v>
      </c>
      <c r="H170" s="1714">
        <f t="shared" si="7"/>
        <v>0</v>
      </c>
      <c r="I170" s="1714">
        <f t="shared" si="7"/>
        <v>0</v>
      </c>
      <c r="J170" s="1714">
        <f t="shared" si="7"/>
        <v>0</v>
      </c>
      <c r="K170" s="1701">
        <f t="shared" si="7"/>
        <v>0</v>
      </c>
    </row>
    <row r="171" spans="1:11" ht="16.7" customHeight="1" thickTop="1">
      <c r="A171" s="1588" t="s">
        <v>804</v>
      </c>
      <c r="B171" s="1566"/>
      <c r="C171" s="1569"/>
      <c r="D171" s="1570"/>
      <c r="E171" s="1570"/>
      <c r="F171" s="1570"/>
      <c r="G171" s="1570"/>
      <c r="H171" s="1570"/>
      <c r="I171" s="1570"/>
      <c r="J171" s="1570"/>
      <c r="K171" s="1571"/>
    </row>
    <row r="172" spans="1:11" ht="15.75" customHeight="1">
      <c r="A172" s="2203" t="s">
        <v>1492</v>
      </c>
      <c r="B172" s="2204"/>
      <c r="C172" s="520"/>
      <c r="D172" s="520"/>
      <c r="E172" s="509"/>
      <c r="F172" s="468"/>
      <c r="G172" s="468"/>
      <c r="H172" s="468"/>
      <c r="I172" s="468"/>
      <c r="J172" s="468"/>
      <c r="K172" s="468"/>
    </row>
    <row r="173" spans="1:11" ht="13.15" customHeight="1">
      <c r="A173" s="493" t="s">
        <v>1044</v>
      </c>
      <c r="B173" s="491">
        <v>4001</v>
      </c>
      <c r="C173" s="516"/>
      <c r="D173" s="481"/>
      <c r="E173" s="467"/>
      <c r="F173" s="466"/>
      <c r="G173" s="466"/>
      <c r="H173" s="467"/>
      <c r="I173" s="467"/>
      <c r="J173" s="467"/>
      <c r="K173" s="467"/>
    </row>
    <row r="174" spans="1:11" ht="22.5">
      <c r="A174" s="563" t="s">
        <v>805</v>
      </c>
      <c r="B174" s="583">
        <v>4009</v>
      </c>
      <c r="C174" s="551"/>
      <c r="D174" s="466"/>
      <c r="E174" s="467"/>
      <c r="F174" s="466"/>
      <c r="G174" s="466"/>
      <c r="H174" s="467"/>
      <c r="I174" s="467"/>
      <c r="J174" s="467"/>
      <c r="K174" s="467"/>
    </row>
    <row r="175" spans="1:11" ht="13.5" thickBot="1">
      <c r="A175" s="2207" t="s">
        <v>1665</v>
      </c>
      <c r="B175" s="2208"/>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c r="A176" s="2211" t="s">
        <v>1664</v>
      </c>
      <c r="B176" s="2212"/>
      <c r="C176" s="598"/>
      <c r="D176" s="599"/>
      <c r="E176" s="600"/>
      <c r="F176" s="601"/>
      <c r="G176" s="601"/>
      <c r="H176" s="601"/>
      <c r="I176" s="601"/>
      <c r="J176" s="601"/>
      <c r="K176" s="601"/>
    </row>
    <row r="177" spans="1:11" ht="13.15" customHeight="1">
      <c r="A177" s="463" t="s">
        <v>1045</v>
      </c>
      <c r="B177" s="470">
        <v>4045</v>
      </c>
      <c r="C177" s="551"/>
      <c r="D177" s="468"/>
      <c r="E177" s="561"/>
      <c r="F177" s="468"/>
      <c r="G177" s="468"/>
      <c r="H177" s="468"/>
      <c r="I177" s="468"/>
      <c r="J177" s="468"/>
      <c r="K177" s="468"/>
    </row>
    <row r="178" spans="1:11" ht="13.15" customHeight="1">
      <c r="A178" s="463" t="s">
        <v>1046</v>
      </c>
      <c r="B178" s="470">
        <v>4050</v>
      </c>
      <c r="C178" s="551"/>
      <c r="D178" s="467"/>
      <c r="E178" s="561"/>
      <c r="F178" s="468"/>
      <c r="G178" s="468"/>
      <c r="H178" s="467"/>
      <c r="I178" s="468"/>
      <c r="J178" s="468"/>
      <c r="K178" s="468"/>
    </row>
    <row r="179" spans="1:11" ht="13.15" customHeight="1">
      <c r="A179" s="463" t="s">
        <v>260</v>
      </c>
      <c r="B179" s="470">
        <v>4060</v>
      </c>
      <c r="C179" s="516"/>
      <c r="D179" s="466"/>
      <c r="E179" s="468"/>
      <c r="F179" s="466"/>
      <c r="G179" s="466"/>
      <c r="H179" s="466"/>
      <c r="I179" s="468"/>
      <c r="J179" s="468"/>
      <c r="K179" s="521"/>
    </row>
    <row r="180" spans="1:11" ht="22.5">
      <c r="A180" s="563" t="s">
        <v>786</v>
      </c>
      <c r="B180" s="583">
        <v>4090</v>
      </c>
      <c r="C180" s="551"/>
      <c r="D180" s="466"/>
      <c r="E180" s="468"/>
      <c r="F180" s="466"/>
      <c r="G180" s="466"/>
      <c r="H180" s="466"/>
      <c r="I180" s="468"/>
      <c r="J180" s="468"/>
      <c r="K180" s="466"/>
    </row>
    <row r="181" spans="1:11" ht="13.5" thickBot="1">
      <c r="A181" s="2209" t="s">
        <v>785</v>
      </c>
      <c r="B181" s="2210"/>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c r="A182" s="2205" t="s">
        <v>1800</v>
      </c>
      <c r="B182" s="2206"/>
      <c r="C182" s="584"/>
      <c r="D182" s="566"/>
      <c r="E182" s="509"/>
      <c r="F182" s="566"/>
      <c r="G182" s="566"/>
      <c r="H182" s="468"/>
      <c r="I182" s="468"/>
      <c r="J182" s="468"/>
      <c r="K182" s="468"/>
    </row>
    <row r="183" spans="1:11" ht="15.75" customHeight="1">
      <c r="A183" s="1602" t="s">
        <v>1602</v>
      </c>
      <c r="B183" s="1603"/>
      <c r="C183" s="522"/>
      <c r="D183" s="521"/>
      <c r="E183" s="509"/>
      <c r="F183" s="521"/>
      <c r="G183" s="521"/>
      <c r="H183" s="468"/>
      <c r="I183" s="468"/>
      <c r="J183" s="468"/>
      <c r="K183" s="468"/>
    </row>
    <row r="184" spans="1:11" ht="13.15" customHeight="1">
      <c r="A184" s="463" t="s">
        <v>1603</v>
      </c>
      <c r="B184" s="470">
        <v>4100</v>
      </c>
      <c r="C184" s="516"/>
      <c r="D184" s="481"/>
      <c r="E184" s="561"/>
      <c r="F184" s="481"/>
      <c r="G184" s="481"/>
      <c r="H184" s="468"/>
      <c r="I184" s="468"/>
      <c r="J184" s="468"/>
      <c r="K184" s="468"/>
    </row>
    <row r="185" spans="1:11" ht="13.15" customHeight="1">
      <c r="A185" s="463" t="s">
        <v>1604</v>
      </c>
      <c r="B185" s="470">
        <v>4105</v>
      </c>
      <c r="C185" s="551"/>
      <c r="D185" s="466"/>
      <c r="E185" s="561"/>
      <c r="F185" s="466"/>
      <c r="G185" s="466"/>
      <c r="H185" s="468"/>
      <c r="I185" s="468"/>
      <c r="J185" s="468"/>
      <c r="K185" s="468"/>
    </row>
    <row r="186" spans="1:11" ht="13.15" customHeight="1">
      <c r="A186" s="463" t="s">
        <v>1606</v>
      </c>
      <c r="B186" s="470">
        <v>4107</v>
      </c>
      <c r="C186" s="551"/>
      <c r="D186" s="466"/>
      <c r="E186" s="561"/>
      <c r="F186" s="466"/>
      <c r="G186" s="466"/>
      <c r="H186" s="468"/>
      <c r="I186" s="468"/>
      <c r="J186" s="468"/>
      <c r="K186" s="468"/>
    </row>
    <row r="187" spans="1:11" ht="13.15" customHeight="1">
      <c r="A187" s="463" t="s">
        <v>1605</v>
      </c>
      <c r="B187" s="470">
        <v>4199</v>
      </c>
      <c r="C187" s="551"/>
      <c r="D187" s="466"/>
      <c r="E187" s="561"/>
      <c r="F187" s="466"/>
      <c r="G187" s="466"/>
      <c r="H187" s="468"/>
      <c r="I187" s="468"/>
      <c r="J187" s="468"/>
      <c r="K187" s="468"/>
    </row>
    <row r="188" spans="1:11" ht="13.15" customHeight="1" thickBot="1">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c r="A189" s="1599" t="s">
        <v>455</v>
      </c>
      <c r="B189" s="1604"/>
      <c r="C189" s="553"/>
      <c r="D189" s="566"/>
      <c r="E189" s="561"/>
      <c r="F189" s="553"/>
      <c r="G189" s="553"/>
      <c r="H189" s="468"/>
      <c r="I189" s="468"/>
      <c r="J189" s="468"/>
      <c r="K189" s="468"/>
    </row>
    <row r="190" spans="1:11">
      <c r="A190" s="463" t="s">
        <v>1450</v>
      </c>
      <c r="B190" s="470">
        <v>4200</v>
      </c>
      <c r="C190" s="467"/>
      <c r="D190" s="468"/>
      <c r="E190" s="561"/>
      <c r="F190" s="553"/>
      <c r="G190" s="585"/>
      <c r="H190" s="468"/>
      <c r="I190" s="468"/>
      <c r="J190" s="468"/>
      <c r="K190" s="468"/>
    </row>
    <row r="191" spans="1:11" ht="13.15" customHeight="1">
      <c r="A191" s="463" t="s">
        <v>1058</v>
      </c>
      <c r="B191" s="470">
        <v>4210</v>
      </c>
      <c r="C191" s="466">
        <v>1266465</v>
      </c>
      <c r="D191" s="468"/>
      <c r="E191" s="561"/>
      <c r="F191" s="468"/>
      <c r="G191" s="585"/>
      <c r="H191" s="468"/>
      <c r="I191" s="468"/>
      <c r="J191" s="468"/>
      <c r="K191" s="468"/>
    </row>
    <row r="192" spans="1:11" ht="13.15" customHeight="1">
      <c r="A192" s="463" t="s">
        <v>1047</v>
      </c>
      <c r="B192" s="470">
        <v>4215</v>
      </c>
      <c r="C192" s="551"/>
      <c r="D192" s="468"/>
      <c r="E192" s="561"/>
      <c r="F192" s="468"/>
      <c r="G192" s="585"/>
      <c r="H192" s="468"/>
      <c r="I192" s="468"/>
      <c r="J192" s="468"/>
      <c r="K192" s="468"/>
    </row>
    <row r="193" spans="1:11" ht="13.15" customHeight="1">
      <c r="A193" s="463" t="s">
        <v>1059</v>
      </c>
      <c r="B193" s="470">
        <v>4220</v>
      </c>
      <c r="C193" s="551">
        <v>580998</v>
      </c>
      <c r="D193" s="468"/>
      <c r="E193" s="561"/>
      <c r="F193" s="468"/>
      <c r="G193" s="585"/>
      <c r="H193" s="468"/>
      <c r="I193" s="468"/>
      <c r="J193" s="468"/>
      <c r="K193" s="468"/>
    </row>
    <row r="194" spans="1:11" ht="13.15" customHeight="1">
      <c r="A194" s="463" t="s">
        <v>1451</v>
      </c>
      <c r="B194" s="470">
        <v>4225</v>
      </c>
      <c r="C194" s="551"/>
      <c r="D194" s="468"/>
      <c r="E194" s="561"/>
      <c r="F194" s="468"/>
      <c r="G194" s="585"/>
      <c r="H194" s="468"/>
      <c r="I194" s="468"/>
      <c r="J194" s="468"/>
      <c r="K194" s="468"/>
    </row>
    <row r="195" spans="1:11" ht="13.15" customHeight="1">
      <c r="A195" s="463" t="s">
        <v>1452</v>
      </c>
      <c r="B195" s="470">
        <v>4226</v>
      </c>
      <c r="C195" s="551"/>
      <c r="D195" s="468"/>
      <c r="E195" s="561"/>
      <c r="F195" s="468"/>
      <c r="G195" s="585"/>
      <c r="H195" s="468"/>
      <c r="I195" s="468"/>
      <c r="J195" s="468"/>
      <c r="K195" s="468"/>
    </row>
    <row r="196" spans="1:11" ht="13.15" customHeight="1">
      <c r="A196" s="463" t="s">
        <v>792</v>
      </c>
      <c r="B196" s="470">
        <v>4240</v>
      </c>
      <c r="C196" s="489">
        <v>18915</v>
      </c>
      <c r="D196" s="468"/>
      <c r="E196" s="561"/>
      <c r="F196" s="468"/>
      <c r="G196" s="586"/>
      <c r="H196" s="468"/>
      <c r="I196" s="468"/>
      <c r="J196" s="468"/>
      <c r="K196" s="468"/>
    </row>
    <row r="197" spans="1:11" ht="13.15" customHeight="1">
      <c r="A197" s="463" t="s">
        <v>71</v>
      </c>
      <c r="B197" s="470">
        <v>4299</v>
      </c>
      <c r="C197" s="551"/>
      <c r="D197" s="468"/>
      <c r="E197" s="561"/>
      <c r="F197" s="468"/>
      <c r="G197" s="585"/>
      <c r="H197" s="468"/>
      <c r="I197" s="468"/>
      <c r="J197" s="468"/>
      <c r="K197" s="468"/>
    </row>
    <row r="198" spans="1:11" ht="13.15" customHeight="1" thickBot="1">
      <c r="A198" s="1707" t="s">
        <v>548</v>
      </c>
      <c r="B198" s="1708"/>
      <c r="C198" s="1687">
        <f>SUM(C190:C197)</f>
        <v>1866378</v>
      </c>
      <c r="D198" s="468"/>
      <c r="E198" s="468"/>
      <c r="F198" s="468"/>
      <c r="G198" s="1687">
        <f>SUM(G190:G197)</f>
        <v>0</v>
      </c>
      <c r="H198" s="468"/>
      <c r="I198" s="468"/>
      <c r="J198" s="468"/>
      <c r="K198" s="468"/>
    </row>
    <row r="199" spans="1:11" ht="15.75" customHeight="1" thickTop="1">
      <c r="A199" s="1599" t="s">
        <v>1138</v>
      </c>
      <c r="B199" s="1604"/>
      <c r="C199" s="553"/>
      <c r="D199" s="468"/>
      <c r="E199" s="468"/>
      <c r="F199" s="468"/>
      <c r="G199" s="468"/>
      <c r="H199" s="468"/>
      <c r="I199" s="468"/>
      <c r="J199" s="468"/>
      <c r="K199" s="468"/>
    </row>
    <row r="200" spans="1:11" ht="13.15" customHeight="1">
      <c r="A200" s="463" t="s">
        <v>918</v>
      </c>
      <c r="B200" s="470">
        <v>4300</v>
      </c>
      <c r="C200" s="466">
        <v>1084778</v>
      </c>
      <c r="D200" s="466"/>
      <c r="E200" s="468"/>
      <c r="F200" s="466"/>
      <c r="G200" s="466"/>
      <c r="H200" s="468"/>
      <c r="I200" s="468"/>
      <c r="J200" s="468"/>
      <c r="K200" s="468"/>
    </row>
    <row r="201" spans="1:11" ht="13.15" customHeight="1">
      <c r="A201" s="463" t="s">
        <v>919</v>
      </c>
      <c r="B201" s="470">
        <v>4305</v>
      </c>
      <c r="C201" s="551"/>
      <c r="D201" s="466"/>
      <c r="E201" s="468"/>
      <c r="F201" s="466"/>
      <c r="G201" s="466"/>
      <c r="H201" s="468"/>
      <c r="I201" s="468"/>
      <c r="J201" s="468"/>
      <c r="K201" s="468"/>
    </row>
    <row r="202" spans="1:11" ht="13.15" customHeight="1">
      <c r="A202" s="463" t="s">
        <v>1031</v>
      </c>
      <c r="B202" s="470">
        <v>4340</v>
      </c>
      <c r="C202" s="551"/>
      <c r="D202" s="466"/>
      <c r="E202" s="468"/>
      <c r="F202" s="466"/>
      <c r="G202" s="466"/>
      <c r="H202" s="468"/>
      <c r="I202" s="468"/>
      <c r="J202" s="468"/>
      <c r="K202" s="468"/>
    </row>
    <row r="203" spans="1:11" ht="13.15" customHeight="1">
      <c r="A203" s="463" t="s">
        <v>72</v>
      </c>
      <c r="B203" s="470">
        <v>4399</v>
      </c>
      <c r="C203" s="551"/>
      <c r="D203" s="466"/>
      <c r="E203" s="468"/>
      <c r="F203" s="466"/>
      <c r="G203" s="466"/>
      <c r="H203" s="468"/>
      <c r="I203" s="468"/>
      <c r="J203" s="468"/>
      <c r="K203" s="468"/>
    </row>
    <row r="204" spans="1:11" ht="13.15" customHeight="1" thickBot="1">
      <c r="A204" s="1707" t="s">
        <v>400</v>
      </c>
      <c r="B204" s="1708"/>
      <c r="C204" s="1706">
        <f>SUM(C200:C203)</f>
        <v>1084778</v>
      </c>
      <c r="D204" s="1706">
        <f>SUM(D200:D203)</f>
        <v>0</v>
      </c>
      <c r="E204" s="468"/>
      <c r="F204" s="1706">
        <f>SUM(F200:F203)</f>
        <v>0</v>
      </c>
      <c r="G204" s="1706">
        <f>SUM(G200:G203)</f>
        <v>0</v>
      </c>
      <c r="H204" s="468"/>
      <c r="I204" s="468"/>
      <c r="J204" s="468"/>
      <c r="K204" s="468"/>
    </row>
    <row r="205" spans="1:11" ht="15.75" customHeight="1" thickTop="1">
      <c r="A205" s="1599" t="s">
        <v>1139</v>
      </c>
      <c r="B205" s="1604"/>
      <c r="C205" s="553"/>
      <c r="D205" s="553"/>
      <c r="E205" s="468"/>
      <c r="F205" s="553"/>
      <c r="G205" s="553"/>
      <c r="H205" s="468"/>
      <c r="I205" s="468"/>
      <c r="J205" s="468"/>
      <c r="K205" s="468"/>
    </row>
    <row r="206" spans="1:11" ht="13.15" customHeight="1">
      <c r="A206" s="463" t="s">
        <v>759</v>
      </c>
      <c r="B206" s="470">
        <v>4400</v>
      </c>
      <c r="C206" s="551"/>
      <c r="D206" s="466"/>
      <c r="E206" s="468"/>
      <c r="F206" s="466"/>
      <c r="G206" s="466"/>
      <c r="H206" s="468"/>
      <c r="I206" s="468"/>
      <c r="J206" s="468"/>
      <c r="K206" s="468"/>
    </row>
    <row r="207" spans="1:11" ht="13.15" customHeight="1">
      <c r="A207" s="463" t="s">
        <v>1453</v>
      </c>
      <c r="B207" s="470">
        <v>4421</v>
      </c>
      <c r="C207" s="551">
        <v>89922</v>
      </c>
      <c r="D207" s="466"/>
      <c r="E207" s="468"/>
      <c r="F207" s="466"/>
      <c r="G207" s="466"/>
      <c r="H207" s="468"/>
      <c r="I207" s="468"/>
      <c r="J207" s="468"/>
      <c r="K207" s="468"/>
    </row>
    <row r="208" spans="1:11" ht="13.15" customHeight="1">
      <c r="A208" s="463" t="s">
        <v>73</v>
      </c>
      <c r="B208" s="470">
        <v>4499</v>
      </c>
      <c r="C208" s="551"/>
      <c r="D208" s="466"/>
      <c r="E208" s="468"/>
      <c r="F208" s="466"/>
      <c r="G208" s="466"/>
      <c r="H208" s="468"/>
      <c r="I208" s="468"/>
      <c r="J208" s="468"/>
      <c r="K208" s="468"/>
    </row>
    <row r="209" spans="1:11" ht="13.15" customHeight="1" thickBot="1">
      <c r="A209" s="1707" t="s">
        <v>889</v>
      </c>
      <c r="B209" s="1708"/>
      <c r="C209" s="1706">
        <f>SUM(C206:C208)</f>
        <v>89922</v>
      </c>
      <c r="D209" s="1706">
        <f>SUM(D206:D208)</f>
        <v>0</v>
      </c>
      <c r="E209" s="468" t="s">
        <v>1169</v>
      </c>
      <c r="F209" s="1706">
        <f>SUM(F206:F208)</f>
        <v>0</v>
      </c>
      <c r="G209" s="1706">
        <f>SUM(G206:G208)</f>
        <v>0</v>
      </c>
      <c r="H209" s="468"/>
      <c r="I209" s="468"/>
      <c r="J209" s="468"/>
      <c r="K209" s="468"/>
    </row>
    <row r="210" spans="1:11" ht="15.75" customHeight="1" thickTop="1">
      <c r="A210" s="1599" t="s">
        <v>1092</v>
      </c>
      <c r="B210" s="1604"/>
      <c r="C210" s="553"/>
      <c r="D210" s="553"/>
      <c r="E210" s="468"/>
      <c r="F210" s="553"/>
      <c r="G210" s="553"/>
      <c r="H210" s="468"/>
      <c r="I210" s="468"/>
      <c r="J210" s="468"/>
      <c r="K210" s="468"/>
    </row>
    <row r="211" spans="1:11" ht="13.15" customHeight="1">
      <c r="A211" s="463" t="s">
        <v>1052</v>
      </c>
      <c r="B211" s="470">
        <v>4600</v>
      </c>
      <c r="C211" s="551"/>
      <c r="D211" s="466"/>
      <c r="E211" s="468"/>
      <c r="F211" s="466"/>
      <c r="G211" s="466"/>
      <c r="H211" s="468"/>
      <c r="I211" s="468"/>
      <c r="J211" s="468"/>
      <c r="K211" s="468"/>
    </row>
    <row r="212" spans="1:11" ht="13.15" customHeight="1">
      <c r="A212" s="463" t="s">
        <v>1053</v>
      </c>
      <c r="B212" s="470">
        <v>4605</v>
      </c>
      <c r="C212" s="551"/>
      <c r="D212" s="466"/>
      <c r="E212" s="468"/>
      <c r="F212" s="466"/>
      <c r="G212" s="466"/>
      <c r="H212" s="468"/>
      <c r="I212" s="468"/>
      <c r="J212" s="468"/>
      <c r="K212" s="468"/>
    </row>
    <row r="213" spans="1:11" ht="13.15" customHeight="1">
      <c r="A213" s="463" t="s">
        <v>1454</v>
      </c>
      <c r="B213" s="557">
        <v>4620</v>
      </c>
      <c r="C213" s="551">
        <v>566016</v>
      </c>
      <c r="D213" s="466"/>
      <c r="E213" s="468"/>
      <c r="F213" s="466"/>
      <c r="G213" s="466"/>
      <c r="H213" s="468"/>
      <c r="I213" s="468"/>
      <c r="J213" s="468"/>
      <c r="K213" s="468"/>
    </row>
    <row r="214" spans="1:11" ht="13.15" customHeight="1">
      <c r="A214" s="463" t="s">
        <v>1054</v>
      </c>
      <c r="B214" s="470">
        <v>4625</v>
      </c>
      <c r="C214" s="551">
        <v>5672</v>
      </c>
      <c r="D214" s="466"/>
      <c r="E214" s="468"/>
      <c r="F214" s="466"/>
      <c r="G214" s="466"/>
      <c r="H214" s="468"/>
      <c r="I214" s="468"/>
      <c r="J214" s="468"/>
      <c r="K214" s="468"/>
    </row>
    <row r="215" spans="1:11" ht="13.15" customHeight="1">
      <c r="A215" s="463" t="s">
        <v>1055</v>
      </c>
      <c r="B215" s="470">
        <v>4630</v>
      </c>
      <c r="C215" s="551"/>
      <c r="D215" s="466"/>
      <c r="E215" s="468"/>
      <c r="F215" s="466"/>
      <c r="G215" s="466"/>
      <c r="H215" s="468"/>
      <c r="I215" s="468"/>
      <c r="J215" s="468"/>
      <c r="K215" s="468"/>
    </row>
    <row r="216" spans="1:11" ht="13.15" customHeight="1">
      <c r="A216" s="1500" t="s">
        <v>74</v>
      </c>
      <c r="B216" s="557">
        <v>4699</v>
      </c>
      <c r="C216" s="551"/>
      <c r="D216" s="466"/>
      <c r="E216" s="468"/>
      <c r="F216" s="466"/>
      <c r="G216" s="466"/>
      <c r="H216" s="468"/>
      <c r="I216" s="468"/>
      <c r="J216" s="468"/>
      <c r="K216" s="468"/>
    </row>
    <row r="217" spans="1:11" ht="13.15" customHeight="1" thickBot="1">
      <c r="A217" s="1707" t="s">
        <v>447</v>
      </c>
      <c r="B217" s="1708"/>
      <c r="C217" s="1706">
        <f>SUM(C211:C216)</f>
        <v>571688</v>
      </c>
      <c r="D217" s="1706">
        <f>SUM(D211:D216)</f>
        <v>0</v>
      </c>
      <c r="E217" s="468"/>
      <c r="F217" s="1706">
        <f>SUM(F211:F216)</f>
        <v>0</v>
      </c>
      <c r="G217" s="1706">
        <f>SUM(G211:G216)</f>
        <v>0</v>
      </c>
      <c r="H217" s="468"/>
      <c r="I217" s="468"/>
      <c r="J217" s="468"/>
      <c r="K217" s="468"/>
    </row>
    <row r="218" spans="1:11" ht="15.75" customHeight="1" thickTop="1">
      <c r="A218" s="1599" t="s">
        <v>1093</v>
      </c>
      <c r="B218" s="1604"/>
      <c r="C218" s="553"/>
      <c r="D218" s="553"/>
      <c r="E218" s="468"/>
      <c r="F218" s="553"/>
      <c r="G218" s="553"/>
      <c r="H218" s="468"/>
      <c r="I218" s="468"/>
      <c r="J218" s="468"/>
      <c r="K218" s="468"/>
    </row>
    <row r="219" spans="1:11" ht="13.15" customHeight="1">
      <c r="A219" s="463" t="s">
        <v>787</v>
      </c>
      <c r="B219" s="470">
        <v>4770</v>
      </c>
      <c r="C219" s="551"/>
      <c r="D219" s="466"/>
      <c r="E219" s="468"/>
      <c r="F219" s="468"/>
      <c r="G219" s="466"/>
      <c r="H219" s="468"/>
      <c r="I219" s="468"/>
      <c r="J219" s="468"/>
      <c r="K219" s="468"/>
    </row>
    <row r="220" spans="1:11" ht="13.15" customHeight="1">
      <c r="A220" s="463" t="s">
        <v>67</v>
      </c>
      <c r="B220" s="470">
        <v>4799</v>
      </c>
      <c r="C220" s="551"/>
      <c r="D220" s="466"/>
      <c r="E220" s="468"/>
      <c r="F220" s="468"/>
      <c r="G220" s="466"/>
      <c r="H220" s="468"/>
      <c r="I220" s="468"/>
      <c r="J220" s="468"/>
      <c r="K220" s="468"/>
    </row>
    <row r="221" spans="1:11" ht="13.15" customHeight="1" thickBot="1">
      <c r="A221" s="1722" t="s">
        <v>1085</v>
      </c>
      <c r="B221" s="1723"/>
      <c r="C221" s="1706">
        <f>SUM(C219:C220)</f>
        <v>0</v>
      </c>
      <c r="D221" s="1706">
        <f>SUM(D219:D220)</f>
        <v>0</v>
      </c>
      <c r="E221" s="468"/>
      <c r="F221" s="468"/>
      <c r="G221" s="1706">
        <f>SUM(G219:G220)</f>
        <v>0</v>
      </c>
      <c r="H221" s="468"/>
      <c r="I221" s="468"/>
      <c r="J221" s="468"/>
      <c r="K221" s="468"/>
    </row>
    <row r="222" spans="1:11" ht="13.15" customHeight="1" thickTop="1" thickBot="1">
      <c r="A222" s="493" t="s">
        <v>757</v>
      </c>
      <c r="B222" s="491">
        <v>4810</v>
      </c>
      <c r="C222" s="575"/>
      <c r="D222" s="576"/>
      <c r="E222" s="468"/>
      <c r="F222" s="468"/>
      <c r="G222" s="576"/>
      <c r="H222" s="468"/>
      <c r="I222" s="468"/>
      <c r="J222" s="468"/>
      <c r="K222" s="468"/>
    </row>
    <row r="223" spans="1:11" ht="13.15" customHeight="1" thickTop="1">
      <c r="A223" s="493" t="s">
        <v>350</v>
      </c>
      <c r="B223" s="491">
        <v>4850</v>
      </c>
      <c r="C223" s="489"/>
      <c r="D223" s="467"/>
      <c r="E223" s="467"/>
      <c r="F223" s="467"/>
      <c r="G223" s="467"/>
      <c r="H223" s="467"/>
      <c r="I223" s="468"/>
      <c r="J223" s="467"/>
      <c r="K223" s="467"/>
    </row>
    <row r="224" spans="1:11" ht="13.15" customHeight="1">
      <c r="A224" s="493" t="s">
        <v>351</v>
      </c>
      <c r="B224" s="491">
        <v>4851</v>
      </c>
      <c r="C224" s="489"/>
      <c r="D224" s="467"/>
      <c r="E224" s="468"/>
      <c r="F224" s="474"/>
      <c r="G224" s="467"/>
      <c r="H224" s="468"/>
      <c r="I224" s="468"/>
      <c r="J224" s="468"/>
      <c r="K224" s="468"/>
    </row>
    <row r="225" spans="1:11" ht="13.15" customHeight="1">
      <c r="A225" s="493" t="s">
        <v>352</v>
      </c>
      <c r="B225" s="491">
        <v>4852</v>
      </c>
      <c r="C225" s="489"/>
      <c r="D225" s="467"/>
      <c r="E225" s="467"/>
      <c r="F225" s="467"/>
      <c r="G225" s="467"/>
      <c r="H225" s="467"/>
      <c r="I225" s="468"/>
      <c r="J225" s="467"/>
      <c r="K225" s="467"/>
    </row>
    <row r="226" spans="1:11" ht="13.15" customHeight="1">
      <c r="A226" s="493" t="s">
        <v>353</v>
      </c>
      <c r="B226" s="491">
        <v>4853</v>
      </c>
      <c r="C226" s="489"/>
      <c r="D226" s="467"/>
      <c r="E226" s="467"/>
      <c r="F226" s="467"/>
      <c r="G226" s="467"/>
      <c r="H226" s="467"/>
      <c r="I226" s="468"/>
      <c r="J226" s="467"/>
      <c r="K226" s="467"/>
    </row>
    <row r="227" spans="1:11" ht="13.15" customHeight="1">
      <c r="A227" s="493" t="s">
        <v>354</v>
      </c>
      <c r="B227" s="491">
        <v>4854</v>
      </c>
      <c r="C227" s="489"/>
      <c r="D227" s="467"/>
      <c r="E227" s="467"/>
      <c r="F227" s="467"/>
      <c r="G227" s="467"/>
      <c r="H227" s="467"/>
      <c r="I227" s="468"/>
      <c r="J227" s="467"/>
      <c r="K227" s="467"/>
    </row>
    <row r="228" spans="1:11" ht="13.15" customHeight="1">
      <c r="A228" s="493" t="s">
        <v>464</v>
      </c>
      <c r="B228" s="491">
        <v>4855</v>
      </c>
      <c r="C228" s="489"/>
      <c r="D228" s="467"/>
      <c r="E228" s="467"/>
      <c r="F228" s="467"/>
      <c r="G228" s="467"/>
      <c r="H228" s="467"/>
      <c r="I228" s="468"/>
      <c r="J228" s="467"/>
      <c r="K228" s="467"/>
    </row>
    <row r="229" spans="1:11" ht="13.15" customHeight="1">
      <c r="A229" s="493" t="s">
        <v>355</v>
      </c>
      <c r="B229" s="491">
        <v>4856</v>
      </c>
      <c r="C229" s="489"/>
      <c r="D229" s="467"/>
      <c r="E229" s="467"/>
      <c r="F229" s="467"/>
      <c r="G229" s="467"/>
      <c r="H229" s="467"/>
      <c r="I229" s="468"/>
      <c r="J229" s="467"/>
      <c r="K229" s="467"/>
    </row>
    <row r="230" spans="1:11" ht="13.15" customHeight="1">
      <c r="A230" s="493" t="s">
        <v>356</v>
      </c>
      <c r="B230" s="491">
        <v>4857</v>
      </c>
      <c r="C230" s="489"/>
      <c r="D230" s="467"/>
      <c r="E230" s="467"/>
      <c r="F230" s="467"/>
      <c r="G230" s="467"/>
      <c r="H230" s="467"/>
      <c r="I230" s="468"/>
      <c r="J230" s="467"/>
      <c r="K230" s="467"/>
    </row>
    <row r="231" spans="1:11" ht="13.15" customHeight="1">
      <c r="A231" s="493" t="s">
        <v>357</v>
      </c>
      <c r="B231" s="491">
        <v>4860</v>
      </c>
      <c r="C231" s="489"/>
      <c r="D231" s="467"/>
      <c r="E231" s="467"/>
      <c r="F231" s="467"/>
      <c r="G231" s="467"/>
      <c r="H231" s="467"/>
      <c r="I231" s="468"/>
      <c r="J231" s="467"/>
      <c r="K231" s="467"/>
    </row>
    <row r="232" spans="1:11" ht="13.15" customHeight="1">
      <c r="A232" s="493" t="s">
        <v>358</v>
      </c>
      <c r="B232" s="491">
        <v>4861</v>
      </c>
      <c r="C232" s="489"/>
      <c r="D232" s="467"/>
      <c r="E232" s="467"/>
      <c r="F232" s="467"/>
      <c r="G232" s="467"/>
      <c r="H232" s="467"/>
      <c r="I232" s="468"/>
      <c r="J232" s="467"/>
      <c r="K232" s="467"/>
    </row>
    <row r="233" spans="1:11" ht="13.15" customHeight="1">
      <c r="A233" s="493" t="s">
        <v>359</v>
      </c>
      <c r="B233" s="491">
        <v>4862</v>
      </c>
      <c r="C233" s="489"/>
      <c r="D233" s="467"/>
      <c r="E233" s="475"/>
      <c r="F233" s="467"/>
      <c r="G233" s="467"/>
      <c r="H233" s="475"/>
      <c r="I233" s="468"/>
      <c r="J233" s="475"/>
      <c r="K233" s="475"/>
    </row>
    <row r="234" spans="1:11" ht="13.15" customHeight="1">
      <c r="A234" s="493" t="s">
        <v>360</v>
      </c>
      <c r="B234" s="491">
        <v>4863</v>
      </c>
      <c r="C234" s="489"/>
      <c r="D234" s="467"/>
      <c r="E234" s="468"/>
      <c r="F234" s="475"/>
      <c r="G234" s="526"/>
      <c r="H234" s="468"/>
      <c r="I234" s="468"/>
      <c r="J234" s="468"/>
      <c r="K234" s="468"/>
    </row>
    <row r="235" spans="1:11" ht="13.15" customHeight="1">
      <c r="A235" s="493" t="s">
        <v>469</v>
      </c>
      <c r="B235" s="491">
        <v>4864</v>
      </c>
      <c r="C235" s="489"/>
      <c r="D235" s="467"/>
      <c r="E235" s="467"/>
      <c r="F235" s="467"/>
      <c r="G235" s="467"/>
      <c r="H235" s="467"/>
      <c r="I235" s="468"/>
      <c r="J235" s="467"/>
      <c r="K235" s="467"/>
    </row>
    <row r="236" spans="1:11" ht="13.15" customHeight="1">
      <c r="A236" s="493" t="s">
        <v>470</v>
      </c>
      <c r="B236" s="491">
        <v>4865</v>
      </c>
      <c r="C236" s="489"/>
      <c r="D236" s="467"/>
      <c r="E236" s="467"/>
      <c r="F236" s="467"/>
      <c r="G236" s="467"/>
      <c r="H236" s="467"/>
      <c r="I236" s="468"/>
      <c r="J236" s="467"/>
      <c r="K236" s="467"/>
    </row>
    <row r="237" spans="1:11" ht="13.15" customHeight="1">
      <c r="A237" s="493" t="s">
        <v>468</v>
      </c>
      <c r="B237" s="491">
        <v>4866</v>
      </c>
      <c r="C237" s="489"/>
      <c r="D237" s="467"/>
      <c r="E237" s="467"/>
      <c r="F237" s="467"/>
      <c r="G237" s="467"/>
      <c r="H237" s="467"/>
      <c r="I237" s="468"/>
      <c r="J237" s="467"/>
      <c r="K237" s="467"/>
    </row>
    <row r="238" spans="1:11" ht="13.15" customHeight="1">
      <c r="A238" s="493" t="s">
        <v>467</v>
      </c>
      <c r="B238" s="491">
        <v>4867</v>
      </c>
      <c r="C238" s="489"/>
      <c r="D238" s="467"/>
      <c r="E238" s="467"/>
      <c r="F238" s="467"/>
      <c r="G238" s="467"/>
      <c r="H238" s="467"/>
      <c r="I238" s="468"/>
      <c r="J238" s="467"/>
      <c r="K238" s="467"/>
    </row>
    <row r="239" spans="1:11" ht="13.15" customHeight="1">
      <c r="A239" s="493" t="s">
        <v>466</v>
      </c>
      <c r="B239" s="491">
        <v>4868</v>
      </c>
      <c r="C239" s="489"/>
      <c r="D239" s="467"/>
      <c r="E239" s="467"/>
      <c r="F239" s="467"/>
      <c r="G239" s="467"/>
      <c r="H239" s="467"/>
      <c r="I239" s="468"/>
      <c r="J239" s="467"/>
      <c r="K239" s="467"/>
    </row>
    <row r="240" spans="1:11" ht="13.15" customHeight="1">
      <c r="A240" s="493" t="s">
        <v>465</v>
      </c>
      <c r="B240" s="491">
        <v>4869</v>
      </c>
      <c r="C240" s="489"/>
      <c r="D240" s="467"/>
      <c r="E240" s="467"/>
      <c r="F240" s="467"/>
      <c r="G240" s="467"/>
      <c r="H240" s="467"/>
      <c r="I240" s="468"/>
      <c r="J240" s="467"/>
      <c r="K240" s="467"/>
    </row>
    <row r="241" spans="1:11" ht="13.15" customHeight="1">
      <c r="A241" s="493" t="s">
        <v>1128</v>
      </c>
      <c r="B241" s="491">
        <v>4870</v>
      </c>
      <c r="C241" s="489"/>
      <c r="D241" s="467"/>
      <c r="E241" s="467"/>
      <c r="F241" s="467"/>
      <c r="G241" s="467"/>
      <c r="H241" s="467"/>
      <c r="I241" s="468"/>
      <c r="J241" s="467"/>
      <c r="K241" s="467"/>
    </row>
    <row r="242" spans="1:11" ht="13.15" customHeight="1">
      <c r="A242" s="493" t="s">
        <v>788</v>
      </c>
      <c r="B242" s="491">
        <v>4871</v>
      </c>
      <c r="C242" s="489"/>
      <c r="D242" s="467"/>
      <c r="E242" s="467"/>
      <c r="F242" s="467"/>
      <c r="G242" s="467"/>
      <c r="H242" s="467"/>
      <c r="I242" s="468"/>
      <c r="J242" s="467"/>
      <c r="K242" s="467"/>
    </row>
    <row r="243" spans="1:11" ht="13.15" customHeight="1">
      <c r="A243" s="493" t="s">
        <v>789</v>
      </c>
      <c r="B243" s="491">
        <v>4872</v>
      </c>
      <c r="C243" s="489"/>
      <c r="D243" s="467"/>
      <c r="E243" s="467"/>
      <c r="F243" s="467"/>
      <c r="G243" s="467"/>
      <c r="H243" s="467"/>
      <c r="I243" s="468"/>
      <c r="J243" s="467"/>
      <c r="K243" s="467"/>
    </row>
    <row r="244" spans="1:11" ht="13.15" customHeight="1">
      <c r="A244" s="493" t="s">
        <v>790</v>
      </c>
      <c r="B244" s="491">
        <v>4873</v>
      </c>
      <c r="C244" s="489"/>
      <c r="D244" s="467"/>
      <c r="E244" s="467"/>
      <c r="F244" s="467"/>
      <c r="G244" s="467"/>
      <c r="H244" s="467"/>
      <c r="I244" s="468"/>
      <c r="J244" s="467"/>
      <c r="K244" s="467"/>
    </row>
    <row r="245" spans="1:11" ht="13.15" customHeight="1">
      <c r="A245" s="493" t="s">
        <v>791</v>
      </c>
      <c r="B245" s="491">
        <v>4874</v>
      </c>
      <c r="C245" s="489"/>
      <c r="D245" s="467"/>
      <c r="E245" s="467"/>
      <c r="F245" s="467"/>
      <c r="G245" s="467"/>
      <c r="H245" s="467"/>
      <c r="I245" s="468"/>
      <c r="J245" s="467"/>
      <c r="K245" s="467"/>
    </row>
    <row r="246" spans="1:11" ht="13.15" customHeight="1">
      <c r="A246" s="493" t="s">
        <v>471</v>
      </c>
      <c r="B246" s="491">
        <v>4875</v>
      </c>
      <c r="C246" s="489"/>
      <c r="D246" s="467"/>
      <c r="E246" s="467"/>
      <c r="F246" s="467"/>
      <c r="G246" s="467"/>
      <c r="H246" s="467"/>
      <c r="I246" s="468"/>
      <c r="J246" s="467"/>
      <c r="K246" s="467"/>
    </row>
    <row r="247" spans="1:11" ht="13.15" customHeight="1">
      <c r="A247" s="493" t="s">
        <v>770</v>
      </c>
      <c r="B247" s="491">
        <v>4876</v>
      </c>
      <c r="C247" s="489"/>
      <c r="D247" s="467"/>
      <c r="E247" s="467"/>
      <c r="F247" s="467"/>
      <c r="G247" s="467"/>
      <c r="H247" s="467"/>
      <c r="I247" s="468"/>
      <c r="J247" s="467"/>
      <c r="K247" s="467"/>
    </row>
    <row r="248" spans="1:11" ht="13.15" customHeight="1">
      <c r="A248" s="493" t="s">
        <v>771</v>
      </c>
      <c r="B248" s="491">
        <v>4877</v>
      </c>
      <c r="C248" s="489"/>
      <c r="D248" s="467"/>
      <c r="E248" s="467"/>
      <c r="F248" s="467"/>
      <c r="G248" s="467"/>
      <c r="H248" s="467"/>
      <c r="I248" s="468"/>
      <c r="J248" s="467"/>
      <c r="K248" s="467"/>
    </row>
    <row r="249" spans="1:11" ht="13.15" customHeight="1">
      <c r="A249" s="493" t="s">
        <v>772</v>
      </c>
      <c r="B249" s="491">
        <v>4878</v>
      </c>
      <c r="C249" s="489"/>
      <c r="D249" s="467"/>
      <c r="E249" s="467"/>
      <c r="F249" s="467"/>
      <c r="G249" s="467"/>
      <c r="H249" s="467"/>
      <c r="I249" s="468"/>
      <c r="J249" s="467"/>
      <c r="K249" s="467"/>
    </row>
    <row r="250" spans="1:11" ht="13.15" customHeight="1">
      <c r="A250" s="493" t="s">
        <v>773</v>
      </c>
      <c r="B250" s="491">
        <v>4879</v>
      </c>
      <c r="C250" s="489"/>
      <c r="D250" s="467"/>
      <c r="E250" s="467"/>
      <c r="F250" s="467"/>
      <c r="G250" s="467"/>
      <c r="H250" s="467"/>
      <c r="I250" s="468"/>
      <c r="J250" s="467"/>
      <c r="K250" s="467"/>
    </row>
    <row r="251" spans="1:11" ht="13.15" customHeight="1">
      <c r="A251" s="225" t="s">
        <v>1455</v>
      </c>
      <c r="B251" s="587">
        <v>4880</v>
      </c>
      <c r="C251" s="489"/>
      <c r="D251" s="467"/>
      <c r="E251" s="467"/>
      <c r="F251" s="467"/>
      <c r="G251" s="467"/>
      <c r="H251" s="467"/>
      <c r="I251" s="468"/>
      <c r="J251" s="467"/>
      <c r="K251" s="467"/>
    </row>
    <row r="252" spans="1:11" ht="13.15" customHeight="1" thickBot="1">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3.15" customHeight="1" thickTop="1" thickBot="1">
      <c r="A253" s="1501" t="s">
        <v>1421</v>
      </c>
      <c r="B253" s="588">
        <v>4901</v>
      </c>
      <c r="C253" s="589"/>
      <c r="D253" s="469"/>
      <c r="E253" s="468"/>
      <c r="F253" s="468"/>
      <c r="G253" s="468"/>
      <c r="H253" s="468"/>
      <c r="I253" s="468"/>
      <c r="J253" s="468"/>
      <c r="K253" s="468"/>
    </row>
    <row r="254" spans="1:11" ht="13.15" customHeight="1" thickTop="1" thickBot="1">
      <c r="A254" s="1502" t="s">
        <v>1463</v>
      </c>
      <c r="B254" s="590">
        <v>4902</v>
      </c>
      <c r="C254" s="591"/>
      <c r="D254" s="592"/>
      <c r="E254" s="469"/>
      <c r="F254" s="592"/>
      <c r="G254" s="592"/>
      <c r="H254" s="469"/>
      <c r="I254" s="468"/>
      <c r="J254" s="469"/>
      <c r="K254" s="469"/>
    </row>
    <row r="255" spans="1:11" ht="13.15" customHeight="1" thickTop="1" thickBot="1">
      <c r="A255" s="463" t="s">
        <v>1456</v>
      </c>
      <c r="B255" s="470">
        <v>4905</v>
      </c>
      <c r="C255" s="573">
        <v>9391</v>
      </c>
      <c r="D255" s="468"/>
      <c r="E255" s="468"/>
      <c r="F255" s="578"/>
      <c r="G255" s="573"/>
      <c r="H255" s="468"/>
      <c r="I255" s="468"/>
      <c r="J255" s="468"/>
      <c r="K255" s="468"/>
    </row>
    <row r="256" spans="1:11" ht="13.15" customHeight="1" thickTop="1" thickBot="1">
      <c r="A256" s="463" t="s">
        <v>1457</v>
      </c>
      <c r="B256" s="470">
        <v>4909</v>
      </c>
      <c r="C256" s="576">
        <v>86399</v>
      </c>
      <c r="D256" s="468"/>
      <c r="E256" s="468"/>
      <c r="F256" s="576"/>
      <c r="G256" s="576"/>
      <c r="H256" s="468"/>
      <c r="I256" s="468"/>
      <c r="J256" s="468"/>
      <c r="K256" s="468"/>
    </row>
    <row r="257" spans="1:11" ht="13.15" customHeight="1" thickTop="1" thickBot="1">
      <c r="A257" s="463" t="s">
        <v>193</v>
      </c>
      <c r="B257" s="470">
        <v>4920</v>
      </c>
      <c r="C257" s="576"/>
      <c r="D257" s="578"/>
      <c r="E257" s="468"/>
      <c r="F257" s="573"/>
      <c r="G257" s="573"/>
      <c r="H257" s="468"/>
      <c r="I257" s="468"/>
      <c r="J257" s="468"/>
      <c r="K257" s="468"/>
    </row>
    <row r="258" spans="1:11" ht="13.15" customHeight="1" thickTop="1" thickBot="1">
      <c r="A258" s="463" t="s">
        <v>421</v>
      </c>
      <c r="B258" s="470">
        <v>4930</v>
      </c>
      <c r="C258" s="576"/>
      <c r="D258" s="576"/>
      <c r="E258" s="468"/>
      <c r="F258" s="576"/>
      <c r="G258" s="576"/>
      <c r="H258" s="468"/>
      <c r="I258" s="468"/>
      <c r="J258" s="468"/>
      <c r="K258" s="468"/>
    </row>
    <row r="259" spans="1:11" ht="13.15" customHeight="1" thickTop="1" thickBot="1">
      <c r="A259" s="463" t="s">
        <v>758</v>
      </c>
      <c r="B259" s="470">
        <v>4932</v>
      </c>
      <c r="C259" s="576"/>
      <c r="D259" s="576"/>
      <c r="E259" s="468"/>
      <c r="F259" s="576"/>
      <c r="G259" s="576"/>
      <c r="H259" s="468"/>
      <c r="I259" s="468"/>
      <c r="J259" s="468"/>
      <c r="K259" s="468"/>
    </row>
    <row r="260" spans="1:11" ht="13.15" customHeight="1" thickTop="1" thickBot="1">
      <c r="A260" s="463" t="s">
        <v>890</v>
      </c>
      <c r="B260" s="470">
        <v>4960</v>
      </c>
      <c r="C260" s="575"/>
      <c r="D260" s="576"/>
      <c r="E260" s="468"/>
      <c r="F260" s="576"/>
      <c r="G260" s="576"/>
      <c r="H260" s="468"/>
      <c r="I260" s="468"/>
      <c r="J260" s="468"/>
      <c r="K260" s="468"/>
    </row>
    <row r="261" spans="1:11" ht="13.15" customHeight="1" thickTop="1" thickBot="1">
      <c r="A261" s="1930" t="s">
        <v>1934</v>
      </c>
      <c r="B261" s="470">
        <v>4981</v>
      </c>
      <c r="C261" s="575"/>
      <c r="D261" s="576"/>
      <c r="E261" s="468"/>
      <c r="F261" s="576"/>
      <c r="G261" s="576"/>
      <c r="H261" s="468"/>
      <c r="I261" s="468"/>
      <c r="J261" s="468"/>
      <c r="K261" s="468"/>
    </row>
    <row r="262" spans="1:11" ht="13.15" customHeight="1" thickTop="1" thickBot="1">
      <c r="A262" s="1931" t="s">
        <v>1935</v>
      </c>
      <c r="B262" s="470">
        <v>4982</v>
      </c>
      <c r="C262" s="575"/>
      <c r="D262" s="576"/>
      <c r="E262" s="468"/>
      <c r="F262" s="576"/>
      <c r="G262" s="576"/>
      <c r="H262" s="468"/>
      <c r="I262" s="468"/>
      <c r="J262" s="468"/>
      <c r="K262" s="468"/>
    </row>
    <row r="263" spans="1:11" ht="13.15" customHeight="1" thickTop="1" thickBot="1">
      <c r="A263" s="463" t="s">
        <v>568</v>
      </c>
      <c r="B263" s="470">
        <v>4991</v>
      </c>
      <c r="C263" s="575">
        <v>87698</v>
      </c>
      <c r="D263" s="576"/>
      <c r="E263" s="468"/>
      <c r="F263" s="576"/>
      <c r="G263" s="576"/>
      <c r="H263" s="468"/>
      <c r="I263" s="468"/>
      <c r="J263" s="468"/>
      <c r="K263" s="468"/>
    </row>
    <row r="264" spans="1:11" ht="13.15" customHeight="1" thickTop="1" thickBot="1">
      <c r="A264" s="463" t="s">
        <v>377</v>
      </c>
      <c r="B264" s="470">
        <v>4992</v>
      </c>
      <c r="C264" s="575">
        <v>165855</v>
      </c>
      <c r="D264" s="576"/>
      <c r="E264" s="468"/>
      <c r="F264" s="576"/>
      <c r="G264" s="576"/>
      <c r="H264" s="468"/>
      <c r="I264" s="468"/>
      <c r="J264" s="468"/>
      <c r="K264" s="468"/>
    </row>
    <row r="265" spans="1:11" s="593" customFormat="1" ht="13.15" customHeight="1" thickTop="1" thickBot="1">
      <c r="A265" s="563" t="s">
        <v>75</v>
      </c>
      <c r="B265" s="557">
        <v>4999</v>
      </c>
      <c r="C265" s="575"/>
      <c r="D265" s="576"/>
      <c r="E265" s="468"/>
      <c r="F265" s="576"/>
      <c r="G265" s="576"/>
      <c r="H265" s="530"/>
      <c r="I265" s="468"/>
      <c r="J265" s="468"/>
      <c r="K265" s="530"/>
    </row>
    <row r="266" spans="1:11" ht="14.25" thickTop="1" thickBot="1">
      <c r="A266" s="1707" t="s">
        <v>1666</v>
      </c>
      <c r="B266" s="1726"/>
      <c r="C266" s="1714">
        <f t="shared" ref="C266:H266" si="10">SUM(C188,C198,C204,C209,C217,C221,C222,C252:C265)</f>
        <v>3962109</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c r="A267" s="1727" t="s">
        <v>1086</v>
      </c>
      <c r="B267" s="1728" t="s">
        <v>860</v>
      </c>
      <c r="C267" s="1714">
        <f>SUM(C175,C181,C266)</f>
        <v>3962109</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c r="A268" s="1729" t="s">
        <v>251</v>
      </c>
      <c r="B268" s="1730"/>
      <c r="C268" s="1714">
        <f t="shared" ref="C268:K268" si="12">SUM(C109,C114,C170,C267)</f>
        <v>27376309</v>
      </c>
      <c r="D268" s="1714">
        <f t="shared" si="12"/>
        <v>1921405</v>
      </c>
      <c r="E268" s="1714">
        <f t="shared" si="12"/>
        <v>3415367</v>
      </c>
      <c r="F268" s="1714">
        <f t="shared" si="12"/>
        <v>1430799</v>
      </c>
      <c r="G268" s="1714">
        <f t="shared" si="12"/>
        <v>1486023</v>
      </c>
      <c r="H268" s="1714">
        <f t="shared" si="12"/>
        <v>589604</v>
      </c>
      <c r="I268" s="1714">
        <f t="shared" si="12"/>
        <v>263703</v>
      </c>
      <c r="J268" s="1714">
        <f t="shared" si="12"/>
        <v>912007</v>
      </c>
      <c r="K268" s="1701">
        <f t="shared" si="12"/>
        <v>3601</v>
      </c>
    </row>
    <row r="269" spans="1:11" ht="13.5" thickTop="1">
      <c r="C269" s="596"/>
      <c r="D269" s="596"/>
      <c r="E269" s="596"/>
      <c r="F269" s="596"/>
      <c r="G269" s="596"/>
      <c r="H269" s="596"/>
      <c r="I269" s="596"/>
      <c r="J269" s="596"/>
      <c r="K269" s="596"/>
    </row>
    <row r="270" spans="1:11">
      <c r="C270" s="596"/>
      <c r="D270" s="596"/>
      <c r="E270" s="596"/>
      <c r="F270" s="596"/>
      <c r="G270" s="596"/>
      <c r="H270" s="596"/>
      <c r="I270" s="596"/>
      <c r="J270" s="596"/>
      <c r="K270" s="596"/>
    </row>
    <row r="271" spans="1:11">
      <c r="C271" s="596"/>
      <c r="D271" s="596"/>
      <c r="E271" s="596"/>
      <c r="F271" s="596"/>
      <c r="G271" s="596"/>
      <c r="H271" s="596"/>
      <c r="I271" s="596"/>
      <c r="J271" s="596"/>
      <c r="K271" s="596"/>
    </row>
    <row r="272" spans="1:11">
      <c r="C272" s="596"/>
      <c r="D272" s="596"/>
      <c r="E272" s="596"/>
      <c r="F272" s="596"/>
      <c r="G272" s="596"/>
      <c r="H272" s="596"/>
      <c r="I272" s="596"/>
      <c r="J272" s="596"/>
      <c r="K272" s="596"/>
    </row>
    <row r="273" spans="1:11">
      <c r="C273" s="596"/>
      <c r="D273" s="596"/>
      <c r="E273" s="596"/>
      <c r="F273" s="596"/>
      <c r="G273" s="596"/>
      <c r="H273" s="596"/>
      <c r="I273" s="596"/>
      <c r="J273" s="596"/>
      <c r="K273" s="596"/>
    </row>
    <row r="274" spans="1:11">
      <c r="C274" s="596"/>
      <c r="D274" s="596"/>
      <c r="E274" s="596"/>
      <c r="F274" s="596"/>
      <c r="G274" s="596"/>
      <c r="H274" s="596"/>
      <c r="I274" s="596"/>
      <c r="J274" s="596"/>
      <c r="K274" s="596"/>
    </row>
    <row r="275" spans="1:11" s="329" customFormat="1">
      <c r="A275" s="594"/>
      <c r="B275" s="595"/>
      <c r="C275" s="596"/>
      <c r="D275" s="596"/>
      <c r="E275" s="596"/>
      <c r="F275" s="596"/>
      <c r="G275" s="596"/>
      <c r="H275" s="596"/>
      <c r="I275" s="596"/>
      <c r="J275" s="596"/>
      <c r="K275" s="596"/>
    </row>
    <row r="276" spans="1:11" s="329" customFormat="1">
      <c r="A276" s="594"/>
    </row>
    <row r="277" spans="1:11" s="329" customFormat="1">
      <c r="A277" s="597"/>
    </row>
    <row r="278" spans="1:11" s="329" customFormat="1">
      <c r="A278" s="597"/>
    </row>
    <row r="279" spans="1:11" s="329" customFormat="1">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 right="0.15" top="0.66" bottom="0.46" header="0.26" footer="0.17"/>
  <pageSetup scale="70" firstPageNumber="9" fitToHeight="0" orientation="landscape" useFirstPageNumber="1" r:id="rId1"/>
  <headerFooter alignWithMargins="0">
    <oddHeader>&amp;L&amp;8Page &amp;P&amp;C&amp;"Arial,Bold"&amp;9STATEMENT OF REVENUES RECEIVED
FOR THE YEAR ENDING JUNE 30, 2019&amp;R&amp;8Page &amp;P</oddHeader>
    <oddFooter>&amp;L&amp;8Printed Date: &amp;D
&amp;F&amp;CSee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openxmlformats.org/package/2006/metadata/core-properties"/>
    <ds:schemaRef ds:uri="http://www.w3.org/XML/1998/namespace"/>
    <ds:schemaRef ds:uri="http://purl.org/dc/terms/"/>
    <ds:schemaRef ds:uri="d21dc803-237d-4c68-8692-8d731fd29118"/>
    <ds:schemaRef ds:uri="http://purl.org/dc/elements/1.1/"/>
    <ds:schemaRef ds:uri="http://schemas.microsoft.com/office/infopath/2007/PartnerControls"/>
    <ds:schemaRef ds:uri="http://purl.org/dc/dcmitype/"/>
    <ds:schemaRef ds:uri="http://schemas.microsoft.com/office/2006/metadata/properties"/>
    <ds:schemaRef ds:uri="4d435f69-8686-490b-bd6d-b153bf22ab50"/>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 NOTES</vt:lpstr>
      <vt:lpstr> SEFA</vt:lpstr>
      <vt:lpstr>SEFA-1</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'SEFA-1'!Print_Titles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2019-10-07T15:15:35Z</cp:lastPrinted>
  <dcterms:created xsi:type="dcterms:W3CDTF">2003-10-29T19:06:34Z</dcterms:created>
  <dcterms:modified xsi:type="dcterms:W3CDTF">2019-11-18T18:06:57Z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A44787D4-0540-4523-9961-78E4036D8C6D}">
    <vt:lpwstr>{1B82A748-5AF0-4013-B87C-ADD9A02D5984}</vt:lpwstr>
  </property>
</Properties>
</file>