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85572D7-98C4-4453-8559-C15C3568BB1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Finding 2019-002" sheetId="185" r:id="rId32"/>
    <sheet name="SF&amp;QC Sec-3" sheetId="176" r:id="rId33"/>
    <sheet name="SSPAF" sheetId="177" r:id="rId34"/>
    <sheet name=" CAP 2019-001" sheetId="183" r:id="rId35"/>
    <sheet name="CAP 2019-002" sheetId="184" r:id="rId36"/>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4">#REF!</definedName>
    <definedName name="SCHADDRS" localSheetId="27">#REF!</definedName>
    <definedName name="SCHADDRS" localSheetId="17">#REF!</definedName>
    <definedName name="SCHADDRS" localSheetId="35">#REF!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34">#REF!</definedName>
    <definedName name="SCHCTY" localSheetId="27">#REF!</definedName>
    <definedName name="SCHCTY" localSheetId="17">#REF!</definedName>
    <definedName name="SCHCTY" localSheetId="35">#REF!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34">#REF!</definedName>
    <definedName name="SCHNMBR" localSheetId="27">#REF!</definedName>
    <definedName name="SCHNMBR" localSheetId="17">#REF!</definedName>
    <definedName name="SCHNMBR" localSheetId="35">#REF!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34">#REF!</definedName>
    <definedName name="SCHNME" localSheetId="27">#REF!</definedName>
    <definedName name="SCHNME" localSheetId="17">#REF!</definedName>
    <definedName name="SCHNME" localSheetId="35">#REF!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34">#REF!</definedName>
    <definedName name="SUPT" localSheetId="27">#REF!</definedName>
    <definedName name="SUPT" localSheetId="17">#REF!</definedName>
    <definedName name="SUPT" localSheetId="35">#REF!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c r="D167" i="34"/>
  <c r="D166" i="34"/>
  <c r="C167" i="34"/>
  <c r="C166" i="34"/>
  <c r="F167" i="34"/>
  <c r="F166" i="34"/>
  <c r="B7812" i="106"/>
  <c r="B7811" i="106"/>
  <c r="B7810" i="106"/>
  <c r="B7809" i="106"/>
  <c r="B7816" i="106"/>
  <c r="D7816" i="106"/>
  <c r="B7815" i="106"/>
  <c r="D7815" i="106"/>
  <c r="B7814" i="106"/>
  <c r="D7814" i="106"/>
  <c r="B7813" i="106"/>
  <c r="D7813" i="106"/>
  <c r="D7811" i="106"/>
  <c r="D7812" i="106"/>
  <c r="D7810" i="106"/>
  <c r="D7809" i="106"/>
  <c r="B7808" i="106"/>
  <c r="D7808" i="106"/>
  <c r="B7807" i="106"/>
  <c r="D7807" i="106"/>
  <c r="B7806" i="106"/>
  <c r="D7806" i="106"/>
  <c r="B7805" i="106"/>
  <c r="D7805" i="106"/>
  <c r="B7804" i="106"/>
  <c r="D7804" i="106"/>
  <c r="B7803" i="106"/>
  <c r="D7803" i="106"/>
  <c r="B7802" i="106"/>
  <c r="D7802" i="106"/>
  <c r="B7801" i="106"/>
  <c r="D7801"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K356" i="29"/>
  <c r="K355" i="29"/>
  <c r="B7794" i="106"/>
  <c r="K354" i="29"/>
  <c r="H357" i="29"/>
  <c r="L334" i="29"/>
  <c r="K333" i="29"/>
  <c r="B7788" i="106"/>
  <c r="K332" i="29"/>
  <c r="B7786" i="106"/>
  <c r="H334" i="29"/>
  <c r="B7789" i="106"/>
  <c r="K282" i="29"/>
  <c r="B7784" i="106"/>
  <c r="H160" i="29"/>
  <c r="K159" i="29"/>
  <c r="B7782" i="106"/>
  <c r="K158" i="29"/>
  <c r="B7780" i="106"/>
  <c r="K157" i="29"/>
  <c r="B7795" i="106"/>
  <c r="K133" i="29"/>
  <c r="B7776" i="106"/>
  <c r="B7793" i="106"/>
  <c r="B7791" i="106"/>
  <c r="B7787" i="106"/>
  <c r="B7785" i="106"/>
  <c r="B7783"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G139" i="181"/>
  <c r="E139" i="181"/>
  <c r="G138" i="181"/>
  <c r="E138" i="181"/>
  <c r="G137" i="181"/>
  <c r="E137" i="181"/>
  <c r="G136" i="181"/>
  <c r="E136" i="181"/>
  <c r="G135" i="181"/>
  <c r="E135" i="181"/>
  <c r="G134" i="181"/>
  <c r="E134" i="181"/>
  <c r="G133" i="181"/>
  <c r="E133" i="181"/>
  <c r="E132" i="181"/>
  <c r="G132" i="181"/>
  <c r="G131" i="181"/>
  <c r="E131" i="181"/>
  <c r="G130" i="181"/>
  <c r="E130" i="181"/>
  <c r="G129" i="181"/>
  <c r="E129" i="181"/>
  <c r="G128" i="181"/>
  <c r="E128" i="181"/>
  <c r="E127" i="181"/>
  <c r="G127" i="181"/>
  <c r="G126" i="181"/>
  <c r="E126" i="181"/>
  <c r="G125" i="181"/>
  <c r="E125" i="181"/>
  <c r="G124" i="181"/>
  <c r="E124" i="181"/>
  <c r="E123" i="181"/>
  <c r="G123" i="181"/>
  <c r="G122" i="181"/>
  <c r="E122" i="181"/>
  <c r="G121" i="181"/>
  <c r="E121" i="181"/>
  <c r="G120" i="181"/>
  <c r="E120" i="181"/>
  <c r="G119" i="181"/>
  <c r="E119" i="181"/>
  <c r="G118" i="181"/>
  <c r="E118" i="181"/>
  <c r="G117" i="181"/>
  <c r="E117" i="181"/>
  <c r="G116" i="181"/>
  <c r="E116" i="181"/>
  <c r="G115" i="181"/>
  <c r="E115" i="181"/>
  <c r="E114" i="181"/>
  <c r="G114" i="181"/>
  <c r="G113" i="181"/>
  <c r="E113" i="181"/>
  <c r="G112" i="181"/>
  <c r="E112" i="181"/>
  <c r="G111" i="181"/>
  <c r="E111" i="181"/>
  <c r="E110" i="181"/>
  <c r="G110" i="181"/>
  <c r="G109" i="181"/>
  <c r="E109" i="181"/>
  <c r="G108" i="181"/>
  <c r="E108" i="181"/>
  <c r="G107" i="181"/>
  <c r="E107" i="181"/>
  <c r="G106" i="181"/>
  <c r="E106" i="181"/>
  <c r="G105" i="181"/>
  <c r="E105" i="181"/>
  <c r="G104" i="181"/>
  <c r="E104" i="181"/>
  <c r="G99" i="181"/>
  <c r="E99" i="181"/>
  <c r="G103" i="181"/>
  <c r="E103" i="181"/>
  <c r="E102" i="181"/>
  <c r="G102" i="181"/>
  <c r="G101" i="181"/>
  <c r="E101" i="181"/>
  <c r="E100" i="181"/>
  <c r="G100" i="181"/>
  <c r="G98" i="181"/>
  <c r="E98" i="181"/>
  <c r="E97" i="181"/>
  <c r="G97" i="181"/>
  <c r="G96" i="181"/>
  <c r="E96" i="181"/>
  <c r="E95" i="181"/>
  <c r="G95" i="181"/>
  <c r="G93" i="181"/>
  <c r="E93" i="181"/>
  <c r="G92" i="181"/>
  <c r="E92" i="181"/>
  <c r="E91" i="181"/>
  <c r="G91" i="181"/>
  <c r="G90" i="181"/>
  <c r="E90" i="181"/>
  <c r="G89" i="181"/>
  <c r="E89" i="181"/>
  <c r="E88" i="181"/>
  <c r="G88" i="181"/>
  <c r="G87" i="181"/>
  <c r="E87" i="181"/>
  <c r="E86" i="181"/>
  <c r="G86" i="181"/>
  <c r="G84" i="181"/>
  <c r="E84" i="181"/>
  <c r="G83" i="181"/>
  <c r="E83" i="181"/>
  <c r="G82" i="181"/>
  <c r="E82" i="181"/>
  <c r="G81" i="181"/>
  <c r="E81" i="181"/>
  <c r="G80" i="181"/>
  <c r="E80" i="181"/>
  <c r="G79" i="181"/>
  <c r="E79" i="181"/>
  <c r="G78" i="181"/>
  <c r="E78" i="181"/>
  <c r="G77" i="181"/>
  <c r="E77" i="181"/>
  <c r="G76" i="181"/>
  <c r="E76" i="181"/>
  <c r="E75" i="181"/>
  <c r="G75" i="181"/>
  <c r="G74" i="181"/>
  <c r="E74" i="181"/>
  <c r="G73" i="181"/>
  <c r="E73" i="181"/>
  <c r="G140" i="181"/>
  <c r="E140" i="181"/>
  <c r="G94" i="181"/>
  <c r="E94" i="181"/>
  <c r="G85" i="181"/>
  <c r="E85" i="181"/>
  <c r="E72" i="181"/>
  <c r="G72" i="181"/>
  <c r="G71" i="181"/>
  <c r="E71" i="181"/>
  <c r="G70" i="181"/>
  <c r="E70" i="181"/>
  <c r="G69" i="181"/>
  <c r="E69" i="181"/>
  <c r="G68" i="181"/>
  <c r="E68" i="181"/>
  <c r="G67" i="181"/>
  <c r="E67" i="181"/>
  <c r="G66" i="181"/>
  <c r="E66" i="181"/>
  <c r="E65" i="181"/>
  <c r="G65" i="181"/>
  <c r="E64" i="181"/>
  <c r="G64" i="181"/>
  <c r="G63" i="181"/>
  <c r="E63" i="181"/>
  <c r="G62" i="181"/>
  <c r="E62" i="181"/>
  <c r="G61" i="181"/>
  <c r="E61" i="181"/>
  <c r="E60" i="181"/>
  <c r="G60" i="181"/>
  <c r="G59" i="181"/>
  <c r="E59" i="181"/>
  <c r="E58" i="181"/>
  <c r="G58" i="181"/>
  <c r="G57" i="181"/>
  <c r="E57" i="181"/>
  <c r="E56" i="181"/>
  <c r="G56" i="181"/>
  <c r="G55" i="181"/>
  <c r="E55" i="181"/>
  <c r="E54" i="181"/>
  <c r="G54" i="181"/>
  <c r="G53" i="181"/>
  <c r="E53" i="181"/>
  <c r="G52" i="181"/>
  <c r="E52" i="181"/>
  <c r="G51" i="181"/>
  <c r="E51" i="181"/>
  <c r="G50" i="181"/>
  <c r="E50" i="181"/>
  <c r="G49" i="181"/>
  <c r="E49" i="181"/>
  <c r="E48" i="181"/>
  <c r="G48" i="181"/>
  <c r="G47" i="181"/>
  <c r="E47" i="181"/>
  <c r="G46" i="181"/>
  <c r="E46" i="181"/>
  <c r="E45" i="181"/>
  <c r="F45" i="181"/>
  <c r="G45" i="181"/>
  <c r="E44" i="181"/>
  <c r="F44" i="181"/>
  <c r="G44" i="181"/>
  <c r="E43" i="181"/>
  <c r="E42" i="181"/>
  <c r="E41" i="181"/>
  <c r="F41" i="181"/>
  <c r="G41" i="181"/>
  <c r="E40" i="181"/>
  <c r="F40" i="181"/>
  <c r="G40" i="181"/>
  <c r="E39" i="181"/>
  <c r="F39" i="181"/>
  <c r="G39" i="181"/>
  <c r="E38" i="181"/>
  <c r="F38" i="181"/>
  <c r="G38" i="181"/>
  <c r="E37" i="181"/>
  <c r="F37" i="181"/>
  <c r="G37" i="181"/>
  <c r="E36" i="181"/>
  <c r="F36" i="181"/>
  <c r="G36" i="181"/>
  <c r="E35" i="181"/>
  <c r="F35" i="181"/>
  <c r="G35" i="181"/>
  <c r="E34" i="181"/>
  <c r="F34" i="181"/>
  <c r="G34" i="181"/>
  <c r="E33" i="181"/>
  <c r="E32" i="181"/>
  <c r="F32" i="181"/>
  <c r="G32" i="181"/>
  <c r="E31" i="181"/>
  <c r="F31" i="181"/>
  <c r="G31" i="181"/>
  <c r="E30" i="181"/>
  <c r="F30" i="181"/>
  <c r="G30" i="181"/>
  <c r="E29" i="181"/>
  <c r="E28" i="181"/>
  <c r="F28" i="181"/>
  <c r="G28" i="181"/>
  <c r="E27" i="181"/>
  <c r="E26" i="181"/>
  <c r="F26" i="181"/>
  <c r="G26" i="181"/>
  <c r="E25" i="181"/>
  <c r="E24" i="181"/>
  <c r="F24" i="181"/>
  <c r="G24" i="181"/>
  <c r="E23" i="181"/>
  <c r="F23" i="181"/>
  <c r="G23" i="181"/>
  <c r="E22" i="181"/>
  <c r="F22" i="181"/>
  <c r="G22" i="181"/>
  <c r="E21" i="181"/>
  <c r="F21" i="181"/>
  <c r="G21" i="181"/>
  <c r="E20" i="181"/>
  <c r="F20" i="181"/>
  <c r="G20" i="181"/>
  <c r="E19" i="181"/>
  <c r="E18" i="181"/>
  <c r="F43" i="181"/>
  <c r="G43" i="181"/>
  <c r="F42" i="181"/>
  <c r="G42" i="181"/>
  <c r="F33" i="181"/>
  <c r="G33" i="181"/>
  <c r="F29" i="181"/>
  <c r="G29" i="181"/>
  <c r="F27" i="181"/>
  <c r="G27" i="181"/>
  <c r="F25" i="181"/>
  <c r="G25" i="181"/>
  <c r="F19" i="181"/>
  <c r="G19" i="181"/>
  <c r="F18" i="181"/>
  <c r="G18" i="181"/>
  <c r="D141" i="181"/>
  <c r="D80" i="36"/>
  <c r="B7797" i="106"/>
  <c r="E141" i="181"/>
  <c r="E17" i="181"/>
  <c r="F17" i="181"/>
  <c r="E16" i="181"/>
  <c r="F16" i="181"/>
  <c r="G16" i="181"/>
  <c r="G17" i="181"/>
  <c r="G141" i="181"/>
  <c r="G40" i="108"/>
  <c r="B7799" i="106"/>
  <c r="F141"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7" i="169"/>
  <c r="B1" i="184"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9"/>
  <c r="B2" i="184"/>
  <c r="B2" i="183"/>
  <c r="B1" i="183"/>
  <c r="B2" i="177"/>
  <c r="A2" i="170"/>
  <c r="B2" i="174"/>
  <c r="A2" i="173"/>
  <c r="B1" i="179"/>
  <c r="B2" i="176"/>
  <c r="B1" i="175"/>
  <c r="A1" i="170"/>
  <c r="A2" i="171"/>
  <c r="A1" i="173"/>
  <c r="B2" i="175"/>
  <c r="B7773" i="106"/>
  <c r="B61" i="106"/>
  <c r="B52" i="106"/>
  <c r="B51" i="106"/>
  <c r="B49" i="106"/>
  <c r="B48" i="106"/>
  <c r="B47" i="106"/>
  <c r="B46" i="106"/>
  <c r="B45" i="106"/>
  <c r="B44" i="106"/>
  <c r="B43" i="106"/>
  <c r="B42" i="106"/>
  <c r="B41" i="106"/>
  <c r="B50" i="106"/>
  <c r="F159" i="34"/>
  <c r="B7769" i="106"/>
  <c r="B7768" i="106"/>
  <c r="B7766" i="106"/>
  <c r="B7765" i="106"/>
  <c r="B7764" i="106"/>
  <c r="D7764" i="106"/>
  <c r="J85" i="28"/>
  <c r="B7758" i="106"/>
  <c r="D7758" i="106"/>
  <c r="J88" i="28"/>
  <c r="K6" i="29"/>
  <c r="B7763" i="106"/>
  <c r="D7763" i="106"/>
  <c r="B7762" i="106"/>
  <c r="K12" i="12"/>
  <c r="K23" i="12"/>
  <c r="J12" i="12"/>
  <c r="J21" i="12"/>
  <c r="J23" i="12"/>
  <c r="B7729" i="106"/>
  <c r="D7729" i="106"/>
  <c r="B7734" i="106"/>
  <c r="B7726" i="106"/>
  <c r="F158" i="34"/>
  <c r="B30" i="36"/>
  <c r="B33" i="36"/>
  <c r="B43" i="36"/>
  <c r="B56" i="36"/>
  <c r="B66" i="36"/>
  <c r="B70" i="36"/>
  <c r="B74" i="36"/>
  <c r="D73" i="36"/>
  <c r="C188" i="5"/>
  <c r="B4395" i="106"/>
  <c r="D4395" i="106"/>
  <c r="C198" i="5"/>
  <c r="B5246" i="106"/>
  <c r="D5246" i="106"/>
  <c r="C204" i="5"/>
  <c r="B5260" i="106"/>
  <c r="D5260" i="106"/>
  <c r="C209" i="5"/>
  <c r="C217" i="5"/>
  <c r="C221" i="5"/>
  <c r="C252" i="5"/>
  <c r="B7761" i="106"/>
  <c r="D7761" i="106"/>
  <c r="L127" i="29"/>
  <c r="L129" i="29"/>
  <c r="L139" i="29"/>
  <c r="L149" i="29"/>
  <c r="I7" i="145"/>
  <c r="I6" i="145"/>
  <c r="D78" i="36"/>
  <c r="K75" i="29"/>
  <c r="F52" i="34"/>
  <c r="K130" i="29"/>
  <c r="D14" i="4"/>
  <c r="B2570" i="106"/>
  <c r="D2570" i="106"/>
  <c r="K185" i="29"/>
  <c r="B2836" i="106"/>
  <c r="D2836" i="106"/>
  <c r="K122" i="29"/>
  <c r="F15" i="145"/>
  <c r="F19" i="145"/>
  <c r="K67" i="29"/>
  <c r="E33" i="108"/>
  <c r="K64" i="29"/>
  <c r="F31" i="108"/>
  <c r="K59" i="29"/>
  <c r="E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B7011" i="106"/>
  <c r="D7011" i="106"/>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92" i="29"/>
  <c r="K92"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4" i="106"/>
  <c r="D1124" i="106"/>
  <c r="B1126" i="106"/>
  <c r="D1126" i="106"/>
  <c r="K60" i="29"/>
  <c r="D27" i="108"/>
  <c r="K61" i="29"/>
  <c r="B1128" i="106"/>
  <c r="D1128" i="106"/>
  <c r="K62" i="29"/>
  <c r="B1129" i="106"/>
  <c r="D1129" i="106"/>
  <c r="K63" i="29"/>
  <c r="B1130" i="106"/>
  <c r="D1130" i="106"/>
  <c r="D1132" i="106"/>
  <c r="K68" i="29"/>
  <c r="E34" i="108"/>
  <c r="K69" i="29"/>
  <c r="B1136" i="106"/>
  <c r="D1136" i="106"/>
  <c r="K70" i="29"/>
  <c r="B1137" i="106"/>
  <c r="D1137" i="106"/>
  <c r="D1138" i="106"/>
  <c r="K71" i="29"/>
  <c r="B1139" i="106"/>
  <c r="D1139" i="106"/>
  <c r="D1140" i="106"/>
  <c r="K73" i="29"/>
  <c r="B1142" i="106"/>
  <c r="D1142" i="106"/>
  <c r="K78" i="29"/>
  <c r="K79" i="29"/>
  <c r="B2974" i="106"/>
  <c r="D2974" i="106"/>
  <c r="K80" i="29"/>
  <c r="B2975" i="106"/>
  <c r="D2975" i="106"/>
  <c r="K81" i="29"/>
  <c r="K82" i="29"/>
  <c r="B2977" i="106"/>
  <c r="D2977" i="106"/>
  <c r="K83" i="29"/>
  <c r="B2978" i="106"/>
  <c r="D2978" i="106"/>
  <c r="K93" i="29"/>
  <c r="K94" i="29"/>
  <c r="K95" i="29"/>
  <c r="B7001" i="106"/>
  <c r="D7001" i="106"/>
  <c r="K96" i="29"/>
  <c r="B7003" i="106"/>
  <c r="D7003" i="106"/>
  <c r="K97" i="29"/>
  <c r="K98" i="29"/>
  <c r="B7007" i="106"/>
  <c r="D7007" i="106"/>
  <c r="K99" i="29"/>
  <c r="B7010" i="106"/>
  <c r="D7010" i="106"/>
  <c r="K101" i="29"/>
  <c r="B7015" i="106"/>
  <c r="D7015" i="106"/>
  <c r="K105" i="29"/>
  <c r="K106" i="29"/>
  <c r="B1147" i="106"/>
  <c r="D1147" i="106"/>
  <c r="D1148" i="106"/>
  <c r="K109" i="29"/>
  <c r="B1149" i="106"/>
  <c r="D1149" i="106"/>
  <c r="D1150" i="106"/>
  <c r="K107" i="29"/>
  <c r="B2795" i="106"/>
  <c r="D2795" i="106"/>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K123" i="29"/>
  <c r="K124" i="29"/>
  <c r="B1276" i="106"/>
  <c r="D1276" i="106"/>
  <c r="K126" i="29"/>
  <c r="B1277" i="106"/>
  <c r="D1277" i="106"/>
  <c r="D1278" i="106"/>
  <c r="K125" i="29"/>
  <c r="B3488" i="106"/>
  <c r="D3488" i="106"/>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B4087" i="106"/>
  <c r="D4087" i="106"/>
  <c r="K188" i="29"/>
  <c r="B3007" i="106"/>
  <c r="D3007" i="106"/>
  <c r="K189" i="29"/>
  <c r="K190" i="29"/>
  <c r="K191" i="29"/>
  <c r="B3010" i="106"/>
  <c r="D3010" i="106"/>
  <c r="K192" i="29"/>
  <c r="B3011" i="106"/>
  <c r="D3011" i="106"/>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B4211" i="106"/>
  <c r="D4211" i="106"/>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B7076" i="106"/>
  <c r="D7076" i="106"/>
  <c r="K219" i="29"/>
  <c r="B3065" i="106"/>
  <c r="D3065" i="106"/>
  <c r="K220" i="29"/>
  <c r="K226" i="29"/>
  <c r="K228" i="29"/>
  <c r="B3392" i="106"/>
  <c r="D3392" i="106"/>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B7082" i="106"/>
  <c r="D7082" i="106"/>
  <c r="K249" i="29"/>
  <c r="K250" i="29"/>
  <c r="B7086" i="106"/>
  <c r="D7086" i="106"/>
  <c r="K251" i="29"/>
  <c r="B7088" i="106"/>
  <c r="D7088" i="106"/>
  <c r="K252" i="29"/>
  <c r="K253" i="29"/>
  <c r="B7092" i="106"/>
  <c r="D7092" i="106"/>
  <c r="K254" i="29"/>
  <c r="B7094" i="106"/>
  <c r="D7094" i="106"/>
  <c r="K255" i="29"/>
  <c r="B7096" i="106"/>
  <c r="D7096" i="106"/>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B3723" i="106"/>
  <c r="D3723" i="106"/>
  <c r="K284" i="29"/>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B7115" i="106"/>
  <c r="D7115" i="106"/>
  <c r="K301" i="29"/>
  <c r="D1556" i="106"/>
  <c r="D1557" i="106"/>
  <c r="K302" i="29"/>
  <c r="B1558" i="106"/>
  <c r="D1558" i="106"/>
  <c r="K306" i="29"/>
  <c r="B7107" i="106"/>
  <c r="D7107" i="106"/>
  <c r="K307" i="29"/>
  <c r="K308" i="29"/>
  <c r="B4100" i="106"/>
  <c r="D4100" i="106"/>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6" i="106"/>
  <c r="D2806" i="106"/>
  <c r="B2807" i="106"/>
  <c r="D2807" i="106"/>
  <c r="B2808" i="106"/>
  <c r="D2808" i="106"/>
  <c r="D2809"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6" i="106"/>
  <c r="D2976"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B6286" i="106"/>
  <c r="D6286" i="106"/>
  <c r="E39" i="4"/>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J31" i="8"/>
  <c r="I32" i="8"/>
  <c r="J32" i="8"/>
  <c r="I33" i="8"/>
  <c r="I34" i="8"/>
  <c r="I35" i="8"/>
  <c r="I36" i="8"/>
  <c r="I37" i="8"/>
  <c r="I38" i="8"/>
  <c r="I39" i="8"/>
  <c r="I40" i="8"/>
  <c r="I41" i="8"/>
  <c r="I42" i="8"/>
  <c r="I43" i="8"/>
  <c r="I44" i="8"/>
  <c r="I45" i="8"/>
  <c r="I46" i="8"/>
  <c r="I47" i="8"/>
  <c r="I48" i="8"/>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7" i="106"/>
  <c r="D6287"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2" i="106"/>
  <c r="D7002" i="106"/>
  <c r="B7004" i="106"/>
  <c r="D7004" i="106"/>
  <c r="B7005" i="106"/>
  <c r="D7005" i="106"/>
  <c r="B7006" i="106"/>
  <c r="D7006" i="106"/>
  <c r="B7008" i="106"/>
  <c r="D7008" i="106"/>
  <c r="B7009" i="106"/>
  <c r="D7009" i="106"/>
  <c r="B7012" i="106"/>
  <c r="D7012" i="106"/>
  <c r="B7014" i="106"/>
  <c r="D7014"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B7073" i="106"/>
  <c r="D7073" i="106"/>
  <c r="B7074" i="106"/>
  <c r="D7074" i="106"/>
  <c r="B7075" i="106"/>
  <c r="D7075" i="106"/>
  <c r="B7077" i="106"/>
  <c r="D7077" i="106"/>
  <c r="B7078" i="106"/>
  <c r="D7078" i="106"/>
  <c r="B7079" i="106"/>
  <c r="D7079" i="106"/>
  <c r="B7080" i="106"/>
  <c r="D7080" i="106"/>
  <c r="B7081" i="106"/>
  <c r="D7081" i="106"/>
  <c r="B7083" i="106"/>
  <c r="D7083" i="106"/>
  <c r="B7084" i="106"/>
  <c r="D7084" i="106"/>
  <c r="B7085" i="106"/>
  <c r="D7085" i="106"/>
  <c r="B7087" i="106"/>
  <c r="D7087" i="106"/>
  <c r="B7089" i="106"/>
  <c r="D7089" i="106"/>
  <c r="B7090" i="106"/>
  <c r="D7090" i="106"/>
  <c r="B7091" i="106"/>
  <c r="D7091" i="106"/>
  <c r="B7093" i="106"/>
  <c r="D7093" i="106"/>
  <c r="B7095" i="106"/>
  <c r="D7095"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B5752" i="106"/>
  <c r="D5752" i="106"/>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D204" i="5"/>
  <c r="B5444" i="106"/>
  <c r="D5444" i="106"/>
  <c r="F204" i="5"/>
  <c r="B5677" i="106"/>
  <c r="D5677" i="106"/>
  <c r="G204" i="5"/>
  <c r="B5803" i="106"/>
  <c r="D5803" i="106"/>
  <c r="B4411" i="106"/>
  <c r="D4411" i="106"/>
  <c r="D209" i="5"/>
  <c r="B4412" i="106"/>
  <c r="D4412" i="106"/>
  <c r="F209" i="5"/>
  <c r="B4413" i="106"/>
  <c r="D4413" i="106"/>
  <c r="G209" i="5"/>
  <c r="B4414" i="106"/>
  <c r="D4414" i="106"/>
  <c r="B5286" i="106"/>
  <c r="D5286" i="106"/>
  <c r="D217" i="5"/>
  <c r="B5470" i="106"/>
  <c r="D5470" i="106"/>
  <c r="F217" i="5"/>
  <c r="B5703" i="106"/>
  <c r="D5703" i="106"/>
  <c r="G217" i="5"/>
  <c r="B5829" i="106"/>
  <c r="D5829" i="106"/>
  <c r="B5304" i="106"/>
  <c r="D5304"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B2633" i="106"/>
  <c r="D2633" i="106"/>
  <c r="D7" i="118"/>
  <c r="D8" i="118"/>
  <c r="D9" i="118"/>
  <c r="H14" i="118"/>
  <c r="H19" i="118"/>
  <c r="H24" i="118"/>
  <c r="H28" i="118"/>
  <c r="H33" i="118"/>
  <c r="D22" i="37"/>
  <c r="J22" i="37"/>
  <c r="L5" i="11"/>
  <c r="B2056" i="106"/>
  <c r="D2056" i="106"/>
  <c r="D31" i="108"/>
  <c r="B6289" i="106"/>
  <c r="D6289" i="106"/>
  <c r="G14" i="4"/>
  <c r="B2609" i="106"/>
  <c r="D2609" i="106"/>
  <c r="F72" i="34"/>
  <c r="L15" i="11"/>
  <c r="B3459" i="106"/>
  <c r="D3459" i="106"/>
  <c r="J49" i="8"/>
  <c r="B4172" i="106"/>
  <c r="D4172" i="106"/>
  <c r="F36" i="34"/>
  <c r="F46" i="34"/>
  <c r="G33" i="108"/>
  <c r="F42" i="34"/>
  <c r="H76" i="4"/>
  <c r="B3298" i="106"/>
  <c r="D3298" i="106"/>
  <c r="F50" i="34"/>
  <c r="J210" i="29"/>
  <c r="B7072" i="106"/>
  <c r="D7072" i="106"/>
  <c r="I210" i="29"/>
  <c r="B7071" i="106"/>
  <c r="D7071" i="106"/>
  <c r="D54" i="36"/>
  <c r="F36" i="108"/>
  <c r="D24" i="37"/>
  <c r="B4270" i="106"/>
  <c r="D4270" i="106"/>
  <c r="F49" i="34"/>
  <c r="L367" i="29"/>
  <c r="H365" i="29"/>
  <c r="B7242" i="106"/>
  <c r="D7242" i="106"/>
  <c r="J352" i="29"/>
  <c r="J367" i="29"/>
  <c r="B7245" i="106"/>
  <c r="D7245" i="106"/>
  <c r="C352" i="29"/>
  <c r="B3621" i="106"/>
  <c r="D3621" i="106"/>
  <c r="H342" i="29"/>
  <c r="B7221" i="106"/>
  <c r="D7221" i="106"/>
  <c r="C342" i="29"/>
  <c r="B7216" i="106"/>
  <c r="D7216" i="106"/>
  <c r="F68" i="34"/>
  <c r="F70" i="34"/>
  <c r="F14" i="4"/>
  <c r="B2597" i="106"/>
  <c r="D2597" i="106"/>
  <c r="F62" i="34"/>
  <c r="B7047" i="106"/>
  <c r="D7047" i="106"/>
  <c r="B2805" i="106"/>
  <c r="D2805" i="106"/>
  <c r="F56" i="34"/>
  <c r="E38" i="108"/>
  <c r="G38" i="108"/>
  <c r="E28" i="108"/>
  <c r="F28" i="108"/>
  <c r="J129" i="29"/>
  <c r="B7038" i="106"/>
  <c r="D7038" i="106"/>
  <c r="G26" i="108"/>
  <c r="E26" i="108"/>
  <c r="G15" i="145"/>
  <c r="B1274" i="106"/>
  <c r="D1274" i="106"/>
  <c r="C129" i="29"/>
  <c r="C151" i="29"/>
  <c r="B1226" i="106"/>
  <c r="D1226" i="106"/>
  <c r="G39" i="108"/>
  <c r="C14" i="4"/>
  <c r="B2558" i="106"/>
  <c r="D2558" i="106"/>
  <c r="D36" i="108"/>
  <c r="G35" i="108"/>
  <c r="E35" i="108"/>
  <c r="G34" i="108"/>
  <c r="F27" i="108"/>
  <c r="F44" i="34"/>
  <c r="F38" i="34"/>
  <c r="F34" i="34"/>
  <c r="J77" i="4"/>
  <c r="B6262" i="106"/>
  <c r="D6262" i="106"/>
  <c r="F77" i="4"/>
  <c r="B3255" i="106"/>
  <c r="D3255" i="106"/>
  <c r="K76" i="4"/>
  <c r="B3586" i="106"/>
  <c r="D3586" i="106"/>
  <c r="D17" i="7"/>
  <c r="B4104" i="106"/>
  <c r="D4104" i="106"/>
  <c r="D11" i="37"/>
  <c r="D37" i="108"/>
  <c r="F37" i="108"/>
  <c r="D31" i="36"/>
  <c r="F19" i="7"/>
  <c r="B1807" i="106"/>
  <c r="D1807" i="106"/>
  <c r="D9" i="7"/>
  <c r="B1767" i="106"/>
  <c r="D1767" i="106"/>
  <c r="H29" i="118"/>
  <c r="K28" i="118"/>
  <c r="O27" i="118"/>
  <c r="O29" i="118"/>
  <c r="N22" i="3"/>
  <c r="B283" i="106"/>
  <c r="D283" i="106"/>
  <c r="L342" i="29"/>
  <c r="J41" i="3"/>
  <c r="B6216" i="106"/>
  <c r="D6216" i="106"/>
  <c r="K184" i="29"/>
  <c r="F13" i="4"/>
  <c r="B2596" i="106"/>
  <c r="D2596" i="106"/>
  <c r="G210" i="29"/>
  <c r="K41" i="3"/>
  <c r="L22" i="37"/>
  <c r="G29" i="108"/>
  <c r="I129" i="29"/>
  <c r="B7037" i="106"/>
  <c r="D7037" i="106"/>
  <c r="D6103" i="106"/>
  <c r="B3647" i="106"/>
  <c r="D3647" i="106"/>
  <c r="L13" i="11"/>
  <c r="B2060" i="106"/>
  <c r="D2060" i="106"/>
  <c r="B1308" i="106"/>
  <c r="D1308" i="106"/>
  <c r="E174" i="29"/>
  <c r="B1309" i="106"/>
  <c r="D1309" i="106"/>
  <c r="E29" i="108"/>
  <c r="B3254" i="106"/>
  <c r="D3254" i="106"/>
  <c r="I24" i="12"/>
  <c r="B3649" i="106"/>
  <c r="D3649" i="106"/>
  <c r="G367" i="29"/>
  <c r="B3650" i="106"/>
  <c r="D3650" i="106"/>
  <c r="D5" i="4"/>
  <c r="B3406" i="106"/>
  <c r="D3406" i="106"/>
  <c r="L312" i="29"/>
  <c r="I342" i="29"/>
  <c r="B7222" i="106"/>
  <c r="D7222" i="106"/>
  <c r="K350" i="29"/>
  <c r="F21" i="8"/>
  <c r="K24" i="12"/>
  <c r="F41" i="34"/>
  <c r="F35" i="34"/>
  <c r="D3583" i="106"/>
  <c r="B3635" i="106"/>
  <c r="F45" i="34"/>
  <c r="K285" i="29"/>
  <c r="B3724" i="106"/>
  <c r="D3724" i="106"/>
  <c r="B1410" i="106"/>
  <c r="D1410" i="106"/>
  <c r="B1329" i="106"/>
  <c r="D1329" i="106"/>
  <c r="F61" i="34"/>
  <c r="D12" i="7"/>
  <c r="B1769" i="106"/>
  <c r="D1769" i="106"/>
  <c r="B1746" i="106"/>
  <c r="D1746" i="106"/>
  <c r="F127" i="34"/>
  <c r="D13" i="7"/>
  <c r="B3726" i="106"/>
  <c r="D3726" i="106"/>
  <c r="I170" i="5"/>
  <c r="B4216" i="106"/>
  <c r="D4216" i="106"/>
  <c r="B5096" i="106"/>
  <c r="D5096" i="106"/>
  <c r="D4" i="7"/>
  <c r="B1760" i="106"/>
  <c r="D1760" i="106"/>
  <c r="F106" i="34"/>
  <c r="G5" i="4"/>
  <c r="B3409" i="106"/>
  <c r="D3409" i="106"/>
  <c r="F124" i="34"/>
  <c r="C109" i="5"/>
  <c r="B5121" i="106"/>
  <c r="D5121" i="106"/>
  <c r="G169" i="5"/>
  <c r="G170" i="5"/>
  <c r="D109" i="5"/>
  <c r="I267" i="5"/>
  <c r="B4435" i="106"/>
  <c r="D4435" i="106"/>
  <c r="B4396" i="106"/>
  <c r="D4396" i="106"/>
  <c r="G109" i="5"/>
  <c r="B5066" i="106"/>
  <c r="D5066" i="106"/>
  <c r="F111" i="34"/>
  <c r="C169" i="5"/>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F169" i="5"/>
  <c r="B5644" i="106"/>
  <c r="D5644" i="106"/>
  <c r="C41" i="3"/>
  <c r="B93" i="106"/>
  <c r="D93" i="106"/>
  <c r="H295" i="29"/>
  <c r="B1454" i="106"/>
  <c r="D1454" i="106"/>
  <c r="B4156" i="106"/>
  <c r="D4156" i="106"/>
  <c r="H172" i="29"/>
  <c r="H174" i="29"/>
  <c r="B1318" i="106"/>
  <c r="D1318" i="106"/>
  <c r="B2823" i="106"/>
  <c r="D2823" i="106"/>
  <c r="J90" i="28"/>
  <c r="H352" i="29"/>
  <c r="B3656" i="106"/>
  <c r="D3656" i="106"/>
  <c r="K168" i="29"/>
  <c r="K172" i="29"/>
  <c r="K174" i="29"/>
  <c r="F10" i="34"/>
  <c r="E102" i="29"/>
  <c r="B2790" i="106"/>
  <c r="D2790" i="106"/>
  <c r="J342" i="29"/>
  <c r="B7223" i="106"/>
  <c r="D7223" i="106"/>
  <c r="G342" i="29"/>
  <c r="B7220" i="106"/>
  <c r="D7220" i="106"/>
  <c r="K137" i="29"/>
  <c r="K84" i="29"/>
  <c r="B2088" i="106"/>
  <c r="D2088" i="106"/>
  <c r="B79" i="36"/>
  <c r="B77" i="36"/>
  <c r="D18" i="7"/>
  <c r="B4105" i="106"/>
  <c r="D4105" i="106"/>
  <c r="F105" i="34"/>
  <c r="F107" i="34"/>
  <c r="F109" i="5"/>
  <c r="J109" i="5"/>
  <c r="J170" i="5"/>
  <c r="F95" i="34"/>
  <c r="F125" i="34"/>
  <c r="D14" i="7"/>
  <c r="B1770" i="106"/>
  <c r="D1770" i="106"/>
  <c r="F5" i="4"/>
  <c r="B3408" i="106"/>
  <c r="D3408" i="106"/>
  <c r="C5" i="4"/>
  <c r="B3405" i="106"/>
  <c r="D3405" i="106"/>
  <c r="B6840" i="106"/>
  <c r="D6840" i="106"/>
  <c r="B6839" i="106"/>
  <c r="D6839" i="106"/>
  <c r="B6838" i="106"/>
  <c r="D6838" i="106"/>
  <c r="D169"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7215" i="106"/>
  <c r="D7215" i="106"/>
  <c r="B6893" i="106"/>
  <c r="D6893" i="106"/>
  <c r="F47" i="34"/>
  <c r="B6877" i="106"/>
  <c r="D6877" i="106"/>
  <c r="F39" i="34"/>
  <c r="B3703" i="106"/>
  <c r="D3703" i="106"/>
  <c r="K362" i="29"/>
  <c r="B3676" i="106"/>
  <c r="D3676" i="106"/>
  <c r="D352" i="29"/>
  <c r="D367" i="29"/>
  <c r="B3629" i="106"/>
  <c r="D3629" i="106"/>
  <c r="I76" i="4"/>
  <c r="L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66" i="106"/>
  <c r="D1266" i="106"/>
  <c r="B1239" i="106"/>
  <c r="D1239" i="106"/>
  <c r="E129" i="29"/>
  <c r="B1146" i="106"/>
  <c r="D1146" i="106"/>
  <c r="K110" i="29"/>
  <c r="B122" i="106"/>
  <c r="D122" i="106"/>
  <c r="D41" i="3"/>
  <c r="E17" i="145"/>
  <c r="G17" i="145"/>
  <c r="B1134" i="106"/>
  <c r="D1134" i="106"/>
  <c r="B7759" i="106"/>
  <c r="D7759" i="106"/>
  <c r="B1339" i="106"/>
  <c r="D1339" i="106"/>
  <c r="C210" i="29"/>
  <c r="B1340" i="106"/>
  <c r="D1340"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F266" i="5"/>
  <c r="B5713" i="106"/>
  <c r="D5713" i="106"/>
  <c r="B4397" i="106"/>
  <c r="D4397" i="106"/>
  <c r="B4950" i="106"/>
  <c r="D4950" i="106"/>
  <c r="H267" i="5"/>
  <c r="H7" i="4"/>
  <c r="B2657" i="106"/>
  <c r="D2657" i="106"/>
  <c r="L210" i="29"/>
  <c r="L102" i="29"/>
  <c r="B1121" i="106"/>
  <c r="D1121" i="106"/>
  <c r="K53" i="29"/>
  <c r="E12" i="145"/>
  <c r="B731" i="106"/>
  <c r="D731" i="106"/>
  <c r="C74" i="29"/>
  <c r="B755" i="106"/>
  <c r="D755" i="106"/>
  <c r="B1116" i="106"/>
  <c r="D1116" i="106"/>
  <c r="K47" i="29"/>
  <c r="F157" i="34"/>
  <c r="B7600" i="106"/>
  <c r="L6" i="11"/>
  <c r="B7605" i="106"/>
  <c r="A7250" i="106"/>
  <c r="A7251" i="106"/>
  <c r="A7252" i="106"/>
  <c r="A7253" i="106"/>
  <c r="A7254" i="106"/>
  <c r="A7255" i="106"/>
  <c r="A7256" i="106"/>
  <c r="A7257" i="106"/>
  <c r="D7249" i="106"/>
  <c r="E266" i="5"/>
  <c r="B6835" i="106"/>
  <c r="D6835" i="106"/>
  <c r="G266" i="5"/>
  <c r="B4398" i="106"/>
  <c r="D4398" i="106"/>
  <c r="B5537" i="106"/>
  <c r="D5537" i="106"/>
  <c r="E170" i="5"/>
  <c r="I109" i="5"/>
  <c r="L279" i="29"/>
  <c r="L295" i="29"/>
  <c r="L74" i="29"/>
  <c r="K33" i="29"/>
  <c r="B720" i="106"/>
  <c r="D720" i="106"/>
  <c r="B7618" i="106"/>
  <c r="L14" i="11"/>
  <c r="B7623" i="106"/>
  <c r="D7250" i="106"/>
  <c r="B7230" i="106"/>
  <c r="D7230" i="106"/>
  <c r="I352" i="29"/>
  <c r="I367" i="29"/>
  <c r="B7202" i="106"/>
  <c r="D7202" i="106"/>
  <c r="F342" i="29"/>
  <c r="B7219" i="106"/>
  <c r="D7219" i="106"/>
  <c r="B7503" i="106"/>
  <c r="B7531" i="106"/>
  <c r="D7251" i="106"/>
  <c r="B7214" i="106"/>
  <c r="D7214" i="106"/>
  <c r="B7201" i="106"/>
  <c r="D7201" i="106"/>
  <c r="E342" i="29"/>
  <c r="B7218" i="106"/>
  <c r="D7218" i="106"/>
  <c r="B6917" i="106"/>
  <c r="D6917" i="106"/>
  <c r="J74" i="29"/>
  <c r="D266" i="5"/>
  <c r="B5501" i="106"/>
  <c r="D5501" i="106"/>
  <c r="D7248" i="106"/>
  <c r="D7247" i="106"/>
  <c r="D7246" i="106"/>
  <c r="J312" i="29"/>
  <c r="B7117" i="106"/>
  <c r="D7117" i="106"/>
  <c r="I312" i="29"/>
  <c r="B7116" i="106"/>
  <c r="D7116" i="106"/>
  <c r="B6916" i="106"/>
  <c r="D6916" i="106"/>
  <c r="I74" i="29"/>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127" i="106"/>
  <c r="D1127" i="106"/>
  <c r="K65" i="29"/>
  <c r="B1133" i="106"/>
  <c r="D1133" i="106"/>
  <c r="B1123" i="106"/>
  <c r="D1123" i="106"/>
  <c r="K57" i="29"/>
  <c r="B3640" i="106"/>
  <c r="D3640" i="106"/>
  <c r="F352" i="29"/>
  <c r="F367" i="29"/>
  <c r="B3296" i="106"/>
  <c r="D3296"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47" i="106"/>
  <c r="D1247" i="106"/>
  <c r="F129" i="29"/>
  <c r="B1231" i="106"/>
  <c r="D1231" i="106"/>
  <c r="D129" i="29"/>
  <c r="B1109" i="106"/>
  <c r="D1109" i="106"/>
  <c r="K42" i="29"/>
  <c r="H102" i="29"/>
  <c r="B1047" i="106"/>
  <c r="D1047" i="106"/>
  <c r="G74" i="29"/>
  <c r="B905" i="106"/>
  <c r="D905" i="106"/>
  <c r="F74" i="29"/>
  <c r="D74" i="29"/>
  <c r="B211" i="106"/>
  <c r="D211" i="106"/>
  <c r="B188" i="106"/>
  <c r="D188" i="106"/>
  <c r="G41" i="3"/>
  <c r="B139" i="106"/>
  <c r="D139" i="106"/>
  <c r="J19" i="145"/>
  <c r="D82" i="36"/>
  <c r="L151" i="29"/>
  <c r="C266" i="5"/>
  <c r="J24" i="12"/>
  <c r="B7730" i="106"/>
  <c r="D7730" i="106"/>
  <c r="B7270" i="106"/>
  <c r="I7" i="4"/>
  <c r="B4444" i="106"/>
  <c r="D4444" i="106"/>
  <c r="H77" i="4"/>
  <c r="B3299" i="106"/>
  <c r="D3299" i="106"/>
  <c r="F66" i="34"/>
  <c r="J16" i="4"/>
  <c r="B6226" i="106"/>
  <c r="D6226" i="106"/>
  <c r="D7255" i="106"/>
  <c r="D7254" i="106"/>
  <c r="D7256" i="106"/>
  <c r="D7252" i="106"/>
  <c r="C367" i="29"/>
  <c r="B3622" i="106"/>
  <c r="D3622" i="106"/>
  <c r="L16" i="11"/>
  <c r="B2061" i="106"/>
  <c r="D2061" i="106"/>
  <c r="K365" i="29"/>
  <c r="B7243" i="106"/>
  <c r="D7243" i="106"/>
  <c r="B7235" i="106"/>
  <c r="D7235" i="106"/>
  <c r="D41" i="108"/>
  <c r="E43" i="108"/>
  <c r="B1381" i="106"/>
  <c r="D1381" i="106"/>
  <c r="B1317" i="106"/>
  <c r="D1317" i="106"/>
  <c r="F41" i="108"/>
  <c r="G43" i="108"/>
  <c r="B1225" i="106"/>
  <c r="D1225" i="106"/>
  <c r="J151" i="29"/>
  <c r="B7052" i="106"/>
  <c r="D7052" i="106"/>
  <c r="I151" i="29"/>
  <c r="F59" i="34"/>
  <c r="H151" i="29"/>
  <c r="B1273" i="106"/>
  <c r="D1273" i="106"/>
  <c r="L114" i="29"/>
  <c r="C114" i="29"/>
  <c r="B757" i="106"/>
  <c r="D757" i="106"/>
  <c r="B5527" i="106"/>
  <c r="D5527" i="106"/>
  <c r="F174" i="34"/>
  <c r="D51" i="36"/>
  <c r="K77" i="4"/>
  <c r="B3587" i="106"/>
  <c r="D3587" i="106"/>
  <c r="D44" i="36"/>
  <c r="B5778" i="106"/>
  <c r="D5778" i="106"/>
  <c r="G6" i="4"/>
  <c r="B2604" i="106"/>
  <c r="D2604" i="106"/>
  <c r="B3568" i="106"/>
  <c r="D3568" i="106"/>
  <c r="D52" i="36"/>
  <c r="B1365" i="106"/>
  <c r="D1365" i="106"/>
  <c r="F65" i="34"/>
  <c r="D7253" i="106"/>
  <c r="B5770" i="106"/>
  <c r="D5770" i="106"/>
  <c r="B1996" i="106"/>
  <c r="D1996" i="106"/>
  <c r="I26" i="12"/>
  <c r="B7741" i="106"/>
  <c r="D7741" i="106"/>
  <c r="K342" i="29"/>
  <c r="F13" i="34"/>
  <c r="B7733" i="106"/>
  <c r="D7733" i="106"/>
  <c r="K26" i="12"/>
  <c r="B7743" i="106"/>
  <c r="D7743" i="106"/>
  <c r="B1879" i="106"/>
  <c r="D1879" i="106"/>
  <c r="H22" i="37"/>
  <c r="B3628" i="106"/>
  <c r="D3628" i="106"/>
  <c r="F73" i="34"/>
  <c r="G15" i="4"/>
  <c r="B6032" i="106"/>
  <c r="D6032" i="106"/>
  <c r="B3670" i="106"/>
  <c r="D3670" i="106"/>
  <c r="K352"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5915" i="106"/>
  <c r="D5915" i="106"/>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3318" i="106"/>
  <c r="D3318" i="106"/>
  <c r="I77" i="4"/>
  <c r="B3319" i="106"/>
  <c r="D3319" i="106"/>
  <c r="B3674"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I114" i="29"/>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90" i="106"/>
  <c r="D190" i="106"/>
  <c r="D48"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279" i="29"/>
  <c r="B1481" i="106"/>
  <c r="D1481" i="106"/>
  <c r="B2102" i="106"/>
  <c r="D2102" i="106"/>
  <c r="H15" i="4"/>
  <c r="B2660" i="106"/>
  <c r="D2660" i="106"/>
  <c r="B3636" i="106"/>
  <c r="D3636"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G22" i="108"/>
  <c r="B1119" i="106"/>
  <c r="D1119" i="106"/>
  <c r="E22" i="108"/>
  <c r="G12" i="145"/>
  <c r="G19" i="145"/>
  <c r="J20" i="145"/>
  <c r="E19" i="145"/>
  <c r="B7298" i="106"/>
  <c r="B7299" i="106"/>
  <c r="K16" i="4"/>
  <c r="B3574" i="106"/>
  <c r="D3574" i="106"/>
  <c r="K367" i="29"/>
  <c r="B3678" i="106"/>
  <c r="D3678" i="106"/>
  <c r="B7051" i="106"/>
  <c r="D7051" i="106"/>
  <c r="B1145" i="106"/>
  <c r="D1145" i="106"/>
  <c r="B7224" i="106"/>
  <c r="D7224" i="106"/>
  <c r="D268" i="5"/>
  <c r="B5508" i="106"/>
  <c r="D5508" i="106"/>
  <c r="E41" i="108"/>
  <c r="E44" i="108"/>
  <c r="E45" i="108"/>
  <c r="J17" i="4"/>
  <c r="B6227" i="106"/>
  <c r="D6227" i="106"/>
  <c r="G41" i="108"/>
  <c r="G44" i="108"/>
  <c r="G45" i="108"/>
  <c r="K13" i="4"/>
  <c r="B3572" i="106"/>
  <c r="D3572" i="106"/>
  <c r="B3672" i="106"/>
  <c r="D3672" i="106"/>
  <c r="F268" i="5"/>
  <c r="B5720" i="106"/>
  <c r="D5720" i="106"/>
  <c r="B5507" i="106"/>
  <c r="D5507" i="106"/>
  <c r="B5719" i="106"/>
  <c r="D5719" i="106"/>
  <c r="F6" i="4"/>
  <c r="B2593" i="106"/>
  <c r="D2593" i="106"/>
  <c r="B5653" i="106"/>
  <c r="D5653" i="106"/>
  <c r="B2655" i="106"/>
  <c r="D2655" i="106"/>
  <c r="H8" i="4"/>
  <c r="B5223" i="106"/>
  <c r="D5223" i="106"/>
  <c r="C6" i="4"/>
  <c r="B2553" i="106"/>
  <c r="D2553" i="106"/>
  <c r="J8" i="4"/>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H37" i="37"/>
  <c r="B285" i="106"/>
  <c r="D285" i="106"/>
  <c r="N37" i="3"/>
  <c r="B1510" i="106"/>
  <c r="D1510" i="106"/>
  <c r="K295" i="29"/>
  <c r="F12" i="34"/>
  <c r="G13" i="4"/>
  <c r="B1282" i="106"/>
  <c r="D1282" i="106"/>
  <c r="D15" i="4"/>
  <c r="B2571" i="106"/>
  <c r="D2571"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B2567" i="106"/>
  <c r="D2567" i="106"/>
  <c r="K368" i="29"/>
  <c r="B3681" i="106"/>
  <c r="D3681" i="106"/>
  <c r="F8" i="4"/>
  <c r="F10" i="4"/>
  <c r="B4125" i="106"/>
  <c r="D4125" i="106"/>
  <c r="K17" i="4"/>
  <c r="B3575" i="106"/>
  <c r="D3575" i="106"/>
  <c r="J19" i="4"/>
  <c r="B6229" i="106"/>
  <c r="D6229" i="106"/>
  <c r="J20" i="4"/>
  <c r="B6230" i="106"/>
  <c r="D6230" i="106"/>
  <c r="J10" i="4"/>
  <c r="B6225" i="106"/>
  <c r="D6225" i="106"/>
  <c r="B6223" i="106"/>
  <c r="D6223" i="106"/>
  <c r="F76" i="34"/>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2595" i="106"/>
  <c r="D2595" i="106"/>
  <c r="D8" i="146"/>
  <c r="K20" i="4"/>
  <c r="K78" i="4"/>
  <c r="K19" i="4"/>
  <c r="B4144" i="106"/>
  <c r="D4144" i="106"/>
  <c r="J78" i="4"/>
  <c r="J81" i="4"/>
  <c r="D10" i="4"/>
  <c r="B4123" i="106"/>
  <c r="D4123" i="106"/>
  <c r="B2568" i="106"/>
  <c r="D2568" i="106"/>
  <c r="H13" i="118"/>
  <c r="D20" i="4"/>
  <c r="B2574" i="106"/>
  <c r="D2574" i="106"/>
  <c r="F14" i="34"/>
  <c r="F77"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F8" i="146"/>
  <c r="F175" i="34"/>
  <c r="F79" i="34"/>
  <c r="B3576" i="106"/>
  <c r="D3576" i="106"/>
  <c r="B6263" i="106"/>
  <c r="D6263" i="106"/>
  <c r="D78" i="4"/>
  <c r="D81" i="4"/>
  <c r="B3588" i="106"/>
  <c r="D3588" i="106"/>
  <c r="K81" i="4"/>
  <c r="F78" i="4"/>
  <c r="B2601" i="106"/>
  <c r="D2601" i="106"/>
  <c r="B3320" i="106"/>
  <c r="D3320" i="106"/>
  <c r="K17" i="118"/>
  <c r="B3300" i="106"/>
  <c r="D3300" i="106"/>
  <c r="B7631" i="106"/>
  <c r="F176" i="34"/>
  <c r="F177" i="34"/>
  <c r="F179" i="34"/>
  <c r="A7262" i="106"/>
  <c r="D7261" i="106"/>
  <c r="H16" i="37"/>
  <c r="G78" i="4"/>
  <c r="B2613" i="106"/>
  <c r="D2613" i="106"/>
  <c r="B2562" i="106"/>
  <c r="D2562" i="106"/>
  <c r="C78" i="4"/>
  <c r="B10" i="146"/>
  <c r="F9" i="146"/>
  <c r="F10" i="146"/>
  <c r="E78" i="4"/>
  <c r="B2636" i="106"/>
  <c r="D2636" i="106"/>
  <c r="D64" i="36"/>
  <c r="J82" i="4"/>
  <c r="B6266" i="106"/>
  <c r="D6266" i="106"/>
  <c r="B3239" i="106"/>
  <c r="D3239" i="106"/>
  <c r="B3278" i="106"/>
  <c r="D3278" i="106"/>
  <c r="B3233" i="106"/>
  <c r="D3233" i="106"/>
  <c r="C81" i="4"/>
  <c r="A7263" i="106"/>
  <c r="D7262" i="106"/>
  <c r="O16" i="118"/>
  <c r="F81" i="4"/>
  <c r="B3256" i="106"/>
  <c r="D3256" i="106"/>
  <c r="G81" i="4"/>
  <c r="B3262" i="106"/>
  <c r="D3262" i="106"/>
  <c r="B3591" i="106"/>
  <c r="D3591" i="106"/>
  <c r="D65" i="36"/>
  <c r="K82" i="4"/>
  <c r="J83" i="4"/>
  <c r="B6283" i="106"/>
  <c r="D6283" i="106"/>
  <c r="B6274" i="106"/>
  <c r="D6274" i="106"/>
  <c r="D82" i="4"/>
  <c r="B1644" i="106"/>
  <c r="D1644" i="106"/>
  <c r="D58" i="36"/>
  <c r="C11" i="146"/>
  <c r="B6275" i="106"/>
  <c r="D6275" i="106"/>
  <c r="K83" i="4"/>
  <c r="B6284" i="106"/>
  <c r="D6284" i="106"/>
  <c r="B11" i="146"/>
  <c r="C82" i="4"/>
  <c r="D57" i="36"/>
  <c r="B1630" i="106"/>
  <c r="D1630" i="106"/>
  <c r="G82" i="4"/>
  <c r="D61" i="36"/>
  <c r="B1686" i="106"/>
  <c r="D1686" i="106"/>
  <c r="B1672" i="106"/>
  <c r="D1672" i="106"/>
  <c r="F82" i="4"/>
  <c r="D11" i="146"/>
  <c r="D60" i="36"/>
  <c r="A7264" i="106"/>
  <c r="D7263" i="106"/>
  <c r="B6268" i="106"/>
  <c r="D6268" i="106"/>
  <c r="D83" i="4"/>
  <c r="B6277" i="106"/>
  <c r="D6277" i="106"/>
  <c r="A7265" i="106"/>
  <c r="D7264"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3321" i="106"/>
  <c r="D3321" i="106"/>
  <c r="I81" i="4"/>
  <c r="B1687" i="106"/>
  <c r="D1687" i="106"/>
  <c r="H81" i="4"/>
  <c r="B1645" i="106"/>
  <c r="D1645" i="106"/>
  <c r="E81" i="4"/>
  <c r="B3323" i="106"/>
  <c r="D3323" i="106"/>
  <c r="E11" i="146"/>
  <c r="F11" i="146"/>
  <c r="I82" i="4"/>
  <c r="J16" i="37"/>
  <c r="B4269" i="106"/>
  <c r="D4269" i="106"/>
  <c r="H12" i="118"/>
  <c r="K12" i="118"/>
  <c r="B1700" i="106"/>
  <c r="D1700" i="106"/>
  <c r="H82" i="4"/>
  <c r="E82" i="4"/>
  <c r="B1658" i="106"/>
  <c r="D1658" i="106"/>
  <c r="O11" i="118"/>
  <c r="O13" i="118"/>
  <c r="J20" i="118"/>
  <c r="I83" i="4"/>
  <c r="B6282" i="106"/>
  <c r="D6282" i="106"/>
  <c r="B6273" i="106"/>
  <c r="D6273" i="106"/>
  <c r="C12" i="146"/>
  <c r="D29" i="36"/>
  <c r="J24" i="24"/>
  <c r="H83" i="4"/>
  <c r="B6281" i="106"/>
  <c r="D6281" i="106"/>
  <c r="B6272" i="106"/>
  <c r="D6272" i="106"/>
  <c r="B6269" i="106"/>
  <c r="D6269" i="106"/>
  <c r="E83" i="4"/>
  <c r="B6278" i="106"/>
  <c r="D6278" i="106"/>
  <c r="K20" i="118"/>
  <c r="O17" i="118"/>
  <c r="O20" i="118"/>
  <c r="O35" i="118"/>
  <c r="O37" i="118"/>
  <c r="B2912" i="106"/>
  <c r="D2912" i="106"/>
  <c r="I41" i="3"/>
  <c r="D63" i="36"/>
  <c r="B140" i="106"/>
  <c r="D140" i="106"/>
  <c r="E41" i="3"/>
  <c r="D59" i="36"/>
  <c r="D50" i="36"/>
  <c r="B2913" i="106"/>
  <c r="D2913" i="106"/>
  <c r="B141" i="106"/>
  <c r="D141" i="106"/>
  <c r="D46" i="36"/>
  <c r="B212" i="106"/>
  <c r="D212" i="106"/>
  <c r="H41" i="3"/>
  <c r="D62" i="36"/>
  <c r="D76" i="36"/>
  <c r="B282" i="106"/>
  <c r="D282" i="106"/>
  <c r="N23" i="3"/>
  <c r="D49" i="36"/>
  <c r="B213" i="106"/>
  <c r="D213" i="106"/>
  <c r="B284" i="106"/>
  <c r="D284" i="106"/>
  <c r="D55" i="36"/>
  <c r="B1" i="176" l="1"/>
  <c r="B1" i="174"/>
  <c r="B1" i="177"/>
  <c r="A1" i="1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<sst xmlns="http://schemas.openxmlformats.org/spreadsheetml/2006/main" count="5155" uniqueCount="2138">
  <si>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</si>
  <si>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</si>
  <si>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</si>
  <si>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</si>
  <si>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</si>
  <si>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</si>
  <si>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</si>
  <si>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</si>
  <si>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</si>
  <si>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</si>
  <si>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</si>
  <si>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</si>
  <si>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</si>
  <si>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</si>
  <si>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</si>
  <si>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</si>
  <si>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</si>
  <si>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</si>
  <si>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</si>
  <si>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</si>
  <si>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</si>
  <si>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</si>
  <si>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</si>
  <si>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</si>
  <si>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</si>
  <si>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</si>
  <si>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</si>
  <si>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</si>
  <si>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</si>
  <si>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</si>
  <si>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</si>
  <si>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</si>
  <si>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</si>
  <si>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</si>
  <si>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</si>
  <si>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</si>
  <si>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</si>
  <si>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</si>
  <si>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</si>
  <si>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</si>
  <si>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</si>
  <si>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</si>
  <si>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</si>
  <si>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</si>
  <si>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</si>
  <si>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</si>
  <si>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</si>
  <si>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</si>
  <si>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</si>
  <si>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</si>
  <si>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</si>
  <si>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</si>
  <si>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</si>
  <si>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</si>
  <si>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</si>
  <si>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</si>
  <si>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</si>
  <si>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</si>
  <si>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</si>
  <si>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</si>
  <si>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</si>
  <si>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</si>
  <si>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</si>
  <si>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</si>
  <si>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</si>
  <si>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</si>
  <si>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</si>
  <si>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</si>
  <si>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</si>
  <si>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</si>
  <si>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</si>
  <si>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</si>
  <si>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</si>
  <si>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</si>
  <si>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</si>
  <si>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</si>
  <si>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</si>
  <si>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</si>
  <si>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</si>
  <si>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</si>
  <si>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</si>
  <si>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</si>
  <si>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</si>
  <si>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</si>
  <si>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</si>
  <si>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</si>
  <si>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</si>
  <si>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</si>
  <si>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</si>
  <si>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</si>
  <si>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</si>
  <si>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</si>
  <si>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</si>
  <si>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</si>
  <si>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</si>
  <si>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</si>
  <si>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</si>
  <si>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</si>
  <si>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</si>
  <si>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</si>
  <si>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</si>
  <si>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</si>
  <si>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</si>
  <si>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</si>
  <si>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</si>
  <si>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</si>
  <si>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</si>
  <si>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</si>
  <si>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</si>
  <si>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</si>
  <si>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</si>
  <si>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</si>
  <si>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</si>
  <si>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</si>
  <si>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</si>
  <si>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</si>
  <si>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</si>
  <si>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</si>
  <si>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</si>
  <si>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</si>
  <si>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</si>
  <si>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</si>
  <si>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</si>
  <si>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</si>
  <si>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</si>
  <si>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</si>
  <si>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</si>
  <si>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</si>
  <si>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</si>
  <si>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</si>
  <si>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</si>
  <si>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</si>
  <si>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</si>
  <si>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</si>
  <si>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</si>
  <si>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</si>
  <si>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</si>
  <si>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</si>
  <si>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</si>
  <si>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</si>
  <si>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</si>
  <si>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</si>
  <si>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</si>
  <si>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</si>
  <si>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</si>
  <si>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</si>
  <si>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</si>
  <si>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</si>
  <si>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</si>
  <si>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</si>
  <si>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</si>
  <si>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</si>
  <si>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</si>
  <si>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</si>
  <si>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</si>
  <si>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</si>
  <si>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</si>
  <si>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</si>
  <si>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</si>
  <si>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</si>
  <si>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</si>
  <si>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</si>
  <si>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</si>
  <si>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</si>
  <si>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</si>
  <si>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</si>
  <si>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</si>
  <si>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</si>
  <si>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</si>
  <si>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</si>
  <si>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</si>
  <si>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</si>
  <si>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</si>
  <si>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</si>
  <si>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</si>
  <si>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</si>
  <si>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</si>
  <si>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</si>
  <si>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</si>
  <si>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</si>
  <si>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</si>
  <si>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</si>
  <si>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</si>
  <si>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</si>
  <si>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</si>
  <si>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</si>
  <si>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</si>
  <si>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</si>
  <si>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</si>
  <si>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</si>
  <si>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</si>
  <si>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</si>
  <si>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</si>
  <si>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</si>
  <si>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</si>
  <si>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</si>
  <si>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</si>
  <si>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</si>
  <si>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</si>
  <si>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</si>
  <si>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</si>
  <si>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</si>
  <si>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</si>
  <si>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</si>
  <si>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</si>
  <si>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</si>
  <si>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</si>
  <si>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</si>
  <si>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</si>
  <si>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</si>
  <si>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</si>
  <si>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</si>
  <si>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</si>
  <si>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</si>
  <si>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</si>
  <si>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</si>
  <si>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</si>
  <si>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</si>
  <si>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</si>
  <si>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</si>
  <si>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</si>
  <si>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</si>
  <si>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</si>
  <si>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</si>
  <si>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</si>
  <si>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</si>
  <si>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</si>
  <si>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</si>
  <si>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</si>
  <si>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</si>
  <si>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</si>
  <si>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</si>
  <si>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</si>
  <si>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</si>
  <si>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</si>
  <si>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</si>
  <si>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</si>
  <si>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</si>
  <si>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</si>
  <si>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</si>
  <si>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</si>
  <si>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</si>
  <si>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</si>
  <si>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</si>
  <si>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</si>
  <si>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</si>
  <si>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</si>
  <si>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</si>
  <si>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</si>
  <si>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</si>
  <si>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</si>
  <si>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</si>
  <si>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</si>
  <si>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</si>
  <si>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</si>
  <si>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</si>
  <si>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</si>
  <si>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</si>
  <si>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</si>
  <si>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</si>
  <si>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</si>
  <si>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</si>
  <si>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</si>
  <si>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</si>
  <si>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</si>
  <si>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</si>
  <si>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</si>
  <si>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</si>
  <si>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</si>
  <si>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</si>
  <si>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</si>
  <si>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</si>
  <si>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</si>
  <si>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</si>
  <si>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</si>
  <si>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</si>
  <si>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</si>
  <si>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</si>
  <si>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</si>
  <si>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</si>
  <si>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</si>
  <si>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</si>
  <si>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</si>
  <si>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</si>
  <si>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</si>
  <si>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</si>
  <si>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</si>
  <si>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</si>
  <si>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</si>
  <si>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</si>
  <si>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</si>
  <si>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</si>
  <si>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</si>
  <si>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</si>
  <si>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</si>
  <si>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</si>
  <si>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</si>
  <si>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</si>
  <si>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</si>
  <si>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</si>
  <si>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</si>
  <si>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</si>
  <si>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</si>
  <si>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</si>
  <si>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</si>
  <si>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</si>
  <si>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</si>
  <si>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</si>
  <si>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</si>
  <si>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</si>
  <si>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</si>
  <si>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</si>
  <si>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</si>
  <si>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</si>
  <si>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</si>
  <si>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</si>
  <si>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</si>
  <si>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</si>
  <si>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</si>
  <si>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</si>
  <si>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</si>
  <si>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</si>
  <si>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</si>
  <si>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</si>
  <si>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</si>
  <si>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</si>
  <si>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</si>
  <si>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</si>
  <si>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</si>
  <si>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</si>
  <si>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</si>
  <si>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</si>
  <si>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</si>
  <si>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</si>
  <si>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</si>
  <si>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</si>
  <si>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</si>
  <si>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</si>
  <si>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</si>
  <si>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</si>
  <si>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</si>
  <si>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</si>
  <si>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</si>
  <si>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</si>
  <si>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</si>
  <si>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</si>
  <si>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</si>
  <si>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</si>
  <si>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</si>
  <si>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</si>
  <si>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</si>
  <si>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</si>
  <si>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</si>
  <si>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</si>
  <si>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</si>
  <si>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</si>
  <si>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</si>
  <si>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</si>
  <si>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</si>
  <si>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</si>
  <si>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</si>
  <si>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</si>
  <si>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</si>
  <si>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</si>
  <si>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</si>
  <si>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</si>
  <si>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</si>
  <si>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</si>
  <si>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</si>
  <si>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</si>
  <si>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</si>
  <si>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</si>
  <si>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</si>
  <si>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</si>
  <si>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</si>
  <si>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</si>
  <si>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</si>
  <si>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</si>
  <si>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</si>
  <si>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</si>
  <si>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</si>
  <si>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</si>
  <si>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</si>
  <si>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</si>
  <si>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</si>
  <si>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</si>
  <si>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</si>
  <si>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</si>
  <si>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</si>
  <si>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</si>
  <si>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</si>
  <si>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</si>
  <si>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</si>
  <si>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</si>
  <si>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</si>
  <si>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</si>
  <si>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</si>
  <si>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</si>
  <si>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</si>
  <si>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</si>
  <si>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</si>
  <si>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</si>
  <si>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</si>
  <si>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</si>
  <si>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</si>
  <si>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</si>
  <si>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</si>
  <si>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</si>
  <si>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</si>
  <si>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</si>
  <si>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</si>
  <si>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</si>
  <si>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</si>
  <si>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</si>
  <si>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</si>
  <si>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</si>
  <si>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</si>
  <si>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</si>
  <si>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</si>
  <si>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</si>
  <si>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</si>
  <si>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</si>
  <si>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</si>
  <si>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</si>
  <si>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</si>
  <si>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</si>
  <si>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</si>
  <si>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</si>
  <si>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</si>
  <si>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</si>
  <si>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</si>
  <si>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</si>
  <si>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</si>
  <si>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</si>
  <si>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</si>
  <si>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</si>
  <si>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</si>
  <si>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</si>
  <si>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</si>
  <si>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</si>
  <si>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</si>
  <si>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</si>
  <si>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</si>
  <si>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</si>
  <si>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</si>
  <si>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</si>
  <si>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</si>
  <si>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</si>
  <si>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</si>
  <si>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</si>
  <si>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</si>
  <si>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</si>
  <si>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</si>
  <si>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</si>
  <si>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</si>
  <si>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</si>
  <si>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</si>
  <si>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</si>
  <si>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</si>
  <si>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</si>
  <si>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</si>
  <si>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</si>
  <si>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</si>
  <si>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</si>
  <si>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</si>
  <si>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</si>
  <si>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</si>
  <si>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</si>
  <si>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</si>
  <si>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</si>
  <si>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</si>
  <si>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</si>
  <si>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</si>
  <si>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</si>
  <si>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</si>
  <si>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</si>
  <si>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</si>
  <si>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</si>
  <si>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</si>
  <si>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</si>
  <si>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</si>
  <si>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</si>
  <si>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</si>
  <si>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</si>
  <si>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</si>
  <si>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</si>
  <si>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</si>
  <si>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</si>
  <si>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</si>
  <si>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</si>
  <si>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</si>
  <si>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</si>
  <si>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</si>
  <si>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</si>
  <si>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</si>
  <si>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</si>
  <si>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</si>
  <si>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</si>
  <si>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</si>
  <si>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</si>
  <si>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</si>
  <si>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</si>
  <si>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</si>
  <si>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</si>
  <si>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</si>
  <si>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</si>
  <si>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</si>
  <si>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</si>
  <si>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</si>
  <si>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</si>
  <si>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</si>
  <si>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</si>
  <si>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</si>
  <si>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</si>
  <si>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</si>
  <si>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</si>
  <si>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</si>
  <si>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</si>
  <si>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</si>
  <si>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</si>
  <si>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</si>
  <si>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</si>
  <si>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</si>
  <si>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</si>
  <si>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</si>
  <si>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</si>
  <si>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</si>
  <si>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</si>
  <si>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</si>
  <si>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</si>
  <si>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</si>
  <si>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</si>
  <si>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</si>
  <si>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</si>
  <si>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</si>
  <si>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</si>
  <si>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</si>
  <si>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</si>
  <si>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</si>
  <si>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</si>
  <si>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</si>
  <si>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</si>
  <si>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</si>
  <si>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</si>
  <si>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</si>
  <si>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</si>
  <si>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</si>
  <si>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</si>
  <si>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</si>
  <si>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</si>
  <si>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</si>
  <si>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</si>
  <si>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</si>
  <si>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</si>
  <si>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</si>
  <si>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</si>
  <si>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</si>
  <si>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</si>
  <si>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</si>
  <si>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</si>
  <si>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</si>
  <si>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</si>
  <si>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</si>
  <si>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</si>
  <si>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</si>
  <si>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</si>
  <si>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</si>
  <si>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</si>
  <si>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</si>
  <si>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</si>
  <si>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</si>
  <si>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</si>
  <si>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</si>
  <si>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</si>
  <si>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</si>
  <si>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</si>
  <si>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</si>
  <si>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</si>
  <si>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</si>
  <si>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</si>
  <si>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</si>
  <si>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</si>
  <si>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</si>
  <si>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</si>
  <si>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</si>
  <si>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</si>
  <si>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</si>
  <si>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</si>
  <si>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</si>
  <si>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</si>
  <si>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</si>
  <si>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</si>
  <si>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</si>
  <si>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</si>
  <si>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</si>
  <si>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</si>
  <si>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</si>
  <si>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</si>
  <si>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</si>
  <si>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</si>
  <si>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</si>
  <si>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</si>
  <si>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</si>
  <si>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</si>
  <si>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</si>
  <si>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</si>
  <si>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</si>
  <si>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</si>
  <si>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</si>
  <si>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</si>
  <si>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</si>
  <si>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</si>
  <si>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</si>
  <si>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</si>
  <si>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</si>
  <si>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</si>
  <si>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</si>
  <si>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</si>
  <si>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</si>
  <si>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</si>
  <si>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</si>
  <si>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</si>
  <si>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</si>
  <si>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</si>
  <si>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</si>
  <si>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</si>
  <si>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</si>
  <si>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</si>
  <si>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</si>
  <si>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</si>
  <si>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</si>
  <si>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</si>
  <si>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</si>
  <si>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</si>
  <si>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</si>
  <si>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</si>
  <si>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</si>
  <si>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</si>
  <si>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</si>
  <si>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</si>
  <si>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</si>
  <si>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</si>
  <si>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</si>
  <si>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</si>
  <si>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</si>
  <si>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</si>
  <si>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</si>
  <si>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</si>
  <si>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</si>
  <si>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</si>
  <si>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</si>
  <si>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</si>
  <si>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</si>
  <si>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</si>
  <si>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</si>
  <si>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</si>
  <si>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</si>
  <si>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</si>
  <si>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</si>
  <si>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</si>
  <si>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</si>
  <si>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</si>
  <si>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</si>
  <si>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</si>
  <si>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</si>
  <si>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</si>
  <si>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</si>
  <si>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</si>
  <si>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</si>
  <si>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</si>
  <si>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</si>
  <si>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</si>
  <si>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</si>
  <si>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</si>
  <si>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</si>
  <si>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</si>
  <si>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</si>
  <si>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</si>
  <si>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</si>
  <si>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</si>
  <si>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</si>
  <si>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</si>
  <si>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</si>
  <si>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</si>
  <si>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</si>
  <si>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</si>
  <si>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</si>
  <si>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</si>
  <si>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</si>
  <si>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</si>
  <si>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</si>
  <si>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</si>
  <si>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</si>
  <si>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</si>
  <si>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</si>
  <si>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</si>
  <si>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</si>
  <si>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</si>
  <si>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</si>
  <si>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</si>
  <si>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</si>
  <si>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</si>
  <si>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</si>
  <si>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</si>
  <si>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</si>
  <si>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</si>
  <si>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</si>
  <si>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</si>
  <si>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</si>
  <si>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</si>
  <si>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</si>
  <si>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</si>
  <si>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</si>
  <si>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</si>
  <si>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</si>
  <si>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</si>
  <si>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</si>
  <si>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</si>
  <si>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</si>
  <si>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</si>
  <si>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</si>
  <si>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</si>
  <si>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</si>
  <si>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</si>
  <si>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</si>
  <si>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</si>
  <si>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</si>
  <si>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</si>
  <si>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</si>
  <si>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</si>
  <si>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</si>
  <si>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</si>
  <si>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</si>
  <si>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</si>
  <si>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</si>
  <si>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</si>
  <si>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</si>
  <si>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</si>
  <si>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</si>
  <si>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</si>
  <si>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</si>
  <si>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</si>
  <si>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</si>
  <si>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</si>
  <si>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</si>
  <si>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</si>
  <si>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</si>
  <si>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</si>
  <si>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</si>
  <si>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</si>
  <si>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</si>
  <si>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</si>
  <si>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</si>
  <si>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</si>
  <si>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</si>
  <si>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</si>
  <si>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</si>
  <si>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</si>
  <si>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</si>
  <si>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</si>
  <si>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</si>
  <si>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</si>
  <si>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</si>
  <si>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</si>
  <si>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</si>
  <si>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</si>
  <si>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</si>
  <si>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</si>
  <si>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</si>
  <si>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</si>
  <si>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</si>
  <si>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</si>
  <si>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</si>
  <si>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</si>
  <si>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</si>
  <si>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</si>
  <si>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</si>
  <si>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</si>
  <si>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</si>
  <si>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</si>
  <si>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</si>
  <si>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</si>
  <si>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</si>
  <si>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</si>
  <si>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</si>
  <si>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</si>
  <si>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</si>
  <si>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</si>
  <si>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</si>
  <si>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</si>
  <si>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</si>
  <si>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</si>
  <si>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</si>
  <si>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</si>
  <si>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</si>
  <si>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</si>
  <si>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</si>
  <si>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</si>
  <si>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</si>
  <si>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</si>
  <si>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</si>
  <si>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</si>
  <si>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</si>
  <si>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</si>
  <si>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</si>
  <si>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</si>
  <si>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</si>
  <si>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</si>
  <si>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</si>
  <si>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</si>
  <si>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</si>
  <si>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</si>
  <si>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</si>
  <si>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</si>
  <si>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</si>
  <si>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</si>
  <si>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</si>
  <si>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</si>
  <si>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</si>
  <si>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</si>
  <si>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</si>
  <si>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</si>
  <si>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</si>
  <si>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</si>
  <si>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</si>
  <si>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</si>
  <si>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</si>
  <si>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</si>
  <si>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</si>
  <si>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</si>
  <si>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</si>
  <si>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</si>
  <si>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</si>
  <si>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</si>
  <si>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</si>
  <si>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</si>
  <si>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</si>
  <si>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</si>
  <si>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</si>
  <si>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</si>
  <si>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</si>
  <si>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</si>
  <si>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</si>
  <si>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</si>
  <si>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</si>
  <si>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</si>
  <si>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</si>
  <si>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</si>
  <si>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</si>
  <si>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</si>
  <si>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</si>
  <si>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</si>
  <si>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</si>
  <si>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</si>
  <si>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</si>
  <si>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</si>
  <si>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</si>
  <si>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</si>
  <si>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</si>
  <si>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</si>
  <si>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</si>
  <si>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</si>
  <si>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</si>
  <si>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</si>
  <si>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</si>
  <si>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</si>
  <si>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</si>
  <si>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</si>
  <si>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</si>
  <si>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</si>
  <si>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</si>
  <si>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</si>
  <si>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</si>
  <si>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</si>
  <si>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</si>
  <si>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</si>
  <si>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</si>
  <si>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</si>
  <si>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</si>
  <si>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</si>
  <si>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</si>
  <si>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</si>
  <si>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</si>
  <si>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</si>
  <si>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</si>
  <si>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</si>
  <si>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</si>
  <si>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</si>
  <si>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</si>
  <si>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</si>
  <si>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</si>
  <si>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</si>
  <si>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</si>
  <si>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</si>
  <si>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</si>
  <si>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</si>
  <si>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</si>
  <si>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</si>
  <si>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</si>
  <si>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</si>
  <si>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</si>
  <si>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</si>
  <si>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</si>
  <si>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</si>
  <si>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</si>
  <si>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</si>
  <si>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</si>
  <si>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</si>
  <si>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</si>
  <si>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</si>
  <si>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</si>
  <si>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</si>
  <si>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</si>
  <si>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</si>
  <si>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</si>
  <si>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</si>
  <si>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</si>
  <si>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</si>
  <si>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</si>
  <si>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</si>
  <si>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</si>
  <si>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</si>
  <si>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</si>
  <si>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</si>
  <si>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</si>
  <si>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</si>
  <si>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</si>
  <si>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</si>
  <si>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</si>
  <si>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</si>
  <si>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</si>
  <si>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</si>
  <si>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</si>
  <si>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</si>
  <si>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</si>
  <si>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</si>
  <si>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</si>
  <si>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</si>
  <si>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</si>
  <si>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</si>
  <si>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</si>
  <si>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</si>
  <si>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</si>
  <si>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</si>
  <si>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</si>
  <si>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</si>
  <si>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</si>
  <si>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</si>
  <si>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</si>
  <si>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</si>
  <si>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</si>
  <si>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</si>
  <si>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</si>
  <si>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</si>
  <si>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</si>
  <si>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</si>
  <si>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</si>
  <si>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</si>
  <si>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</si>
  <si>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</si>
  <si>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</si>
  <si>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</si>
  <si>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</si>
  <si>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</si>
  <si>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</si>
  <si>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</si>
  <si>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</si>
  <si>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</si>
  <si>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</si>
  <si>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</si>
  <si>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</si>
  <si>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</si>
  <si>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</si>
  <si>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</si>
  <si>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</si>
  <si>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</si>
  <si>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</si>
  <si>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</si>
  <si>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</si>
  <si>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</si>
  <si>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</si>
  <si>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</si>
  <si>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</si>
  <si>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</si>
  <si>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</si>
  <si>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</si>
  <si>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</si>
  <si>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</si>
  <si>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</si>
  <si>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</si>
  <si>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</si>
  <si>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</si>
  <si>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</si>
  <si>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</si>
  <si>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</si>
  <si>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</si>
  <si>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</si>
  <si>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</si>
  <si>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</si>
  <si>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</si>
  <si>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</si>
  <si>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</si>
  <si>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</si>
  <si>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</si>
  <si>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</si>
  <si>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</si>
  <si>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</si>
  <si>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</si>
  <si>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</si>
  <si>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</si>
  <si>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</si>
  <si>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</si>
  <si>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</si>
  <si>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</si>
  <si>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</si>
  <si>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</si>
  <si>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</si>
  <si>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</si>
  <si>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</si>
  <si>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</si>
  <si>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</si>
  <si>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</si>
  <si>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</si>
  <si>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</si>
  <si>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</si>
  <si>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</si>
  <si>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</si>
  <si>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</si>
  <si>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</si>
  <si>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</si>
  <si>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</si>
  <si>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</si>
  <si>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</si>
  <si>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</si>
  <si>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</si>
  <si>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</si>
  <si>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</si>
  <si>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</si>
  <si>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</si>
  <si>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</si>
  <si>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</si>
  <si>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</si>
  <si>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</si>
  <si>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</si>
  <si>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</si>
  <si>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</si>
  <si>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</si>
  <si>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</si>
  <si>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</si>
  <si>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</si>
  <si>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</si>
  <si>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</si>
  <si>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</si>
  <si>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</si>
  <si>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</si>
  <si>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</si>
  <si>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</si>
  <si>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</si>
  <si>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</si>
  <si>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</si>
  <si>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</si>
  <si>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</si>
  <si>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</si>
  <si>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</si>
  <si>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</si>
  <si>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</si>
  <si>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</si>
  <si>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</si>
  <si>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</si>
  <si>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</si>
  <si>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</si>
  <si>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</si>
  <si>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</si>
  <si>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</si>
  <si>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</si>
  <si>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</si>
  <si>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</si>
  <si>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</si>
  <si>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</si>
  <si>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</si>
  <si>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</si>
  <si>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</si>
  <si>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</si>
  <si>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</si>
  <si>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</si>
  <si>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</si>
  <si>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</si>
  <si>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</si>
  <si>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</si>
  <si>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</si>
  <si>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</si>
  <si>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</si>
  <si>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</si>
  <si>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</si>
  <si>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</si>
  <si>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</si>
  <si>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</si>
  <si>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</si>
  <si>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</si>
  <si>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</si>
  <si>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</si>
  <si>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</si>
  <si>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</si>
  <si>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</si>
  <si>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</si>
  <si>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</si>
  <si>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</si>
  <si>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</si>
  <si>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</si>
  <si>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</si>
  <si>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</si>
  <si>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</si>
  <si>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</si>
  <si>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</si>
  <si>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</si>
  <si>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</si>
  <si>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</si>
  <si>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</si>
  <si>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</si>
  <si>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</si>
  <si>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</si>
  <si>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</si>
  <si>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</si>
  <si>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</si>
  <si>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</si>
  <si>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</si>
  <si>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</si>
  <si>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</si>
  <si>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</si>
  <si>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</si>
  <si>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</si>
  <si>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</si>
  <si>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</si>
  <si>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</si>
  <si>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</si>
  <si>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</si>
  <si>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</si>
  <si>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</si>
  <si>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</si>
  <si>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</si>
  <si>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</si>
  <si>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</si>
  <si>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</si>
  <si>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</si>
  <si>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</si>
  <si>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</si>
  <si>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</si>
  <si>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</si>
  <si>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</si>
  <si>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</si>
  <si>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</si>
  <si>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</si>
  <si>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</si>
  <si>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</si>
  <si>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</si>
  <si>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</si>
  <si>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</si>
  <si>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</si>
  <si>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</si>
  <si>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</si>
  <si>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</si>
  <si>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</si>
  <si>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</si>
  <si>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</si>
  <si>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</si>
  <si>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</si>
  <si>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</si>
  <si>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</si>
  <si>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</si>
  <si>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</si>
  <si>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</si>
  <si>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</si>
  <si>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</si>
  <si>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</si>
  <si>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</si>
  <si>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</si>
  <si>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</si>
  <si>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</si>
  <si>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</si>
  <si>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</si>
  <si>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</si>
  <si>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</si>
  <si>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</si>
  <si>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</si>
  <si>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</si>
  <si>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</si>
  <si>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</si>
  <si>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</si>
  <si>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</si>
  <si>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</si>
  <si>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</si>
  <si>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</si>
  <si>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</si>
  <si>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</si>
  <si>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</si>
  <si>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</si>
  <si>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</si>
  <si>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</si>
  <si>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</si>
  <si>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</si>
  <si>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</si>
  <si>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</si>
  <si>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</si>
  <si>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</si>
  <si>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</si>
  <si>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</si>
  <si>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</si>
  <si>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</si>
  <si>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</si>
  <si>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</si>
  <si>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</si>
  <si>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</si>
  <si>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</si>
  <si>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</si>
  <si>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</si>
  <si>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</si>
  <si>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</si>
  <si>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</si>
  <si>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</si>
  <si>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</si>
  <si>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</si>
  <si>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</si>
  <si>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</si>
  <si>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</si>
  <si>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</si>
  <si>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</si>
  <si>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</si>
  <si>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</si>
  <si>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</si>
  <si>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</si>
  <si>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</si>
  <si>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</si>
  <si>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</si>
  <si>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</si>
  <si>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</si>
  <si>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</si>
  <si>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</si>
  <si>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</si>
  <si>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</si>
  <si>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</si>
  <si>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</si>
  <si>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</si>
  <si>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</si>
  <si>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</si>
  <si>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</si>
  <si>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</si>
  <si>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</si>
  <si>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</si>
  <si>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</si>
  <si>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</si>
  <si>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</si>
  <si>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</si>
  <si>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</si>
  <si>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</si>
  <si>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</si>
  <si>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</si>
  <si>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</si>
  <si>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</si>
  <si>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</si>
  <si>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</si>
  <si>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</si>
  <si>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</si>
  <si>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</si>
  <si>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</si>
  <si>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</si>
  <si>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</si>
  <si>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</si>
  <si>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</si>
  <si>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</si>
  <si>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</si>
  <si>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</si>
  <si>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</si>
  <si>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</si>
  <si>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</si>
  <si>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</si>
  <si>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</si>
  <si>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</si>
  <si>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</si>
  <si>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</si>
  <si>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</si>
  <si>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</si>
  <si>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</si>
  <si>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</si>
  <si>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</si>
  <si>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</si>
  <si>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</si>
  <si>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</si>
  <si>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</si>
  <si>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</si>
  <si>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</si>
  <si>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</si>
  <si>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</si>
  <si>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</si>
  <si>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</si>
  <si>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</si>
  <si>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</si>
  <si>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</si>
  <si>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</si>
  <si>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</si>
  <si>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</si>
  <si>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</si>
  <si>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</si>
  <si>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</si>
  <si>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</si>
  <si>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</si>
  <si>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</si>
  <si>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</si>
  <si>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</si>
  <si>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</si>
  <si>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</si>
  <si>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</si>
  <si>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</si>
  <si>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</si>
  <si>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</si>
  <si>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</si>
  <si>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</si>
  <si>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</si>
  <si>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</si>
  <si>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</si>
  <si>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</si>
  <si>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</si>
  <si>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</si>
  <si>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</si>
  <si>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</si>
  <si>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</si>
  <si>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</si>
  <si>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</si>
  <si>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</si>
  <si>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</si>
  <si>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</si>
  <si>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</si>
  <si>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</si>
  <si>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</si>
  <si>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</si>
  <si>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</si>
  <si>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</si>
  <si>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</si>
  <si>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</si>
  <si>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</si>
  <si>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</si>
  <si>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</si>
  <si>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</si>
  <si>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</si>
  <si>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</si>
  <si>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</si>
  <si>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</si>
  <si>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</si>
  <si>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</si>
  <si>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</si>
  <si>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</si>
  <si>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</si>
  <si>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</si>
  <si>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</si>
  <si>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</si>
  <si>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</si>
  <si>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</si>
  <si>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</si>
  <si>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</si>
  <si>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</si>
  <si>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</si>
  <si>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</si>
  <si>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</si>
  <si>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</si>
  <si>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</si>
  <si>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</si>
  <si>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</si>
  <si>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</si>
  <si>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</si>
  <si>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</si>
  <si>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</si>
  <si>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</si>
  <si>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</si>
  <si>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</si>
  <si>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</si>
  <si>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</si>
  <si>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</si>
  <si>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</si>
  <si>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</si>
  <si>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</si>
  <si>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</si>
  <si>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</si>
  <si>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</si>
  <si>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</si>
  <si>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</si>
  <si>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</si>
  <si>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</si>
  <si>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</si>
  <si>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</si>
  <si>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</si>
  <si>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</si>
  <si>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</si>
  <si>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</si>
  <si>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</si>
  <si>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</si>
  <si>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</si>
  <si>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</si>
  <si>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</si>
  <si>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</si>
  <si>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</si>
  <si>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</si>
  <si>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</si>
  <si>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</si>
  <si>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</si>
  <si>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</si>
  <si>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</si>
  <si>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</si>
  <si>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</si>
  <si>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</si>
  <si>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</si>
  <si>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</si>
  <si>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</si>
  <si>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</si>
  <si>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</si>
  <si>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</si>
  <si>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</si>
  <si>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</si>
  <si>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</si>
  <si>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</si>
  <si>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</si>
  <si>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</si>
  <si>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</si>
  <si>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</si>
  <si>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</si>
  <si>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</si>
  <si>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</si>
  <si>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</si>
  <si>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</si>
  <si>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</si>
  <si>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</si>
  <si>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</si>
  <si>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</si>
  <si>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</si>
  <si>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</si>
  <si>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</si>
  <si>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</si>
  <si>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</si>
  <si>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</si>
  <si>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</si>
  <si>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</si>
  <si>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</si>
  <si>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</si>
  <si>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</si>
  <si>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</si>
  <si>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</si>
  <si>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</si>
  <si>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</si>
  <si>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</si>
  <si>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</si>
  <si>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</si>
  <si>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</si>
  <si>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</si>
  <si>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</si>
  <si>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</si>
  <si>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</si>
  <si>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</si>
  <si>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</si>
  <si>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</si>
  <si>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</si>
  <si>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</si>
  <si>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</si>
  <si>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</si>
  <si>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</si>
  <si>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</si>
  <si>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</si>
  <si>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</si>
  <si>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</si>
  <si>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</si>
  <si>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</si>
  <si>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</si>
  <si>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</si>
  <si>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</si>
  <si>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</si>
  <si>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</si>
  <si>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</si>
  <si>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</si>
  <si>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</si>
  <si>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</si>
  <si>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</si>
  <si>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</si>
  <si>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</si>
  <si>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</si>
  <si>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</si>
  <si>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</si>
  <si>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</si>
  <si>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</si>
  <si>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</si>
  <si>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</si>
  <si>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</si>
  <si>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</si>
  <si>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</si>
  <si>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</si>
  <si>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</si>
  <si>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</si>
  <si>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</si>
  <si>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</si>
  <si>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</si>
  <si>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</si>
  <si>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</si>
  <si>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</si>
  <si>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</si>
  <si>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</si>
  <si>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</si>
  <si>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</si>
  <si>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</si>
  <si>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</si>
  <si>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</si>
  <si>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</si>
  <si>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</si>
  <si>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</si>
  <si>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</si>
  <si>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</si>
  <si>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</si>
  <si>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</si>
  <si>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</si>
  <si>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</si>
  <si>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</si>
  <si>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</si>
  <si>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</si>
  <si>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</si>
  <si>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</si>
  <si>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</si>
  <si>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</si>
  <si>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</si>
  <si>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</si>
  <si>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</si>
  <si>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</si>
  <si>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</si>
  <si>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</si>
  <si>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</si>
  <si>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</si>
  <si>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</si>
  <si>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</si>
  <si>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</si>
  <si>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</si>
  <si>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</si>
  <si>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</si>
  <si>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</si>
  <si>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</si>
  <si>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</si>
  <si>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</si>
  <si>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</si>
  <si>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</si>
  <si>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</si>
  <si>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</si>
  <si>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</si>
  <si>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</si>
  <si>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</si>
  <si>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</si>
  <si>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</si>
  <si>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</si>
  <si>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</si>
  <si>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</si>
  <si>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</si>
  <si>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</si>
  <si>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</si>
  <si>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</si>
  <si>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</si>
  <si>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</si>
  <si>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</si>
  <si>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</si>
  <si>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</si>
  <si>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</si>
  <si>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</si>
  <si>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</si>
  <si>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</si>
  <si>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</si>
  <si>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</si>
  <si>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</si>
  <si>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</si>
  <si>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</si>
  <si>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</si>
  <si>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</si>
  <si>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</si>
  <si>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</si>
  <si>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</si>
  <si>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</si>
  <si>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</si>
  <si>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</si>
  <si>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</si>
  <si>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</si>
  <si>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</si>
  <si>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</si>
  <si>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</si>
  <si>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</si>
  <si>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</si>
  <si>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</si>
  <si>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</si>
  <si>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</si>
  <si>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</si>
  <si>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</si>
  <si>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</si>
  <si>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</si>
  <si>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</si>
  <si>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</si>
  <si>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</si>
  <si>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</si>
  <si>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</si>
  <si>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</si>
  <si>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</si>
  <si>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</si>
  <si>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</si>
  <si>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</si>
  <si>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</si>
  <si>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</si>
  <si>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</si>
  <si>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</si>
  <si>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</si>
  <si>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</si>
  <si>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</si>
  <si>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</si>
  <si>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</si>
  <si>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</si>
  <si>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</si>
  <si>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</si>
  <si>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</si>
  <si>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</si>
  <si>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</si>
  <si>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</si>
  <si>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</si>
  <si>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</si>
  <si>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</si>
  <si>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</si>
  <si>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</si>
  <si>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</si>
  <si>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</si>
  <si>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</si>
  <si>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</si>
  <si>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</si>
  <si>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</si>
  <si>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</si>
  <si>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</si>
  <si>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</si>
  <si>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</si>
  <si>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</si>
  <si>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</si>
  <si>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</si>
  <si>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</si>
  <si>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</si>
  <si>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</si>
  <si>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</si>
  <si>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</si>
  <si>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</si>
  <si>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</si>
  <si>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</si>
  <si>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</si>
  <si>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</si>
  <si>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</si>
  <si>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</si>
  <si>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</si>
  <si>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</si>
  <si>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</si>
  <si>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</si>
  <si>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</si>
  <si>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</si>
  <si>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</si>
  <si>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</si>
  <si>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</si>
  <si>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</si>
  <si>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</si>
  <si>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</si>
  <si>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</si>
  <si>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</si>
  <si>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</si>
  <si>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</si>
  <si>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</si>
  <si>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</si>
  <si>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</si>
  <si>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</si>
  <si>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</si>
  <si>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</si>
  <si>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</si>
  <si>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</si>
  <si>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</si>
  <si>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</si>
  <si>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</si>
  <si>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</si>
  <si>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</si>
  <si>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</si>
  <si>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</si>
  <si>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</si>
  <si>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</si>
  <si>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</si>
  <si>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</si>
  <si>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</si>
  <si>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</si>
  <si>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</si>
  <si>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</si>
  <si>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</si>
  <si>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</si>
  <si>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</si>
  <si>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</si>
  <si>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</si>
  <si>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</si>
  <si>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</si>
  <si>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</si>
  <si>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</si>
  <si>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</si>
  <si>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</si>
  <si>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</si>
  <si>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</si>
  <si>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</si>
  <si>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</si>
  <si>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</si>
  <si>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</si>
  <si>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</si>
  <si>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</si>
  <si>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</si>
  <si>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</si>
  <si>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</si>
  <si>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</si>
  <si>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</si>
  <si>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</si>
  <si>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</si>
  <si>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</si>
  <si>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</si>
  <si>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</si>
  <si>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</si>
  <si>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</si>
  <si>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</si>
  <si>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</si>
  <si>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</si>
  <si>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</si>
  <si>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</si>
  <si>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</si>
  <si>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</si>
  <si>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</si>
  <si>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</si>
  <si>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</si>
  <si>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</si>
  <si>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</si>
  <si>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</si>
  <si>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</si>
  <si>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</si>
  <si>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</si>
  <si>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</si>
  <si>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</si>
  <si>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</si>
  <si>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</si>
  <si>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</si>
  <si>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</si>
  <si>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</si>
  <si>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</si>
  <si>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</si>
  <si>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</si>
  <si>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</si>
  <si>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</si>
  <si>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</si>
  <si>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</si>
  <si>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</si>
  <si>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</si>
  <si>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</si>
  <si>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</si>
  <si>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</si>
  <si>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</si>
  <si>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</si>
  <si>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</si>
  <si>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</si>
  <si>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</si>
  <si>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</si>
  <si>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</si>
  <si>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</si>
  <si>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</si>
  <si>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</si>
  <si>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</si>
  <si>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</si>
  <si>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</si>
  <si>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</si>
  <si>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</si>
  <si>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</si>
  <si>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</si>
  <si>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</si>
  <si>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</si>
  <si>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</si>
  <si>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</si>
  <si>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</si>
  <si>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</si>
  <si>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</si>
  <si>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</si>
  <si>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</si>
  <si>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</si>
  <si>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</si>
  <si>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</si>
  <si>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</si>
  <si>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</si>
  <si>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</si>
  <si>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</si>
  <si>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</si>
  <si>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</si>
  <si>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</si>
  <si>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</si>
  <si>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</si>
  <si>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</si>
  <si>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</si>
  <si>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</si>
  <si>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</si>
  <si>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</si>
  <si>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</si>
  <si>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</si>
  <si>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</si>
  <si>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</si>
  <si>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</si>
  <si>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</si>
  <si>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</si>
  <si>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</si>
  <si>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</si>
  <si>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</si>
  <si>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</si>
  <si>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</si>
  <si>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</si>
  <si>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</si>
  <si>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</si>
  <si>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</si>
  <si>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</si>
  <si>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</si>
  <si>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</si>
  <si>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</si>
  <si>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</si>
  <si>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</si>
  <si>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</si>
  <si>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</si>
  <si>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</si>
  <si>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</si>
  <si>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</si>
  <si>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</si>
  <si>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</si>
  <si>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</si>
  <si>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</si>
  <si>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</si>
  <si>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</si>
  <si>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</si>
  <si>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</si>
  <si>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</si>
  <si>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</si>
  <si>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</si>
  <si>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</si>
  <si>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</si>
  <si>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</si>
  <si>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</si>
  <si>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</si>
  <si>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</si>
  <si>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</si>
  <si>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</si>
  <si>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</si>
  <si>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</si>
  <si>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</si>
  <si>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</si>
  <si>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</si>
  <si>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</si>
  <si>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</si>
  <si>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</si>
  <si>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</si>
  <si>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</si>
  <si>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</si>
  <si>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</si>
  <si>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</si>
  <si>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</si>
  <si>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</si>
  <si>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</si>
  <si>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</si>
  <si>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</si>
  <si>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</si>
  <si>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</si>
  <si>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</si>
  <si>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</si>
  <si>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</si>
  <si>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</si>
  <si>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</si>
  <si>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</si>
  <si>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</si>
  <si>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</si>
  <si>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</si>
  <si>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</si>
  <si>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</si>
  <si>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</si>
  <si>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</si>
  <si>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</si>
  <si>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</si>
  <si>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</si>
  <si>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</si>
  <si>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</si>
  <si>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</si>
  <si>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</si>
  <si>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</si>
  <si>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</si>
  <si>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</si>
  <si>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</si>
  <si>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</si>
  <si>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</si>
  <si>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</si>
  <si>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</si>
  <si>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</si>
  <si>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</si>
  <si>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</si>
  <si>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</si>
  <si>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</si>
  <si>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</si>
  <si>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</si>
  <si>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</si>
  <si>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</si>
  <si>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</si>
  <si>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</si>
  <si>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</si>
  <si>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</si>
  <si>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</si>
  <si>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</si>
  <si>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</si>
  <si>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</si>
  <si>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</si>
  <si>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</si>
  <si>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</si>
  <si>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</si>
  <si>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</si>
  <si>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</si>
  <si>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</si>
  <si>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</si>
  <si>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</si>
  <si>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</si>
  <si>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</si>
  <si>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</si>
  <si>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</si>
  <si>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</si>
  <si>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</si>
  <si>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</si>
  <si>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</si>
  <si>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</si>
  <si>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</si>
  <si>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</si>
  <si>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</si>
  <si>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</si>
  <si>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</si>
  <si>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</si>
  <si>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</si>
  <si>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</si>
  <si>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</si>
  <si>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</si>
  <si>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</si>
  <si>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</si>
  <si>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</si>
  <si>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</si>
  <si>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</si>
  <si>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</si>
  <si>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</si>
  <si>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</si>
  <si>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</si>
  <si>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</si>
  <si>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</si>
  <si>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</si>
  <si>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</si>
  <si>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</si>
  <si>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</si>
  <si>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</si>
  <si>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</si>
  <si>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</si>
  <si>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</si>
  <si>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</si>
  <si>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</si>
  <si>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</si>
  <si>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</si>
  <si>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</si>
  <si>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</si>
  <si>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</si>
  <si>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</si>
  <si>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</si>
  <si>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</si>
  <si>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</si>
  <si>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</si>
  <si>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</si>
  <si>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</si>
  <si>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</si>
  <si>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</si>
  <si>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</si>
  <si>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</si>
  <si>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</si>
  <si>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</si>
  <si>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</si>
  <si>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</si>
  <si>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</si>
  <si>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</si>
  <si>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</si>
  <si>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</si>
  <si>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</si>
  <si>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</si>
  <si>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</si>
  <si>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</si>
  <si>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</si>
  <si>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</si>
  <si>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</si>
  <si>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</si>
  <si>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</si>
  <si>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</si>
  <si>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</si>
  <si>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</si>
  <si>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</si>
  <si>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</si>
  <si>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</si>
  <si>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</si>
  <si>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</si>
  <si>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</si>
  <si>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</si>
  <si>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</si>
  <si>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</si>
  <si>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</si>
  <si>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</si>
  <si>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</si>
  <si>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</si>
  <si>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</si>
  <si>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</si>
  <si>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</si>
  <si>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</si>
  <si>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</si>
  <si>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</si>
  <si>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</si>
  <si>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</si>
  <si>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</si>
  <si>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</si>
  <si>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</si>
  <si>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</si>
  <si>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</si>
  <si>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</si>
  <si>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</si>
  <si>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</si>
  <si>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</si>
  <si>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</si>
  <si>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</si>
  <si>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</si>
  <si>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</si>
  <si>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</si>
  <si>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</si>
  <si>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</si>
  <si>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</si>
  <si>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</si>
  <si>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</si>
  <si>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</si>
  <si>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</si>
  <si>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</si>
  <si>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</si>
  <si>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</si>
  <si>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</si>
  <si>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</si>
  <si>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</si>
  <si>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</si>
  <si>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</si>
  <si>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</si>
  <si>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</si>
  <si>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</si>
  <si>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</si>
  <si>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</si>
  <si>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</si>
  <si>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</si>
  <si>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</si>
  <si>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</si>
  <si>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</si>
  <si>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</si>
  <si>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</si>
  <si>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</si>
  <si>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</si>
  <si>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</si>
  <si>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</si>
  <si>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</si>
  <si>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</si>
  <si>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</si>
  <si>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</si>
  <si>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</si>
  <si>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</si>
  <si>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</si>
  <si>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</si>
  <si>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</si>
  <si>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</si>
  <si>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</si>
  <si>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</si>
  <si>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</si>
  <si>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</si>
  <si>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</si>
  <si>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49-081-0360-02</t>
  </si>
  <si>
    <t>Rock Island</t>
  </si>
  <si>
    <t>Carbon Cliff-Barstow School District No. 36</t>
  </si>
  <si>
    <t>2002 Eagle Ridge Drive</t>
  </si>
  <si>
    <t>Silvis</t>
  </si>
  <si>
    <t>arichmond@ccb36.com</t>
  </si>
  <si>
    <t>Russell J. Rumbold II, CPA</t>
  </si>
  <si>
    <t>rrumbold@gorenzcpa.com</t>
  </si>
  <si>
    <t>Andy Richmond</t>
  </si>
  <si>
    <t>309-792-2002</t>
  </si>
  <si>
    <t>309-792-2244</t>
  </si>
  <si>
    <t>Refunding Bonds</t>
  </si>
  <si>
    <t>Capital Lease</t>
  </si>
  <si>
    <t>Black Hawk Special Education District</t>
  </si>
  <si>
    <t>Regional Office of Education</t>
  </si>
  <si>
    <t>Silvis School District No. 34</t>
  </si>
  <si>
    <t>2018-001</t>
  </si>
  <si>
    <r>
      <t>CORRECTIVE ACTION PLAN FOR CURRENT YEAR AUDIT FINDINGS</t>
    </r>
    <r>
      <rPr>
        <b/>
        <vertAlign val="superscript"/>
        <sz val="9"/>
        <rFont val="Arial"/>
        <family val="2"/>
      </rPr>
      <t>21</t>
    </r>
  </si>
  <si>
    <t>Corrective Action Plan</t>
  </si>
  <si>
    <t>Finding No.:</t>
  </si>
  <si>
    <t>Condition:</t>
  </si>
  <si>
    <t>Plan: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</si>
  <si>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</si>
  <si>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</si>
  <si>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</si>
  <si>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</si>
  <si>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</si>
  <si>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</si>
  <si>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</si>
  <si>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Andy Richmond, Superintendent</t>
  </si>
  <si>
    <t>2018-002</t>
  </si>
  <si>
    <t>Unresolved - See Finding 2019-001</t>
  </si>
  <si>
    <t>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</si>
  <si>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the primary responsibility for performing most of the accounting and financial duties including key functions of recording, reconciling, and reporting cash transactions.</t>
  </si>
  <si>
    <t>All district accounting and financial records are primarily maintained by one individual.</t>
  </si>
  <si>
    <t>One individual has the ability to complete and record accounting functions which ideally would be segregated to allow for a more controlled system of checks and balances.</t>
  </si>
  <si>
    <t>The Board should take steps it considers necessary to limit the risks that a lack of segregation of duties presents, such as, but not limited to, hiring additional staff.</t>
  </si>
  <si>
    <t>The Board of Education has determined that one individual is sufficient to perform the required duties.</t>
  </si>
  <si>
    <t>Assigned duties and available district staff are reviewed annually for increased opportunities to further segregate duties.</t>
  </si>
  <si>
    <t>Unresolved - See Finding 2019-002</t>
  </si>
  <si>
    <t>105 ILCS 5/10-22.33 and 105 ILCS 5/20-4 define the funds that can make and/or receive interfund loans and the procedures for making these loans.</t>
  </si>
  <si>
    <t>The Debt Services Fund and Capital Projects Fund incurred negative cash and investment balances during the fiscal year.</t>
  </si>
  <si>
    <t>The negative cash and investment balances incurred resulted in loans that were not formally approved by the District's Board of Education.</t>
  </si>
  <si>
    <t>One individual has the primary responsibility for performing most of the accounting and financial duties, which significantly reduces certain aspects of the internal control structure which rely on adequate segregation of duties.</t>
  </si>
  <si>
    <t xml:space="preserve">
Part A - 9 - See Finding 2019-002
Part C - 20 - See Finding  2019-001</t>
  </si>
  <si>
    <t>Page 11, Line 107 - Refunds and Reimbursements</t>
  </si>
  <si>
    <t>Page 19, Line 237 - Playground Supervisor Benefits</t>
  </si>
  <si>
    <t>Page 29, Line 80 - "PLEASE ENTER CONTRACTS PAID IN CURRENT YEAR"</t>
  </si>
  <si>
    <t>For the current fiscal year under audit, the district did not have any qualifying contracts</t>
  </si>
  <si>
    <t>exceeding the $25,000 limit.</t>
  </si>
  <si>
    <t>The District maintains a common checking account for most of the funds of the District.</t>
  </si>
  <si>
    <t>The District maintains a common checking account for most funds of the Districts. The common bank account provided the cash flow for the Debt Services and Capital Projects Funds to expend more resources than the funds had on hand during the year.</t>
  </si>
  <si>
    <t>None</t>
  </si>
  <si>
    <t>Page 15, Line 41 - Playground Supervisor Salary</t>
  </si>
  <si>
    <t>Page 24, Line 32 - Payment of Capital Leases</t>
  </si>
  <si>
    <t>Segregation of Duties</t>
  </si>
  <si>
    <t>Interfund Loan</t>
  </si>
  <si>
    <t>The common bank account provided the cash flow for the Debt Services and Capital Projects Funds to expend more resources than the each fund had on hand at various points during the year.</t>
  </si>
  <si>
    <t>The District will take the recommendation under consideration.</t>
  </si>
  <si>
    <t>Management oversight and budgetary controls help mitigate the effects of a limited number of accounting personnel. The internal control system will be reviewed annually and changes made when the benefits of hiring additional personnel can be realized on a cost effective basis.</t>
  </si>
  <si>
    <t>The District should monitor cash and investment balances of each separate fund and make interfund loans, permanent transfers or delay expenditures when a fund does not have the financial resources to incur additional expenditures.</t>
  </si>
  <si>
    <t>Cash and investment balances of each separate fund will be monitored and interfund loans, permanent transfers or delaying expenditures will be made depending on cash flow needs.</t>
  </si>
  <si>
    <t>The plan will be implemented.</t>
  </si>
  <si>
    <t>See PDF Version</t>
  </si>
  <si>
    <t>Carbon Cliff Barstow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</si>
</sst>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4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0" fontId="10" fillId="0" borderId="0" xfId="3" applyFill="1" applyProtection="1">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4" xfId="3" applyFont="1" applyBorder="1"/>
    <xf numFmtId="0" fontId="57" fillId="0" borderId="144" xfId="3" applyFont="1" applyBorder="1"/>
    <xf numFmtId="0" fontId="57" fillId="0" borderId="144"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11"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7A152F10-BD7C-496C-A044-9741DE84B244}"/>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74EA6365-7C23-4412-9AB3-B32E843B4A43}"/>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129887</xdr:colOff>
          <xdr:row>2</xdr:row>
          <xdr:rowOff>43296</xdr:rowOff>
        </xdr:from>
        <xdr:to>
          <xdr:col>1</xdr:col>
          <xdr:colOff>1044287</xdr:colOff>
          <xdr:row>6</xdr:row>
          <xdr:rowOff>81396</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1194955</xdr:colOff>
          <xdr:row>2</xdr:row>
          <xdr:rowOff>43296</xdr:rowOff>
        </xdr:from>
        <xdr:to>
          <xdr:col>1</xdr:col>
          <xdr:colOff>2105891</xdr:colOff>
          <xdr:row>6</xdr:row>
          <xdr:rowOff>81396</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E6EEA866-DA9D-4F69-B1EF-1C7E4A365BE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499FF5D-62A0-4408-9FBF-F669457BD39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2E3F286C-CC08-4531-8132-5CFB15A79D36}"/>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3F3D7FB6-EDA6-4804-A25A-79A027BE140C}"/>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60" t="s">
        <v>405</v>
      </c>
      <c r="J1" s="2061"/>
      <c r="K1" s="2061"/>
      <c r="L1" s="2061"/>
      <c r="M1" s="2061"/>
      <c r="N1" s="2061"/>
      <c r="O1" s="2061"/>
      <c r="P1" s="2061"/>
      <c r="Q1" s="2061"/>
      <c r="R1" s="2061"/>
      <c r="S1" s="2061"/>
    </row>
    <row r="2" spans="1:28" ht="12" customHeight="1" x14ac:dyDescent="0.2">
      <c r="A2" s="47" t="s">
        <v>1993</v>
      </c>
      <c r="D2" s="48"/>
      <c r="I2" s="2062" t="s">
        <v>979</v>
      </c>
      <c r="J2" s="2061"/>
      <c r="K2" s="2061"/>
      <c r="L2" s="2061"/>
      <c r="M2" s="2061"/>
      <c r="N2" s="2061"/>
      <c r="O2" s="2061"/>
      <c r="P2" s="2061"/>
      <c r="Q2" s="2061"/>
      <c r="R2" s="2061"/>
      <c r="S2" s="2061"/>
    </row>
    <row r="3" spans="1:28" ht="12" customHeight="1" x14ac:dyDescent="0.2">
      <c r="A3" s="155" t="s">
        <v>1945</v>
      </c>
      <c r="B3" s="156"/>
      <c r="C3" s="156"/>
      <c r="D3" s="157"/>
      <c r="I3" s="2062" t="s">
        <v>52</v>
      </c>
      <c r="J3" s="2061"/>
      <c r="K3" s="2061"/>
      <c r="L3" s="2061"/>
      <c r="M3" s="2061"/>
      <c r="N3" s="2061"/>
      <c r="O3" s="2061"/>
      <c r="P3" s="2061"/>
      <c r="Q3" s="2061"/>
      <c r="R3" s="2061"/>
      <c r="S3" s="2061"/>
    </row>
    <row r="4" spans="1:28" ht="12" customHeight="1" x14ac:dyDescent="0.2">
      <c r="A4" s="37"/>
      <c r="I4" s="2062" t="s">
        <v>524</v>
      </c>
      <c r="J4" s="2061"/>
      <c r="K4" s="2061"/>
      <c r="L4" s="2061"/>
      <c r="M4" s="2061"/>
      <c r="N4" s="2061"/>
      <c r="O4" s="2061"/>
      <c r="P4" s="2061"/>
      <c r="Q4" s="2061"/>
      <c r="R4" s="2061"/>
      <c r="S4" s="2061"/>
    </row>
    <row r="5" spans="1:28" ht="14.1" customHeight="1" x14ac:dyDescent="0.2">
      <c r="B5" s="104" t="s">
        <v>2070</v>
      </c>
      <c r="C5" s="26" t="s">
        <v>910</v>
      </c>
      <c r="D5" s="84"/>
      <c r="E5" s="84"/>
      <c r="H5" s="38"/>
      <c r="I5" s="2069" t="s">
        <v>680</v>
      </c>
      <c r="J5" s="2014"/>
      <c r="K5" s="2014"/>
      <c r="L5" s="2014"/>
      <c r="M5" s="2014"/>
      <c r="N5" s="2014"/>
      <c r="O5" s="2014"/>
      <c r="P5" s="2014"/>
      <c r="Q5" s="2014"/>
      <c r="R5" s="2014"/>
      <c r="S5" s="2014"/>
    </row>
    <row r="6" spans="1:28" ht="14.1" customHeight="1" x14ac:dyDescent="0.2">
      <c r="B6" s="104"/>
      <c r="C6" s="26" t="s">
        <v>911</v>
      </c>
      <c r="D6" s="84"/>
      <c r="E6" s="84"/>
      <c r="I6" s="2068" t="s">
        <v>883</v>
      </c>
      <c r="J6" s="2014"/>
      <c r="K6" s="2014"/>
      <c r="L6" s="2014"/>
      <c r="M6" s="2014"/>
      <c r="N6" s="2014"/>
      <c r="O6" s="2014"/>
      <c r="P6" s="2014"/>
      <c r="Q6" s="2014"/>
      <c r="R6" s="2014"/>
      <c r="S6" s="2014"/>
    </row>
    <row r="7" spans="1:28" ht="12.2" customHeight="1" x14ac:dyDescent="0.2">
      <c r="I7" s="2063">
        <v>43646</v>
      </c>
      <c r="J7" s="2064"/>
      <c r="K7" s="2064"/>
      <c r="L7" s="2064"/>
      <c r="M7" s="2064"/>
      <c r="N7" s="2064"/>
      <c r="O7" s="2064"/>
      <c r="P7" s="2064"/>
      <c r="Q7" s="2064"/>
      <c r="R7" s="2064"/>
      <c r="S7" s="206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5" t="s">
        <v>674</v>
      </c>
      <c r="J9" s="2066"/>
      <c r="K9" s="2066"/>
      <c r="L9" s="2066"/>
      <c r="M9" s="2066"/>
      <c r="N9" s="2066"/>
      <c r="O9" s="2066"/>
      <c r="P9" s="2066"/>
      <c r="Q9" s="2066"/>
      <c r="R9" s="2066"/>
      <c r="S9" s="2067"/>
      <c r="T9" s="2010" t="s">
        <v>533</v>
      </c>
      <c r="U9" s="2011"/>
      <c r="V9" s="2011"/>
      <c r="W9" s="2011"/>
      <c r="X9" s="2011"/>
      <c r="Y9" s="2011"/>
      <c r="Z9" s="2011"/>
      <c r="AA9" s="2012"/>
    </row>
    <row r="10" spans="1:28" ht="13.5" customHeight="1" x14ac:dyDescent="0.2">
      <c r="A10" s="2019" t="s">
        <v>675</v>
      </c>
      <c r="B10" s="2020"/>
      <c r="C10" s="2020"/>
      <c r="D10" s="2020"/>
      <c r="E10" s="2020"/>
      <c r="F10" s="2020"/>
      <c r="G10" s="2020"/>
      <c r="H10" s="2021"/>
      <c r="I10" s="29"/>
      <c r="J10" s="30"/>
      <c r="K10" s="28"/>
      <c r="R10" s="30"/>
      <c r="S10" s="30"/>
      <c r="T10" s="2013"/>
      <c r="U10" s="2014"/>
      <c r="V10" s="2014"/>
      <c r="W10" s="2014"/>
      <c r="X10" s="2014"/>
      <c r="Y10" s="2014"/>
      <c r="Z10" s="2014"/>
      <c r="AA10" s="2015"/>
    </row>
    <row r="11" spans="1:28" ht="14.25" customHeight="1" x14ac:dyDescent="0.2">
      <c r="A11" s="2022" t="s">
        <v>955</v>
      </c>
      <c r="B11" s="2023"/>
      <c r="C11" s="2023"/>
      <c r="D11" s="2023"/>
      <c r="E11" s="2023"/>
      <c r="F11" s="2023"/>
      <c r="G11" s="2023"/>
      <c r="H11" s="2024"/>
      <c r="I11" s="27"/>
      <c r="J11" s="74"/>
      <c r="K11" s="27"/>
      <c r="O11" s="148" t="s">
        <v>2070</v>
      </c>
      <c r="P11" s="100" t="s">
        <v>201</v>
      </c>
      <c r="Q11" s="30"/>
      <c r="R11" s="28"/>
      <c r="S11" s="27"/>
      <c r="T11" s="2016"/>
      <c r="U11" s="2017"/>
      <c r="V11" s="2017"/>
      <c r="W11" s="2017"/>
      <c r="X11" s="2017"/>
      <c r="Y11" s="2017"/>
      <c r="Z11" s="2017"/>
      <c r="AA11" s="20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0">
        <v>49081036002</v>
      </c>
      <c r="B13" s="2031"/>
      <c r="C13" s="2031"/>
      <c r="D13" s="2031"/>
      <c r="E13" s="2031"/>
      <c r="F13" s="2031"/>
      <c r="G13" s="2031"/>
      <c r="H13" s="2032"/>
      <c r="I13" s="31"/>
      <c r="J13" s="30"/>
      <c r="K13" s="28"/>
      <c r="L13" s="30"/>
      <c r="M13" s="30"/>
      <c r="N13" s="30"/>
      <c r="O13" s="30"/>
      <c r="P13" s="30"/>
      <c r="Q13" s="30"/>
      <c r="R13" s="30"/>
      <c r="S13" s="30"/>
      <c r="T13" s="2035" t="s">
        <v>2072</v>
      </c>
      <c r="U13" s="2036"/>
      <c r="V13" s="2036"/>
      <c r="W13" s="2036"/>
      <c r="X13" s="2036"/>
      <c r="Y13" s="2037"/>
      <c r="Z13" s="2037"/>
      <c r="AA13" s="203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8" t="s">
        <v>2074</v>
      </c>
      <c r="B15" s="2033"/>
      <c r="C15" s="2033"/>
      <c r="D15" s="2033"/>
      <c r="E15" s="2033"/>
      <c r="F15" s="2033"/>
      <c r="G15" s="2033"/>
      <c r="H15" s="2034"/>
      <c r="T15" s="1996" t="s">
        <v>2079</v>
      </c>
      <c r="U15" s="1997"/>
      <c r="V15" s="1997"/>
      <c r="W15" s="1997"/>
      <c r="X15" s="1997"/>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8" t="s">
        <v>2137</v>
      </c>
      <c r="B17" s="2058"/>
      <c r="C17" s="2058"/>
      <c r="D17" s="2058"/>
      <c r="E17" s="2058"/>
      <c r="F17" s="2058"/>
      <c r="G17" s="2058"/>
      <c r="H17" s="2059"/>
      <c r="T17" s="2045" t="s">
        <v>2064</v>
      </c>
      <c r="U17" s="2046"/>
      <c r="V17" s="2046"/>
      <c r="W17" s="2046"/>
      <c r="X17" s="2046"/>
      <c r="Y17" s="2046"/>
      <c r="Z17" s="2046"/>
      <c r="AA17" s="2047"/>
    </row>
    <row r="18" spans="1:27" ht="13.5" customHeight="1" x14ac:dyDescent="0.2">
      <c r="A18" s="85" t="s">
        <v>530</v>
      </c>
      <c r="B18" s="76"/>
      <c r="C18" s="72"/>
      <c r="D18" s="76"/>
      <c r="E18" s="76"/>
      <c r="F18" s="76"/>
      <c r="G18" s="76"/>
      <c r="H18" s="56"/>
      <c r="I18" s="2055" t="s">
        <v>676</v>
      </c>
      <c r="J18" s="2056"/>
      <c r="K18" s="2056"/>
      <c r="L18" s="2056"/>
      <c r="M18" s="2056"/>
      <c r="N18" s="2056"/>
      <c r="O18" s="2056"/>
      <c r="P18" s="2056"/>
      <c r="Q18" s="2056"/>
      <c r="R18" s="2056"/>
      <c r="S18" s="2057"/>
      <c r="T18" s="85" t="s">
        <v>711</v>
      </c>
      <c r="U18" s="51"/>
      <c r="V18" s="72"/>
      <c r="W18" s="50"/>
      <c r="X18" s="85" t="s">
        <v>266</v>
      </c>
      <c r="Y18" s="81"/>
      <c r="Z18" s="159" t="s">
        <v>677</v>
      </c>
      <c r="AA18" s="46"/>
    </row>
    <row r="19" spans="1:27" ht="13.5" customHeight="1" x14ac:dyDescent="0.2">
      <c r="A19" s="2028" t="s">
        <v>2076</v>
      </c>
      <c r="B19" s="2029"/>
      <c r="C19" s="2029"/>
      <c r="D19" s="2029"/>
      <c r="E19" s="2029"/>
      <c r="F19" s="2029"/>
      <c r="G19" s="2029"/>
      <c r="H19" s="2027"/>
      <c r="I19" s="30"/>
      <c r="J19" s="99"/>
      <c r="K19" s="40"/>
      <c r="L19" s="38"/>
      <c r="M19" s="112" t="s">
        <v>315</v>
      </c>
      <c r="P19" s="27"/>
      <c r="Q19" s="27"/>
      <c r="R19" s="27"/>
      <c r="S19" s="31"/>
      <c r="T19" s="2028" t="s">
        <v>2065</v>
      </c>
      <c r="U19" s="2026"/>
      <c r="V19" s="2026"/>
      <c r="W19" s="2027"/>
      <c r="X19" s="2043" t="s">
        <v>2066</v>
      </c>
      <c r="Y19" s="2044"/>
      <c r="Z19" s="2041">
        <v>61614</v>
      </c>
      <c r="AA19" s="204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5" t="s">
        <v>2077</v>
      </c>
      <c r="B21" s="2026"/>
      <c r="C21" s="2026"/>
      <c r="D21" s="2026"/>
      <c r="E21" s="2026"/>
      <c r="F21" s="2026"/>
      <c r="G21" s="2026"/>
      <c r="H21" s="2027"/>
      <c r="I21" s="2051" t="s">
        <v>678</v>
      </c>
      <c r="J21" s="2014"/>
      <c r="K21" s="2014"/>
      <c r="L21" s="2014"/>
      <c r="M21" s="2014"/>
      <c r="N21" s="2014"/>
      <c r="O21" s="2014"/>
      <c r="P21" s="2014"/>
      <c r="Q21" s="2014"/>
      <c r="R21" s="2014"/>
      <c r="S21" s="2015"/>
      <c r="T21" s="1993" t="s">
        <v>2067</v>
      </c>
      <c r="U21" s="1994"/>
      <c r="V21" s="1994"/>
      <c r="W21" s="1994"/>
      <c r="X21" s="2007" t="s">
        <v>2068</v>
      </c>
      <c r="Y21" s="2008"/>
      <c r="Z21" s="2008"/>
      <c r="AA21" s="2009"/>
    </row>
    <row r="22" spans="1:27" ht="13.5" customHeight="1" x14ac:dyDescent="0.2">
      <c r="A22" s="87" t="s">
        <v>531</v>
      </c>
      <c r="B22" s="59"/>
      <c r="C22" s="59"/>
      <c r="D22" s="59"/>
      <c r="E22" s="59"/>
      <c r="F22" s="59"/>
      <c r="G22" s="59"/>
      <c r="H22" s="60"/>
      <c r="I22" s="2052" t="s">
        <v>1429</v>
      </c>
      <c r="J22" s="2053"/>
      <c r="K22" s="2053"/>
      <c r="L22" s="2053"/>
      <c r="M22" s="2053"/>
      <c r="N22" s="2053"/>
      <c r="O22" s="2053"/>
      <c r="P22" s="2053"/>
      <c r="Q22" s="2053"/>
      <c r="R22" s="2053"/>
      <c r="S22" s="2054"/>
      <c r="T22" s="85" t="s">
        <v>1516</v>
      </c>
      <c r="U22" s="51"/>
      <c r="V22" s="72"/>
      <c r="W22" s="51"/>
      <c r="X22" s="160" t="s">
        <v>1318</v>
      </c>
      <c r="Z22" s="45"/>
      <c r="AA22" s="46"/>
    </row>
    <row r="23" spans="1:27" ht="13.5" customHeight="1" x14ac:dyDescent="0.2">
      <c r="A23" s="2048" t="s">
        <v>2078</v>
      </c>
      <c r="B23" s="2049"/>
      <c r="C23" s="2049"/>
      <c r="D23" s="2049"/>
      <c r="E23" s="2049"/>
      <c r="F23" s="2049"/>
      <c r="G23" s="2049"/>
      <c r="H23" s="2050"/>
      <c r="T23" s="1988" t="s">
        <v>2069</v>
      </c>
      <c r="U23" s="1989"/>
      <c r="V23" s="1989"/>
      <c r="W23" s="1989"/>
      <c r="X23" s="2004">
        <v>44501</v>
      </c>
      <c r="Y23" s="2005"/>
      <c r="Z23" s="2005"/>
      <c r="AA23" s="2006"/>
    </row>
    <row r="24" spans="1:27" ht="14.1" customHeight="1" x14ac:dyDescent="0.2">
      <c r="A24" s="88" t="s">
        <v>677</v>
      </c>
      <c r="B24" s="49"/>
      <c r="C24" s="49"/>
      <c r="D24" s="49"/>
      <c r="E24" s="49"/>
      <c r="F24" s="49"/>
      <c r="G24" s="49"/>
      <c r="H24" s="61"/>
      <c r="J24" s="2090">
        <f>IF(B5="x",IF(AUDITCHECK!D29="AFR form Incomplete.","",IF(AUDITCHECK!D29="Deficit reduction plan is required.","School District must complete a deficit reduction plan in the 2019-2020 Budget",)),"")</f>
        <v>0</v>
      </c>
      <c r="K24" s="2090"/>
      <c r="L24" s="2090"/>
      <c r="M24" s="2090"/>
      <c r="N24" s="2090"/>
      <c r="O24" s="2090"/>
      <c r="P24" s="2090"/>
      <c r="Q24" s="2090"/>
      <c r="R24" s="2090"/>
      <c r="S24" s="2091"/>
      <c r="T24" s="105" t="s">
        <v>531</v>
      </c>
      <c r="U24" s="106"/>
      <c r="V24" s="106"/>
      <c r="W24" s="106"/>
      <c r="X24" s="107"/>
      <c r="Y24" s="107"/>
      <c r="Z24" s="107"/>
      <c r="AA24" s="108"/>
    </row>
    <row r="25" spans="1:27" ht="14.1" customHeight="1" x14ac:dyDescent="0.2">
      <c r="A25" s="2025">
        <v>61282</v>
      </c>
      <c r="B25" s="2026"/>
      <c r="C25" s="2026"/>
      <c r="D25" s="2026"/>
      <c r="E25" s="2026"/>
      <c r="F25" s="2026"/>
      <c r="G25" s="2026"/>
      <c r="H25" s="2027"/>
      <c r="I25" s="113"/>
      <c r="J25" s="2092"/>
      <c r="K25" s="2092"/>
      <c r="L25" s="2092"/>
      <c r="M25" s="2092"/>
      <c r="N25" s="2092"/>
      <c r="O25" s="2092"/>
      <c r="P25" s="2092"/>
      <c r="Q25" s="2092"/>
      <c r="R25" s="2092"/>
      <c r="S25" s="2093"/>
      <c r="T25" s="1985" t="s">
        <v>2080</v>
      </c>
      <c r="U25" s="1986"/>
      <c r="V25" s="1986"/>
      <c r="W25" s="1986"/>
      <c r="X25" s="1986"/>
      <c r="Y25" s="1986"/>
      <c r="Z25" s="1986"/>
      <c r="AA25" s="198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83" t="s">
        <v>1511</v>
      </c>
      <c r="J27" s="2056"/>
      <c r="K27" s="2056"/>
      <c r="L27" s="2056"/>
      <c r="M27" s="2056"/>
      <c r="N27" s="2056"/>
      <c r="O27" s="2056"/>
      <c r="P27" s="2056"/>
      <c r="Q27" s="2056"/>
      <c r="R27" s="2056"/>
      <c r="S27" s="20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9"/>
      <c r="Q35" s="2026"/>
      <c r="R35" s="202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8" t="s">
        <v>2081</v>
      </c>
      <c r="B38" s="2058"/>
      <c r="C38" s="2058"/>
      <c r="D38" s="2058"/>
      <c r="E38" s="2058"/>
      <c r="F38" s="2026"/>
      <c r="G38" s="2026"/>
      <c r="H38" s="2027"/>
      <c r="I38" s="2077"/>
      <c r="J38" s="1997"/>
      <c r="K38" s="1997"/>
      <c r="L38" s="1997"/>
      <c r="M38" s="1997"/>
      <c r="N38" s="1997"/>
      <c r="O38" s="1997"/>
      <c r="P38" s="1998"/>
      <c r="Q38" s="1998"/>
      <c r="R38" s="1998"/>
      <c r="S38" s="1999"/>
      <c r="T38" s="1996"/>
      <c r="U38" s="1997"/>
      <c r="V38" s="1997"/>
      <c r="W38" s="1997"/>
      <c r="X38" s="1998"/>
      <c r="Y38" s="1998"/>
      <c r="Z38" s="1998"/>
      <c r="AA38" s="1999"/>
    </row>
    <row r="39" spans="1:27" ht="12" customHeight="1" x14ac:dyDescent="0.2">
      <c r="A39" s="2081" t="s">
        <v>531</v>
      </c>
      <c r="B39" s="2082"/>
      <c r="C39" s="72"/>
      <c r="D39" s="69"/>
      <c r="E39" s="69"/>
      <c r="F39" s="79"/>
      <c r="G39" s="69"/>
      <c r="H39" s="56"/>
      <c r="I39" s="2081" t="s">
        <v>531</v>
      </c>
      <c r="J39" s="2082"/>
      <c r="K39" s="2082"/>
      <c r="L39" s="2082"/>
      <c r="M39" s="2082"/>
      <c r="N39" s="67"/>
      <c r="O39" s="72"/>
      <c r="P39" s="72"/>
      <c r="Q39" s="78"/>
      <c r="R39" s="72"/>
      <c r="S39" s="56"/>
      <c r="T39" s="72" t="s">
        <v>531</v>
      </c>
      <c r="U39" s="51"/>
      <c r="V39" s="72"/>
      <c r="W39" s="50"/>
      <c r="X39" s="78"/>
      <c r="Y39" s="45"/>
      <c r="Z39" s="45"/>
      <c r="AA39" s="46"/>
    </row>
    <row r="40" spans="1:27" ht="13.5" customHeight="1" x14ac:dyDescent="0.2">
      <c r="A40" s="2084" t="s">
        <v>2078</v>
      </c>
      <c r="B40" s="2085"/>
      <c r="C40" s="2086"/>
      <c r="D40" s="2086"/>
      <c r="E40" s="2086"/>
      <c r="F40" s="2087"/>
      <c r="G40" s="2087"/>
      <c r="H40" s="2088"/>
      <c r="I40" s="2000"/>
      <c r="J40" s="2002"/>
      <c r="K40" s="2002"/>
      <c r="L40" s="2002"/>
      <c r="M40" s="2002"/>
      <c r="N40" s="2002"/>
      <c r="O40" s="2002"/>
      <c r="P40" s="2002"/>
      <c r="Q40" s="2002"/>
      <c r="R40" s="2002"/>
      <c r="S40" s="2003"/>
      <c r="T40" s="2000"/>
      <c r="U40" s="2001"/>
      <c r="V40" s="2002"/>
      <c r="W40" s="2002"/>
      <c r="X40" s="2002"/>
      <c r="Y40" s="2002"/>
      <c r="Z40" s="2002"/>
      <c r="AA40" s="200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74" t="s">
        <v>2082</v>
      </c>
      <c r="B42" s="2075"/>
      <c r="C42" s="2076"/>
      <c r="D42" s="2089" t="s">
        <v>2083</v>
      </c>
      <c r="E42" s="2075"/>
      <c r="F42" s="2075"/>
      <c r="G42" s="2075"/>
      <c r="H42" s="2076"/>
      <c r="I42" s="1995"/>
      <c r="J42" s="1991"/>
      <c r="K42" s="1991"/>
      <c r="L42" s="1991"/>
      <c r="M42" s="1991"/>
      <c r="N42" s="1991"/>
      <c r="O42" s="1992"/>
      <c r="P42" s="1990"/>
      <c r="Q42" s="1991"/>
      <c r="R42" s="1991"/>
      <c r="S42" s="1992"/>
      <c r="T42" s="1995"/>
      <c r="U42" s="1991"/>
      <c r="V42" s="1991"/>
      <c r="W42" s="1992"/>
      <c r="X42" s="1990"/>
      <c r="Y42" s="1991"/>
      <c r="Z42" s="1991"/>
      <c r="AA42" s="199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8"/>
      <c r="B44" s="2079"/>
      <c r="C44" s="2079"/>
      <c r="D44" s="2079"/>
      <c r="E44" s="2079"/>
      <c r="F44" s="2079"/>
      <c r="G44" s="2079"/>
      <c r="H44" s="2080"/>
      <c r="I44" s="2070"/>
      <c r="J44" s="2072"/>
      <c r="K44" s="2072"/>
      <c r="L44" s="2072"/>
      <c r="M44" s="2072"/>
      <c r="N44" s="2072"/>
      <c r="O44" s="2072"/>
      <c r="P44" s="2072"/>
      <c r="Q44" s="2072"/>
      <c r="R44" s="2072"/>
      <c r="S44" s="2073"/>
      <c r="T44" s="2070"/>
      <c r="U44" s="2071"/>
      <c r="V44" s="2071"/>
      <c r="W44" s="2071"/>
      <c r="X44" s="2071"/>
      <c r="Y44" s="2071"/>
      <c r="Z44" s="2072"/>
      <c r="AA44" s="207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7" t="s">
        <v>1802</v>
      </c>
      <c r="B2" s="1525" t="s">
        <v>1951</v>
      </c>
      <c r="C2" s="711" t="s">
        <v>1952</v>
      </c>
      <c r="D2" s="711" t="s">
        <v>1953</v>
      </c>
      <c r="E2" s="711" t="s">
        <v>1954</v>
      </c>
      <c r="F2" s="711" t="s">
        <v>1955</v>
      </c>
    </row>
    <row r="3" spans="1:6" ht="12" customHeight="1" x14ac:dyDescent="0.2">
      <c r="A3" s="2228"/>
      <c r="B3" s="1522"/>
      <c r="C3" s="1523"/>
      <c r="D3" s="1524" t="s">
        <v>256</v>
      </c>
      <c r="E3" s="1523"/>
      <c r="F3" s="1524" t="s">
        <v>257</v>
      </c>
    </row>
    <row r="4" spans="1:6" ht="13.7" customHeight="1" x14ac:dyDescent="0.2">
      <c r="A4" s="712" t="s">
        <v>1155</v>
      </c>
      <c r="B4" s="1746">
        <f>'Revenues 9-14'!C5</f>
        <v>472570</v>
      </c>
      <c r="C4" s="1521">
        <v>140205</v>
      </c>
      <c r="D4" s="1749">
        <f>B4-C4</f>
        <v>332365</v>
      </c>
      <c r="E4" s="1521">
        <v>503819</v>
      </c>
      <c r="F4" s="1749">
        <f>E4-C4</f>
        <v>363614</v>
      </c>
    </row>
    <row r="5" spans="1:6" ht="13.7" customHeight="1" x14ac:dyDescent="0.2">
      <c r="A5" s="712" t="s">
        <v>870</v>
      </c>
      <c r="B5" s="1747">
        <f>'Revenues 9-14'!D5</f>
        <v>71270</v>
      </c>
      <c r="C5" s="582">
        <v>20115</v>
      </c>
      <c r="D5" s="1750">
        <f t="shared" ref="D5:D18" si="0">B5-C5</f>
        <v>51155</v>
      </c>
      <c r="E5" s="582">
        <v>72283</v>
      </c>
      <c r="F5" s="1750">
        <f>E5-C5</f>
        <v>52168</v>
      </c>
    </row>
    <row r="6" spans="1:6" ht="13.7" customHeight="1" x14ac:dyDescent="0.2">
      <c r="A6" s="712" t="s">
        <v>411</v>
      </c>
      <c r="B6" s="1747">
        <f>'Revenues 9-14'!E5</f>
        <v>179352</v>
      </c>
      <c r="C6" s="582">
        <v>52513</v>
      </c>
      <c r="D6" s="1750">
        <f t="shared" si="0"/>
        <v>126839</v>
      </c>
      <c r="E6" s="582">
        <v>188703</v>
      </c>
      <c r="F6" s="1750">
        <f t="shared" ref="F6:F18" si="1">E6-C6</f>
        <v>136190</v>
      </c>
    </row>
    <row r="7" spans="1:6" ht="13.7" customHeight="1" x14ac:dyDescent="0.2">
      <c r="A7" s="712" t="s">
        <v>155</v>
      </c>
      <c r="B7" s="1747">
        <f>'Revenues 9-14'!F5</f>
        <v>29098</v>
      </c>
      <c r="C7" s="582">
        <v>8621</v>
      </c>
      <c r="D7" s="1750">
        <f t="shared" si="0"/>
        <v>20477</v>
      </c>
      <c r="E7" s="582">
        <v>30979</v>
      </c>
      <c r="F7" s="1750">
        <f t="shared" si="1"/>
        <v>22358</v>
      </c>
    </row>
    <row r="8" spans="1:6" ht="13.7" customHeight="1" x14ac:dyDescent="0.2">
      <c r="A8" s="712" t="s">
        <v>1179</v>
      </c>
      <c r="B8" s="1747">
        <f>'Revenues 9-14'!G5</f>
        <v>24260</v>
      </c>
      <c r="C8" s="582">
        <v>7184</v>
      </c>
      <c r="D8" s="1750">
        <f t="shared" si="0"/>
        <v>17076</v>
      </c>
      <c r="E8" s="582">
        <v>25816</v>
      </c>
      <c r="F8" s="1750">
        <f t="shared" si="1"/>
        <v>18632</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0</v>
      </c>
      <c r="C10" s="582">
        <v>0</v>
      </c>
      <c r="D10" s="1750">
        <f t="shared" si="0"/>
        <v>0</v>
      </c>
      <c r="E10" s="582">
        <v>0</v>
      </c>
      <c r="F10" s="1750">
        <f t="shared" si="1"/>
        <v>0</v>
      </c>
    </row>
    <row r="11" spans="1:6" x14ac:dyDescent="0.2">
      <c r="A11" s="712" t="s">
        <v>409</v>
      </c>
      <c r="B11" s="1747">
        <f>'Revenues 9-14'!J5</f>
        <v>7869</v>
      </c>
      <c r="C11" s="582">
        <v>3600</v>
      </c>
      <c r="D11" s="1750">
        <f t="shared" si="0"/>
        <v>4269</v>
      </c>
      <c r="E11" s="582">
        <v>12936</v>
      </c>
      <c r="F11" s="1750">
        <f t="shared" si="1"/>
        <v>9336</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936</v>
      </c>
      <c r="B13" s="1747">
        <f>SUM('Revenues 9-14'!C6:D6)</f>
        <v>0</v>
      </c>
      <c r="C13" s="582">
        <v>0</v>
      </c>
      <c r="D13" s="1750">
        <f t="shared" si="0"/>
        <v>0</v>
      </c>
      <c r="E13" s="582">
        <v>0</v>
      </c>
      <c r="F13" s="1750">
        <f t="shared" si="1"/>
        <v>0</v>
      </c>
    </row>
    <row r="14" spans="1:6" ht="13.7" customHeight="1" x14ac:dyDescent="0.2">
      <c r="A14" s="712" t="s">
        <v>410</v>
      </c>
      <c r="B14" s="1747">
        <f>SUM('Revenues 9-14'!C7:D7,'Revenues 9-14'!F7:H7)</f>
        <v>3436</v>
      </c>
      <c r="C14" s="582">
        <v>0</v>
      </c>
      <c r="D14" s="1750">
        <f t="shared" si="0"/>
        <v>3436</v>
      </c>
      <c r="E14" s="582">
        <v>0</v>
      </c>
      <c r="F14" s="1750">
        <f t="shared" si="1"/>
        <v>0</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12153</v>
      </c>
      <c r="C16" s="582">
        <v>3615</v>
      </c>
      <c r="D16" s="1750">
        <f t="shared" si="0"/>
        <v>8538</v>
      </c>
      <c r="E16" s="582">
        <v>12991</v>
      </c>
      <c r="F16" s="1750">
        <f t="shared" si="1"/>
        <v>9376</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800008</v>
      </c>
      <c r="C19" s="1748">
        <f>SUM(C4:C18)</f>
        <v>235853</v>
      </c>
      <c r="D19" s="1748">
        <f>SUM(D4:D18)</f>
        <v>564155</v>
      </c>
      <c r="E19" s="1748">
        <f>SUM(E4:E18)</f>
        <v>847527</v>
      </c>
      <c r="F19" s="1748">
        <f>SUM(F4:F18)</f>
        <v>611674</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629</v>
      </c>
      <c r="B1" s="2234"/>
      <c r="C1" s="718"/>
    </row>
    <row r="2" spans="1:7" ht="33.75" x14ac:dyDescent="0.2">
      <c r="A2" s="2242" t="s">
        <v>1802</v>
      </c>
      <c r="B2" s="2243"/>
      <c r="C2" s="1881" t="s">
        <v>1956</v>
      </c>
      <c r="D2" s="720" t="s">
        <v>1957</v>
      </c>
      <c r="E2" s="720" t="s">
        <v>1958</v>
      </c>
      <c r="F2" s="1881" t="s">
        <v>1959</v>
      </c>
    </row>
    <row r="3" spans="1:7" ht="15.75" customHeight="1" x14ac:dyDescent="0.2">
      <c r="A3" s="2246" t="s">
        <v>1114</v>
      </c>
      <c r="B3" s="2247"/>
      <c r="C3" s="2235"/>
      <c r="D3" s="2236"/>
      <c r="E3" s="2236"/>
      <c r="F3" s="2237"/>
    </row>
    <row r="4" spans="1:7" ht="12.75" customHeight="1" thickBot="1" x14ac:dyDescent="0.25">
      <c r="A4" s="2244" t="s">
        <v>630</v>
      </c>
      <c r="B4" s="2245"/>
      <c r="C4" s="578"/>
      <c r="D4" s="578"/>
      <c r="E4" s="578"/>
      <c r="F4" s="1752">
        <f>SUM(C4+D4)-E4</f>
        <v>0</v>
      </c>
    </row>
    <row r="5" spans="1:7" ht="15.75" customHeight="1" thickTop="1" x14ac:dyDescent="0.2">
      <c r="A5" s="2229" t="s">
        <v>1110</v>
      </c>
      <c r="B5" s="2230"/>
      <c r="C5" s="2238"/>
      <c r="D5" s="2239"/>
      <c r="E5" s="2239"/>
      <c r="F5" s="2240"/>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31" t="s">
        <v>631</v>
      </c>
      <c r="B15" s="2232"/>
      <c r="C15" s="1752">
        <f>SUM(C6:C14)</f>
        <v>0</v>
      </c>
      <c r="D15" s="1752">
        <f>SUM(D6:D14)</f>
        <v>0</v>
      </c>
      <c r="E15" s="1752">
        <f>SUM(E6:E14)</f>
        <v>0</v>
      </c>
      <c r="F15" s="1752">
        <f>SUM(F6:F14)</f>
        <v>0</v>
      </c>
      <c r="G15" s="549"/>
    </row>
    <row r="16" spans="1:7" s="202" customFormat="1" ht="15.75" customHeight="1" thickTop="1" x14ac:dyDescent="0.2">
      <c r="A16" s="2241" t="s">
        <v>1111</v>
      </c>
      <c r="B16" s="2230"/>
      <c r="C16" s="2238"/>
      <c r="D16" s="2239"/>
      <c r="E16" s="2239"/>
      <c r="F16" s="2240"/>
    </row>
    <row r="17" spans="1:11" ht="12.75" customHeight="1" thickBot="1" x14ac:dyDescent="0.25">
      <c r="A17" s="2254" t="s">
        <v>64</v>
      </c>
      <c r="B17" s="2255"/>
      <c r="C17" s="723"/>
      <c r="D17" s="582"/>
      <c r="E17" s="723"/>
      <c r="F17" s="1752">
        <f>SUM(C17+D17)-E17</f>
        <v>0</v>
      </c>
    </row>
    <row r="18" spans="1:11" ht="12.75" customHeight="1" thickTop="1" thickBot="1" x14ac:dyDescent="0.25">
      <c r="A18" s="2254" t="s">
        <v>6</v>
      </c>
      <c r="B18" s="2255"/>
      <c r="C18" s="723"/>
      <c r="D18" s="582"/>
      <c r="E18" s="723"/>
      <c r="F18" s="1752">
        <f>SUM(C18+D18)-E18</f>
        <v>0</v>
      </c>
    </row>
    <row r="19" spans="1:11" ht="12.75" customHeight="1" thickTop="1" thickBot="1" x14ac:dyDescent="0.25">
      <c r="A19" s="2254" t="s">
        <v>388</v>
      </c>
      <c r="B19" s="2255"/>
      <c r="C19" s="723"/>
      <c r="D19" s="582"/>
      <c r="E19" s="723"/>
      <c r="F19" s="1752">
        <f>SUM(C19+D19)-E19</f>
        <v>0</v>
      </c>
    </row>
    <row r="20" spans="1:11" ht="12.75" customHeight="1" thickTop="1" thickBot="1" x14ac:dyDescent="0.25">
      <c r="A20" s="2254" t="s">
        <v>448</v>
      </c>
      <c r="B20" s="2255"/>
      <c r="C20" s="723"/>
      <c r="D20" s="582"/>
      <c r="E20" s="723"/>
      <c r="F20" s="1752">
        <f>SUM(C20+D20)-E20</f>
        <v>0</v>
      </c>
    </row>
    <row r="21" spans="1:11" ht="14.25" thickTop="1" thickBot="1" x14ac:dyDescent="0.25">
      <c r="A21" s="2231" t="s">
        <v>632</v>
      </c>
      <c r="B21" s="2232"/>
      <c r="C21" s="1752">
        <f>SUM(C17:C20)</f>
        <v>0</v>
      </c>
      <c r="D21" s="1752">
        <f>SUM(D17:D20)</f>
        <v>0</v>
      </c>
      <c r="E21" s="1752">
        <f>SUM(E17:E20)</f>
        <v>0</v>
      </c>
      <c r="F21" s="1752">
        <f>SUM(F17:F20)</f>
        <v>0</v>
      </c>
      <c r="G21" s="549"/>
    </row>
    <row r="22" spans="1:11" ht="15.75" customHeight="1" thickTop="1" x14ac:dyDescent="0.2">
      <c r="A22" s="2256" t="s">
        <v>1112</v>
      </c>
      <c r="B22" s="2230"/>
      <c r="C22" s="2238"/>
      <c r="D22" s="2239"/>
      <c r="E22" s="2239"/>
      <c r="F22" s="2240"/>
    </row>
    <row r="23" spans="1:11" ht="13.5" thickBot="1" x14ac:dyDescent="0.25">
      <c r="A23" s="2244" t="s">
        <v>633</v>
      </c>
      <c r="B23" s="2245"/>
      <c r="C23" s="578"/>
      <c r="D23" s="578"/>
      <c r="E23" s="578"/>
      <c r="F23" s="1752">
        <f>SUM(C23+D23)-E23</f>
        <v>0</v>
      </c>
      <c r="G23" s="549"/>
    </row>
    <row r="24" spans="1:11" ht="15.75" customHeight="1" thickTop="1" x14ac:dyDescent="0.2">
      <c r="A24" s="2256" t="s">
        <v>1113</v>
      </c>
      <c r="B24" s="2230"/>
      <c r="C24" s="2238"/>
      <c r="D24" s="2239"/>
      <c r="E24" s="2239"/>
      <c r="F24" s="2240"/>
    </row>
    <row r="25" spans="1:11" ht="13.5" thickBot="1" x14ac:dyDescent="0.25">
      <c r="A25" s="2244" t="s">
        <v>634</v>
      </c>
      <c r="B25" s="2245"/>
      <c r="C25" s="578"/>
      <c r="D25" s="578"/>
      <c r="E25" s="578"/>
      <c r="F25" s="1752">
        <f>SUM(C25+D25)-E25</f>
        <v>0</v>
      </c>
      <c r="G25" s="549"/>
    </row>
    <row r="26" spans="1:11" ht="15.75" customHeight="1" thickTop="1" x14ac:dyDescent="0.2">
      <c r="A26" s="2229" t="s">
        <v>657</v>
      </c>
      <c r="B26" s="2230"/>
      <c r="C26" s="724"/>
      <c r="D26" s="724"/>
      <c r="E26" s="724"/>
      <c r="F26" s="725"/>
    </row>
    <row r="27" spans="1:11" ht="13.5" thickBot="1" x14ac:dyDescent="0.25">
      <c r="A27" s="2231" t="s">
        <v>1070</v>
      </c>
      <c r="B27" s="2232"/>
      <c r="C27" s="582"/>
      <c r="D27" s="582"/>
      <c r="E27" s="582"/>
      <c r="F27" s="1752">
        <f>SUM(C27+D27)-E27</f>
        <v>0</v>
      </c>
      <c r="G27" s="549"/>
    </row>
    <row r="28" spans="1:11" ht="7.5" customHeight="1" thickTop="1" x14ac:dyDescent="0.2">
      <c r="A28" s="590"/>
    </row>
    <row r="29" spans="1:11" ht="23.25" customHeight="1" x14ac:dyDescent="0.2">
      <c r="A29" s="2257" t="s">
        <v>582</v>
      </c>
      <c r="B29" s="2234"/>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2084</v>
      </c>
      <c r="B31" s="730">
        <v>38629</v>
      </c>
      <c r="C31" s="731">
        <v>1380000</v>
      </c>
      <c r="D31" s="732">
        <v>3</v>
      </c>
      <c r="E31" s="731">
        <v>365000</v>
      </c>
      <c r="F31" s="731"/>
      <c r="G31" s="731"/>
      <c r="H31" s="731">
        <v>180000</v>
      </c>
      <c r="I31" s="1753">
        <f>((E31+F31)-H31)+G31</f>
        <v>185000</v>
      </c>
      <c r="J31" s="731">
        <f>I31-61929</f>
        <v>123071</v>
      </c>
      <c r="K31" s="733"/>
    </row>
    <row r="32" spans="1:11" ht="12" customHeight="1" x14ac:dyDescent="0.2">
      <c r="A32" s="729" t="s">
        <v>2085</v>
      </c>
      <c r="B32" s="730"/>
      <c r="C32" s="731"/>
      <c r="D32" s="732">
        <v>7</v>
      </c>
      <c r="E32" s="731">
        <v>106476</v>
      </c>
      <c r="F32" s="731"/>
      <c r="G32" s="731">
        <v>-71217</v>
      </c>
      <c r="H32" s="731"/>
      <c r="I32" s="1753">
        <f>((E32+F32)-H32)+G32</f>
        <v>35259</v>
      </c>
      <c r="J32" s="731">
        <f>I32</f>
        <v>35259</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1380000</v>
      </c>
      <c r="D49" s="742"/>
      <c r="E49" s="1753">
        <f t="shared" ref="E49:J49" si="2">SUM(E31:E48)</f>
        <v>471476</v>
      </c>
      <c r="F49" s="1753">
        <f t="shared" si="2"/>
        <v>0</v>
      </c>
      <c r="G49" s="1753">
        <f t="shared" si="2"/>
        <v>-71217</v>
      </c>
      <c r="H49" s="1753">
        <f t="shared" si="2"/>
        <v>180000</v>
      </c>
      <c r="I49" s="1753">
        <f t="shared" si="2"/>
        <v>220259</v>
      </c>
      <c r="J49" s="1753">
        <f t="shared" si="2"/>
        <v>158330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48" t="s">
        <v>584</v>
      </c>
      <c r="C52" s="2249"/>
      <c r="D52" s="2249"/>
      <c r="E52" s="746" t="s">
        <v>845</v>
      </c>
      <c r="F52" s="2250" t="s">
        <v>2085</v>
      </c>
      <c r="G52" s="2251"/>
      <c r="H52" s="733"/>
      <c r="I52" s="733"/>
      <c r="J52" s="743"/>
    </row>
    <row r="53" spans="1:11" ht="11.25" customHeight="1" x14ac:dyDescent="0.2">
      <c r="A53" s="747" t="s">
        <v>913</v>
      </c>
      <c r="B53" s="748" t="s">
        <v>951</v>
      </c>
      <c r="C53" s="743"/>
      <c r="D53" s="734"/>
      <c r="E53" s="746" t="s">
        <v>497</v>
      </c>
      <c r="F53" s="2252"/>
      <c r="G53" s="2253"/>
      <c r="H53" s="733"/>
      <c r="I53" s="733"/>
      <c r="J53" s="743"/>
    </row>
    <row r="54" spans="1:11" ht="11.25" customHeight="1" x14ac:dyDescent="0.2">
      <c r="A54" s="749" t="s">
        <v>914</v>
      </c>
      <c r="B54" s="744" t="s">
        <v>952</v>
      </c>
      <c r="C54" s="743"/>
      <c r="D54" s="734"/>
      <c r="E54" s="746" t="s">
        <v>498</v>
      </c>
      <c r="F54" s="2252"/>
      <c r="G54" s="225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2" t="s">
        <v>856</v>
      </c>
      <c r="B1" s="2283"/>
      <c r="C1" s="2283"/>
      <c r="D1" s="2283"/>
      <c r="E1" s="2283"/>
      <c r="F1" s="2283"/>
      <c r="G1" s="2284"/>
      <c r="H1" s="1527"/>
      <c r="I1" s="757"/>
      <c r="J1" s="433"/>
    </row>
    <row r="2" spans="1:11" ht="26.25" x14ac:dyDescent="0.2">
      <c r="A2" s="2261" t="s">
        <v>1677</v>
      </c>
      <c r="B2" s="2262"/>
      <c r="C2" s="2262"/>
      <c r="D2" s="2262"/>
      <c r="E2" s="2263"/>
      <c r="F2" s="758" t="s">
        <v>904</v>
      </c>
      <c r="G2" s="759" t="s">
        <v>1674</v>
      </c>
      <c r="H2" s="759" t="s">
        <v>410</v>
      </c>
      <c r="I2" s="759" t="s">
        <v>1158</v>
      </c>
      <c r="J2" s="759" t="s">
        <v>1812</v>
      </c>
      <c r="K2" s="759" t="s">
        <v>138</v>
      </c>
    </row>
    <row r="3" spans="1:11" x14ac:dyDescent="0.2">
      <c r="A3" s="2264" t="s">
        <v>1964</v>
      </c>
      <c r="B3" s="2265"/>
      <c r="C3" s="2265"/>
      <c r="D3" s="2265"/>
      <c r="E3" s="2266"/>
      <c r="F3" s="760"/>
      <c r="G3" s="761"/>
      <c r="H3" s="761"/>
      <c r="I3" s="761"/>
      <c r="J3" s="762">
        <v>22162</v>
      </c>
      <c r="K3" s="762"/>
    </row>
    <row r="4" spans="1:11" x14ac:dyDescent="0.2">
      <c r="A4" s="2267" t="s">
        <v>369</v>
      </c>
      <c r="B4" s="2268"/>
      <c r="C4" s="2268"/>
      <c r="D4" s="2268"/>
      <c r="E4" s="2249"/>
      <c r="F4" s="763"/>
      <c r="G4" s="764"/>
      <c r="H4" s="765"/>
      <c r="I4" s="764"/>
      <c r="J4" s="766"/>
      <c r="K4" s="766"/>
    </row>
    <row r="5" spans="1:11" x14ac:dyDescent="0.2">
      <c r="A5" s="2285" t="s">
        <v>1069</v>
      </c>
      <c r="B5" s="2258"/>
      <c r="C5" s="2258"/>
      <c r="D5" s="2258"/>
      <c r="E5" s="2286"/>
      <c r="F5" s="767" t="s">
        <v>848</v>
      </c>
      <c r="G5" s="768"/>
      <c r="H5" s="761">
        <v>3436</v>
      </c>
      <c r="I5" s="769"/>
      <c r="J5" s="770"/>
      <c r="K5" s="770"/>
    </row>
    <row r="6" spans="1:11" x14ac:dyDescent="0.2">
      <c r="A6" s="771" t="s">
        <v>720</v>
      </c>
      <c r="B6" s="772"/>
      <c r="C6" s="772"/>
      <c r="D6" s="772"/>
      <c r="E6" s="773"/>
      <c r="F6" s="774" t="s">
        <v>849</v>
      </c>
      <c r="G6" s="761"/>
      <c r="H6" s="761">
        <v>2</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147655</v>
      </c>
      <c r="K8" s="766"/>
    </row>
    <row r="9" spans="1:11" x14ac:dyDescent="0.2">
      <c r="A9" s="775" t="s">
        <v>138</v>
      </c>
      <c r="B9" s="776"/>
      <c r="C9" s="776"/>
      <c r="D9" s="776"/>
      <c r="E9" s="777"/>
      <c r="F9" s="774" t="s">
        <v>853</v>
      </c>
      <c r="G9" s="779"/>
      <c r="H9" s="768"/>
      <c r="I9" s="768"/>
      <c r="J9" s="778"/>
      <c r="K9" s="762"/>
    </row>
    <row r="10" spans="1:11" x14ac:dyDescent="0.2">
      <c r="A10" s="2285" t="s">
        <v>1813</v>
      </c>
      <c r="B10" s="2258"/>
      <c r="C10" s="2258"/>
      <c r="D10" s="2258"/>
      <c r="E10" s="2287"/>
      <c r="F10" s="780" t="s">
        <v>862</v>
      </c>
      <c r="G10" s="779"/>
      <c r="H10" s="781"/>
      <c r="I10" s="761"/>
      <c r="J10" s="762"/>
      <c r="K10" s="762"/>
    </row>
    <row r="11" spans="1:11" x14ac:dyDescent="0.2">
      <c r="A11" s="2285" t="s">
        <v>160</v>
      </c>
      <c r="B11" s="2258"/>
      <c r="C11" s="2258"/>
      <c r="D11" s="2258"/>
      <c r="E11" s="2286"/>
      <c r="F11" s="767" t="s">
        <v>852</v>
      </c>
      <c r="G11" s="768"/>
      <c r="H11" s="761"/>
      <c r="I11" s="761"/>
      <c r="J11" s="762"/>
      <c r="K11" s="770"/>
    </row>
    <row r="12" spans="1:11" ht="13.5" thickBot="1" x14ac:dyDescent="0.25">
      <c r="A12" s="2275" t="s">
        <v>905</v>
      </c>
      <c r="B12" s="2276"/>
      <c r="C12" s="2276"/>
      <c r="D12" s="2276"/>
      <c r="E12" s="2277"/>
      <c r="F12" s="1754"/>
      <c r="G12" s="1755">
        <f>SUM(G5:G11)</f>
        <v>0</v>
      </c>
      <c r="H12" s="1755">
        <f>SUM(H5:H11)</f>
        <v>3438</v>
      </c>
      <c r="I12" s="1755">
        <f>SUM(I5:I11)</f>
        <v>0</v>
      </c>
      <c r="J12" s="1755">
        <f>SUM(J5:J11)</f>
        <v>147655</v>
      </c>
      <c r="K12" s="1755">
        <f>SUM(K5:K11)</f>
        <v>0</v>
      </c>
    </row>
    <row r="13" spans="1:11" ht="13.5" thickTop="1" x14ac:dyDescent="0.2">
      <c r="A13" s="2269" t="s">
        <v>370</v>
      </c>
      <c r="B13" s="2270"/>
      <c r="C13" s="2270"/>
      <c r="D13" s="2270"/>
      <c r="E13" s="2271"/>
      <c r="F13" s="782"/>
      <c r="G13" s="783"/>
      <c r="H13" s="784"/>
      <c r="I13" s="785"/>
      <c r="J13" s="785"/>
      <c r="K13" s="785"/>
    </row>
    <row r="14" spans="1:11" x14ac:dyDescent="0.2">
      <c r="A14" s="2291" t="s">
        <v>456</v>
      </c>
      <c r="B14" s="2291"/>
      <c r="C14" s="2291"/>
      <c r="D14" s="2291"/>
      <c r="E14" s="2292"/>
      <c r="F14" s="786" t="s">
        <v>854</v>
      </c>
      <c r="G14" s="779"/>
      <c r="H14" s="761">
        <v>3438</v>
      </c>
      <c r="I14" s="768"/>
      <c r="J14" s="770"/>
      <c r="K14" s="762"/>
    </row>
    <row r="15" spans="1:11" x14ac:dyDescent="0.2">
      <c r="A15" s="2258" t="s">
        <v>4</v>
      </c>
      <c r="B15" s="2258"/>
      <c r="C15" s="2258"/>
      <c r="D15" s="2258"/>
      <c r="E15" s="2286"/>
      <c r="F15" s="786" t="s">
        <v>855</v>
      </c>
      <c r="G15" s="768"/>
      <c r="H15" s="761"/>
      <c r="I15" s="761"/>
      <c r="J15" s="762">
        <v>120049</v>
      </c>
      <c r="K15" s="762"/>
    </row>
    <row r="16" spans="1:11" x14ac:dyDescent="0.2">
      <c r="A16" s="2258" t="s">
        <v>298</v>
      </c>
      <c r="B16" s="2258"/>
      <c r="C16" s="2258"/>
      <c r="D16" s="2258"/>
      <c r="E16" s="2286"/>
      <c r="F16" s="786" t="s">
        <v>923</v>
      </c>
      <c r="G16" s="769"/>
      <c r="H16" s="764"/>
      <c r="I16" s="764"/>
      <c r="J16" s="766"/>
      <c r="K16" s="766"/>
    </row>
    <row r="17" spans="1:11" x14ac:dyDescent="0.2">
      <c r="A17" s="2280" t="s">
        <v>935</v>
      </c>
      <c r="B17" s="2280"/>
      <c r="C17" s="2280"/>
      <c r="D17" s="2280"/>
      <c r="E17" s="2281"/>
      <c r="F17" s="787"/>
      <c r="G17" s="788"/>
      <c r="H17" s="789"/>
      <c r="I17" s="789"/>
      <c r="J17" s="790"/>
      <c r="K17" s="791"/>
    </row>
    <row r="18" spans="1:11" x14ac:dyDescent="0.2">
      <c r="A18" s="2272" t="s">
        <v>368</v>
      </c>
      <c r="B18" s="2273"/>
      <c r="C18" s="2273"/>
      <c r="D18" s="2273"/>
      <c r="E18" s="2274"/>
      <c r="F18" s="786" t="s">
        <v>932</v>
      </c>
      <c r="G18" s="779"/>
      <c r="H18" s="779"/>
      <c r="I18" s="779"/>
      <c r="J18" s="762"/>
      <c r="K18" s="792"/>
    </row>
    <row r="19" spans="1:11" ht="21.75" customHeight="1" x14ac:dyDescent="0.2">
      <c r="A19" s="2293" t="s">
        <v>1809</v>
      </c>
      <c r="B19" s="2293"/>
      <c r="C19" s="2293"/>
      <c r="D19" s="2293"/>
      <c r="E19" s="2294"/>
      <c r="F19" s="786" t="s">
        <v>933</v>
      </c>
      <c r="G19" s="779"/>
      <c r="H19" s="779"/>
      <c r="I19" s="779"/>
      <c r="J19" s="762"/>
      <c r="K19" s="792"/>
    </row>
    <row r="20" spans="1:11" x14ac:dyDescent="0.2">
      <c r="A20" s="2272" t="s">
        <v>1814</v>
      </c>
      <c r="B20" s="2273"/>
      <c r="C20" s="2273"/>
      <c r="D20" s="2273"/>
      <c r="E20" s="2274"/>
      <c r="F20" s="786" t="s">
        <v>934</v>
      </c>
      <c r="G20" s="779"/>
      <c r="H20" s="779"/>
      <c r="I20" s="779"/>
      <c r="J20" s="762"/>
      <c r="K20" s="792"/>
    </row>
    <row r="21" spans="1:11" ht="13.5" thickBot="1" x14ac:dyDescent="0.25">
      <c r="A21" s="2278" t="s">
        <v>638</v>
      </c>
      <c r="B21" s="2278"/>
      <c r="C21" s="2278"/>
      <c r="D21" s="2278"/>
      <c r="E21" s="2278"/>
      <c r="F21" s="1756"/>
      <c r="G21" s="789"/>
      <c r="H21" s="793"/>
      <c r="I21" s="793"/>
      <c r="J21" s="1757">
        <f>SUM(J18:J20)</f>
        <v>0</v>
      </c>
      <c r="K21" s="790"/>
    </row>
    <row r="22" spans="1:11" ht="13.5" thickTop="1" x14ac:dyDescent="0.2">
      <c r="A22" s="2258" t="s">
        <v>1815</v>
      </c>
      <c r="B22" s="2258"/>
      <c r="C22" s="2258"/>
      <c r="D22" s="2258"/>
      <c r="E22" s="2286"/>
      <c r="F22" s="786" t="s">
        <v>862</v>
      </c>
      <c r="G22" s="779"/>
      <c r="H22" s="761"/>
      <c r="I22" s="761"/>
      <c r="J22" s="794"/>
      <c r="K22" s="762"/>
    </row>
    <row r="23" spans="1:11" ht="13.5" thickBot="1" x14ac:dyDescent="0.25">
      <c r="A23" s="2279" t="s">
        <v>906</v>
      </c>
      <c r="B23" s="2278"/>
      <c r="C23" s="2278"/>
      <c r="D23" s="2278"/>
      <c r="E23" s="2278"/>
      <c r="F23" s="1758"/>
      <c r="G23" s="1755">
        <f>SUM(G14:G16,G21,G22)</f>
        <v>0</v>
      </c>
      <c r="H23" s="1755">
        <f>SUM(H14:H16,H21,H22)</f>
        <v>3438</v>
      </c>
      <c r="I23" s="1755">
        <f>SUM(I14:I16,I21,I22)</f>
        <v>0</v>
      </c>
      <c r="J23" s="1755">
        <f>SUM(J14:J16,J21,J22)</f>
        <v>120049</v>
      </c>
      <c r="K23" s="1755">
        <f>SUM(K14:K16,K21,K22)</f>
        <v>0</v>
      </c>
    </row>
    <row r="24" spans="1:11" ht="14.25" thickTop="1" thickBot="1" x14ac:dyDescent="0.25">
      <c r="A24" s="2279" t="s">
        <v>1965</v>
      </c>
      <c r="B24" s="2278"/>
      <c r="C24" s="2278"/>
      <c r="D24" s="2278"/>
      <c r="E24" s="2278"/>
      <c r="F24" s="1759"/>
      <c r="G24" s="1760">
        <f>SUM(G3,G12)-G23</f>
        <v>0</v>
      </c>
      <c r="H24" s="1760">
        <f>SUM(H3,H12)-H23</f>
        <v>0</v>
      </c>
      <c r="I24" s="1760">
        <f>SUM(I3,I12)-I23</f>
        <v>0</v>
      </c>
      <c r="J24" s="1760">
        <f>SUM(J3,J12)-J23</f>
        <v>49768</v>
      </c>
      <c r="K24" s="1760">
        <f>SUM(K3,K12)-K23</f>
        <v>0</v>
      </c>
    </row>
    <row r="25" spans="1:11" ht="13.5" thickTop="1" x14ac:dyDescent="0.2">
      <c r="A25" s="795" t="s">
        <v>420</v>
      </c>
      <c r="B25" s="796"/>
      <c r="C25" s="796"/>
      <c r="D25" s="796"/>
      <c r="E25" s="797"/>
      <c r="F25" s="798">
        <v>714</v>
      </c>
      <c r="G25" s="799"/>
      <c r="H25" s="799"/>
      <c r="I25" s="799"/>
      <c r="J25" s="794">
        <v>49768</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88"/>
      <c r="I31" s="2289"/>
      <c r="J31" s="2289"/>
      <c r="K31" s="2289"/>
    </row>
    <row r="32" spans="1:11" x14ac:dyDescent="0.2">
      <c r="A32" s="806"/>
      <c r="B32" s="237"/>
      <c r="C32" s="237"/>
      <c r="D32" s="237"/>
      <c r="E32" s="802"/>
      <c r="F32" s="808" t="s">
        <v>540</v>
      </c>
      <c r="G32" s="761"/>
      <c r="H32" s="2290"/>
      <c r="I32" s="2289"/>
      <c r="J32" s="2289"/>
      <c r="K32" s="2289"/>
    </row>
    <row r="33" spans="1:11" ht="1.5" customHeight="1" x14ac:dyDescent="0.2">
      <c r="A33" s="809" t="s">
        <v>1169</v>
      </c>
      <c r="B33" s="364"/>
      <c r="C33" s="364"/>
      <c r="D33" s="364"/>
      <c r="E33" s="364"/>
      <c r="F33" s="364"/>
      <c r="G33" s="810"/>
      <c r="H33" s="2290"/>
      <c r="I33" s="2289"/>
      <c r="J33" s="2289"/>
      <c r="K33" s="228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58" t="s">
        <v>541</v>
      </c>
      <c r="B41" s="2259"/>
      <c r="C41" s="2259"/>
      <c r="D41" s="2259"/>
      <c r="E41" s="2259"/>
      <c r="F41" s="226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7" t="s">
        <v>1909</v>
      </c>
      <c r="B1" s="2298"/>
      <c r="C1" s="2299"/>
      <c r="D1" s="823"/>
      <c r="E1" s="824"/>
      <c r="F1" s="824"/>
      <c r="G1" s="825"/>
      <c r="H1" s="826"/>
      <c r="I1" s="827"/>
      <c r="J1" s="2295"/>
      <c r="K1" s="2296"/>
      <c r="L1" s="229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713769</v>
      </c>
      <c r="D5" s="838"/>
      <c r="E5" s="838"/>
      <c r="F5" s="1757">
        <f>(C5+D5)-E5</f>
        <v>713769</v>
      </c>
      <c r="G5" s="834"/>
      <c r="H5" s="839"/>
      <c r="I5" s="839"/>
      <c r="J5" s="839"/>
      <c r="K5" s="790"/>
      <c r="L5" s="1766">
        <f>F5-K5</f>
        <v>713769</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6462979</v>
      </c>
      <c r="D8" s="841">
        <v>19600</v>
      </c>
      <c r="E8" s="841"/>
      <c r="F8" s="1757">
        <f>(C8+D8)-E8</f>
        <v>6482579</v>
      </c>
      <c r="G8" s="840">
        <v>50</v>
      </c>
      <c r="H8" s="762">
        <v>2148646</v>
      </c>
      <c r="I8" s="762">
        <v>129652</v>
      </c>
      <c r="J8" s="762"/>
      <c r="K8" s="1766">
        <f>(H8+I8)-J8</f>
        <v>2278298</v>
      </c>
      <c r="L8" s="1766">
        <f>F8-K8</f>
        <v>4204281</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180757</v>
      </c>
      <c r="D10" s="843">
        <v>83367</v>
      </c>
      <c r="E10" s="843"/>
      <c r="F10" s="1761">
        <f>(C10+D10)-E10</f>
        <v>264124</v>
      </c>
      <c r="G10" s="840">
        <v>20</v>
      </c>
      <c r="H10" s="844">
        <v>125983</v>
      </c>
      <c r="I10" s="844">
        <v>13205</v>
      </c>
      <c r="J10" s="844"/>
      <c r="K10" s="1766">
        <f>(H10+I10)-J10</f>
        <v>139188</v>
      </c>
      <c r="L10" s="1766">
        <f>F10-K10</f>
        <v>124936</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576988</v>
      </c>
      <c r="D12" s="841">
        <v>76438</v>
      </c>
      <c r="E12" s="841">
        <v>24608</v>
      </c>
      <c r="F12" s="1757">
        <f>(C12+D12)-E12</f>
        <v>628818</v>
      </c>
      <c r="G12" s="840">
        <v>10</v>
      </c>
      <c r="H12" s="762">
        <v>301632</v>
      </c>
      <c r="I12" s="762">
        <v>62878</v>
      </c>
      <c r="J12" s="762">
        <v>24608</v>
      </c>
      <c r="K12" s="1766">
        <f>(H12+I12)-J12</f>
        <v>339902</v>
      </c>
      <c r="L12" s="1766">
        <f>F12-K12</f>
        <v>288916</v>
      </c>
    </row>
    <row r="13" spans="1:14" ht="14.25" thickTop="1" thickBot="1" x14ac:dyDescent="0.25">
      <c r="A13" s="845" t="s">
        <v>1122</v>
      </c>
      <c r="B13" s="837">
        <v>252</v>
      </c>
      <c r="C13" s="841">
        <v>139000</v>
      </c>
      <c r="D13" s="841"/>
      <c r="E13" s="841"/>
      <c r="F13" s="1757">
        <f>(C13+D13)-E13</f>
        <v>139000</v>
      </c>
      <c r="G13" s="840">
        <v>5</v>
      </c>
      <c r="H13" s="762">
        <v>27800</v>
      </c>
      <c r="I13" s="762">
        <v>27800</v>
      </c>
      <c r="J13" s="762"/>
      <c r="K13" s="1766">
        <f>(H13+I13)-J13</f>
        <v>55600</v>
      </c>
      <c r="L13" s="1766">
        <f>F13-K13</f>
        <v>83400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9800</v>
      </c>
      <c r="D15" s="841"/>
      <c r="E15" s="841"/>
      <c r="F15" s="1757">
        <f>(C15+D15)-E15</f>
        <v>9800</v>
      </c>
      <c r="G15" s="846" t="s">
        <v>862</v>
      </c>
      <c r="H15" s="778"/>
      <c r="I15" s="778"/>
      <c r="J15" s="778"/>
      <c r="K15" s="778"/>
      <c r="L15" s="1766">
        <f>F15-K15</f>
        <v>9800</v>
      </c>
    </row>
    <row r="16" spans="1:14" ht="15" customHeight="1" thickTop="1" thickBot="1" x14ac:dyDescent="0.25">
      <c r="A16" s="1762" t="s">
        <v>643</v>
      </c>
      <c r="B16" s="1763">
        <v>200</v>
      </c>
      <c r="C16" s="1757">
        <f>SUM(C3,C5:C6,C8:C10,C12:C15)</f>
        <v>8083293</v>
      </c>
      <c r="D16" s="1757">
        <f>SUM(D3,D5:D6,D8:D10,D12:D15)</f>
        <v>179405</v>
      </c>
      <c r="E16" s="1757">
        <f>SUM(E3,E5:E6,E8:E10,E12:E15)</f>
        <v>24608</v>
      </c>
      <c r="F16" s="1757">
        <f>SUM(F3,F5:F6,F8:F10,F12:F15)</f>
        <v>8238090</v>
      </c>
      <c r="G16" s="840"/>
      <c r="H16" s="1757">
        <f>SUM(H3,H6,H8:H10,H12:H14,)</f>
        <v>2604061</v>
      </c>
      <c r="I16" s="1757">
        <f>SUM(I3,I6,I8:I10,I12:I14,)</f>
        <v>233535</v>
      </c>
      <c r="J16" s="1757">
        <f>SUM(J3,J6,J8:J10,J12:J14,)</f>
        <v>24608</v>
      </c>
      <c r="K16" s="1757">
        <f>(H16+I16)-J16</f>
        <v>2812988</v>
      </c>
      <c r="L16" s="1757">
        <f>F16-K16</f>
        <v>5425102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233535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7" sqref="A17:H1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3" t="s">
        <v>1975</v>
      </c>
      <c r="B1" s="2304"/>
      <c r="C1" s="2304"/>
      <c r="D1" s="2304"/>
      <c r="E1" s="2304"/>
      <c r="F1" s="2305"/>
      <c r="G1" s="852"/>
    </row>
    <row r="2" spans="1:7" ht="15" customHeight="1" thickBot="1" x14ac:dyDescent="0.25">
      <c r="A2" s="2306" t="s">
        <v>477</v>
      </c>
      <c r="B2" s="2307"/>
      <c r="C2" s="2307"/>
      <c r="D2" s="2307"/>
      <c r="E2" s="2307"/>
      <c r="F2" s="230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09"/>
      <c r="B5" s="2310"/>
      <c r="C5" s="2310"/>
      <c r="D5" s="2310"/>
      <c r="E5" s="2310"/>
      <c r="F5" s="2310"/>
    </row>
    <row r="6" spans="1:7" ht="13.5" customHeight="1" thickBot="1" x14ac:dyDescent="0.25">
      <c r="A6" s="2300" t="s">
        <v>1104</v>
      </c>
      <c r="B6" s="2301"/>
      <c r="C6" s="2301"/>
      <c r="D6" s="2301"/>
      <c r="E6" s="2301"/>
      <c r="F6" s="230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3230343</v>
      </c>
      <c r="G8" s="862"/>
    </row>
    <row r="9" spans="1:7" x14ac:dyDescent="0.2">
      <c r="A9" s="866" t="s">
        <v>460</v>
      </c>
      <c r="B9" s="867" t="s">
        <v>1877</v>
      </c>
      <c r="C9" s="868"/>
      <c r="D9" s="866" t="s">
        <v>501</v>
      </c>
      <c r="E9" s="865"/>
      <c r="F9" s="1906">
        <f>'Expenditures 15-22'!K151</f>
        <v>275273</v>
      </c>
      <c r="G9" s="869"/>
    </row>
    <row r="10" spans="1:7" x14ac:dyDescent="0.2">
      <c r="A10" s="866" t="s">
        <v>499</v>
      </c>
      <c r="B10" s="867" t="s">
        <v>1878</v>
      </c>
      <c r="C10" s="868"/>
      <c r="D10" s="866" t="s">
        <v>501</v>
      </c>
      <c r="E10" s="865"/>
      <c r="F10" s="1906">
        <f>'Expenditures 15-22'!K174</f>
        <v>190910</v>
      </c>
      <c r="G10" s="869"/>
    </row>
    <row r="11" spans="1:7" x14ac:dyDescent="0.2">
      <c r="A11" s="866" t="s">
        <v>461</v>
      </c>
      <c r="B11" s="867" t="s">
        <v>1879</v>
      </c>
      <c r="C11" s="868"/>
      <c r="D11" s="866" t="s">
        <v>501</v>
      </c>
      <c r="E11" s="865"/>
      <c r="F11" s="1906">
        <f>'Expenditures 15-22'!K210</f>
        <v>92665</v>
      </c>
      <c r="G11" s="869"/>
    </row>
    <row r="12" spans="1:7" x14ac:dyDescent="0.2">
      <c r="A12" s="866" t="s">
        <v>462</v>
      </c>
      <c r="B12" s="867" t="s">
        <v>1880</v>
      </c>
      <c r="C12" s="868"/>
      <c r="D12" s="866" t="s">
        <v>501</v>
      </c>
      <c r="E12" s="865"/>
      <c r="F12" s="1906">
        <f>'Expenditures 15-22'!K295</f>
        <v>103911</v>
      </c>
      <c r="G12" s="869"/>
    </row>
    <row r="13" spans="1:7" x14ac:dyDescent="0.2">
      <c r="A13" s="866" t="s">
        <v>106</v>
      </c>
      <c r="B13" s="867" t="s">
        <v>1881</v>
      </c>
      <c r="C13" s="868"/>
      <c r="D13" s="866" t="s">
        <v>501</v>
      </c>
      <c r="E13" s="865"/>
      <c r="F13" s="1906">
        <f>'Expenditures 15-22'!K342</f>
        <v>36124</v>
      </c>
      <c r="G13" s="870"/>
    </row>
    <row r="14" spans="1:7" ht="12" customHeight="1" thickBot="1" x14ac:dyDescent="0.25">
      <c r="A14" s="1767"/>
      <c r="B14" s="1768"/>
      <c r="C14" s="1769"/>
      <c r="D14" s="1770" t="s">
        <v>501</v>
      </c>
      <c r="E14" s="1771" t="s">
        <v>958</v>
      </c>
      <c r="F14" s="1772">
        <f>SUM(F8:F13)</f>
        <v>3929226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130590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33962</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66283</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122</v>
      </c>
      <c r="G52" s="862"/>
    </row>
    <row r="53" spans="1:7" x14ac:dyDescent="0.2">
      <c r="A53" s="866" t="s">
        <v>459</v>
      </c>
      <c r="B53" s="866" t="s">
        <v>1475</v>
      </c>
      <c r="C53" s="886">
        <f>'Expenditures 15-22'!B102</f>
        <v>4000</v>
      </c>
      <c r="D53" s="885" t="str">
        <f>'Expenditures 15-22'!A102</f>
        <v>Total Payments to Other Govt Units</v>
      </c>
      <c r="E53" s="865"/>
      <c r="F53" s="1910">
        <f>'Expenditures 15-22'!K102</f>
        <v>154440</v>
      </c>
      <c r="G53" s="862"/>
    </row>
    <row r="54" spans="1:7" x14ac:dyDescent="0.2">
      <c r="A54" s="866" t="s">
        <v>459</v>
      </c>
      <c r="B54" s="866" t="s">
        <v>1476</v>
      </c>
      <c r="C54" s="886" t="s">
        <v>982</v>
      </c>
      <c r="D54" s="882" t="s">
        <v>1095</v>
      </c>
      <c r="E54" s="865"/>
      <c r="F54" s="1910">
        <f>'Expenditures 15-22'!G114</f>
        <v>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49556</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180000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4133</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2579</v>
      </c>
      <c r="G67" s="862"/>
    </row>
    <row r="68" spans="1:8" x14ac:dyDescent="0.2">
      <c r="A68" s="866" t="s">
        <v>462</v>
      </c>
      <c r="B68" s="866" t="s">
        <v>1479</v>
      </c>
      <c r="C68" s="883" t="str">
        <f>'Expenditures 15-22'!B218</f>
        <v>1225</v>
      </c>
      <c r="D68" s="889" t="str">
        <f>'Expenditures 15-22'!A218</f>
        <v>Special Education Programs - Pre-K</v>
      </c>
      <c r="E68" s="865"/>
      <c r="F68" s="1910">
        <f>'Expenditures 15-22'!K218</f>
        <v>4170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625835</v>
      </c>
      <c r="G76" s="862"/>
    </row>
    <row r="77" spans="1:8" s="890" customFormat="1" ht="12" customHeight="1" thickTop="1" thickBot="1" x14ac:dyDescent="0.25">
      <c r="A77" s="1776"/>
      <c r="B77" s="1773"/>
      <c r="C77" s="1769"/>
      <c r="D77" s="1774" t="s">
        <v>1900</v>
      </c>
      <c r="E77" s="1771"/>
      <c r="F77" s="1777">
        <f>(F14-F76)</f>
        <v>3303391</v>
      </c>
      <c r="G77" s="866"/>
    </row>
    <row r="78" spans="1:8" s="890" customFormat="1" ht="12" customHeight="1" thickTop="1" x14ac:dyDescent="0.2">
      <c r="A78" s="1778"/>
      <c r="B78" s="1773"/>
      <c r="C78" s="1769"/>
      <c r="D78" s="1774" t="s">
        <v>2062</v>
      </c>
      <c r="E78" s="1771"/>
      <c r="F78" s="895">
        <v>258.89999999999998</v>
      </c>
      <c r="G78" s="896"/>
      <c r="H78" s="866"/>
    </row>
    <row r="79" spans="1:8" s="890" customFormat="1" ht="12" customHeight="1" thickBot="1" x14ac:dyDescent="0.25">
      <c r="A79" s="1779"/>
      <c r="B79" s="1773"/>
      <c r="C79" s="1769"/>
      <c r="D79" s="1774" t="s">
        <v>1901</v>
      </c>
      <c r="E79" s="1771" t="s">
        <v>958</v>
      </c>
      <c r="F79" s="1780">
        <f>IF(F78&gt;0,F77/F78," Complete Line 78")</f>
        <v>12759.331788335267</v>
      </c>
      <c r="G79" s="866"/>
    </row>
    <row r="80" spans="1:8" s="890" customFormat="1" ht="8.25" customHeight="1" thickTop="1" x14ac:dyDescent="0.2">
      <c r="A80" s="897"/>
      <c r="B80" s="866"/>
      <c r="C80" s="868"/>
      <c r="D80" s="898"/>
      <c r="E80" s="865"/>
      <c r="F80" s="899"/>
      <c r="G80" s="866"/>
    </row>
    <row r="81" spans="1:7" s="890" customFormat="1" ht="12" thickBot="1" x14ac:dyDescent="0.25">
      <c r="A81" s="2300" t="s">
        <v>1105</v>
      </c>
      <c r="B81" s="2301"/>
      <c r="C81" s="2301"/>
      <c r="D81" s="2301"/>
      <c r="E81" s="2301"/>
      <c r="F81" s="230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2917</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1825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3043</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26681</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3682</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73158</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183037</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194757</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20000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118454</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5056</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8897</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26739</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119901.59</v>
      </c>
      <c r="G171" s="924"/>
    </row>
    <row r="172" spans="1:7" x14ac:dyDescent="0.2">
      <c r="A172" s="1915" t="s">
        <v>664</v>
      </c>
      <c r="B172" s="1916" t="s">
        <v>1920</v>
      </c>
      <c r="C172" s="1917">
        <v>3300</v>
      </c>
      <c r="D172" s="1918" t="s">
        <v>1923</v>
      </c>
      <c r="E172" s="903"/>
      <c r="F172" s="1903">
        <v>2165.04</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790312.63</v>
      </c>
    </row>
    <row r="175" spans="1:7" ht="12" customHeight="1" x14ac:dyDescent="0.2">
      <c r="A175" s="1767"/>
      <c r="B175" s="1781"/>
      <c r="C175" s="1782"/>
      <c r="D175" s="1783" t="s">
        <v>2057</v>
      </c>
      <c r="E175" s="1784"/>
      <c r="F175" s="1786">
        <f>'PCTC-OEPP 27-28'!F77-F174</f>
        <v>2513078.37</v>
      </c>
    </row>
    <row r="176" spans="1:7" ht="12" customHeight="1" x14ac:dyDescent="0.2">
      <c r="A176" s="1767"/>
      <c r="B176" s="1781"/>
      <c r="C176" s="1782"/>
      <c r="D176" s="1783" t="s">
        <v>1817</v>
      </c>
      <c r="E176" s="1784"/>
      <c r="F176" s="1786">
        <f>'Cap Outlay Deprec 26'!I18</f>
        <v>233535</v>
      </c>
    </row>
    <row r="177" spans="1:7" ht="12" customHeight="1" x14ac:dyDescent="0.2">
      <c r="A177" s="1767"/>
      <c r="B177" s="1781"/>
      <c r="C177" s="1782"/>
      <c r="D177" s="1783" t="s">
        <v>2058</v>
      </c>
      <c r="E177" s="1784"/>
      <c r="F177" s="1786">
        <f>F175+F176</f>
        <v>2746613.37</v>
      </c>
    </row>
    <row r="178" spans="1:7" ht="12" customHeight="1" x14ac:dyDescent="0.2">
      <c r="A178" s="1767"/>
      <c r="B178" s="1787"/>
      <c r="C178" s="1782"/>
      <c r="D178" s="1783" t="str">
        <f>D78</f>
        <v>9 Month ADA from District Average Daily Attendance/Prior General State Aid Inquiry 2018-2019</v>
      </c>
      <c r="E178" s="1784"/>
      <c r="F178" s="1788">
        <f>'PCTC-OEPP 27-28'!F78</f>
        <v>258.89999999999998</v>
      </c>
      <c r="G178" s="927"/>
    </row>
    <row r="179" spans="1:7" ht="12" customHeight="1" thickBot="1" x14ac:dyDescent="0.25">
      <c r="A179" s="1767"/>
      <c r="B179" s="1787"/>
      <c r="C179" s="1782"/>
      <c r="D179" s="1783" t="s">
        <v>2059</v>
      </c>
      <c r="E179" s="1784" t="s">
        <v>1545</v>
      </c>
      <c r="F179" s="1789">
        <f>F177/F178</f>
        <v>10608.780880648901</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A17" sqref="A17:H17"/>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4" t="s">
        <v>1818</v>
      </c>
      <c r="B4" s="2315"/>
      <c r="C4" s="2315"/>
      <c r="D4" s="2315"/>
      <c r="E4" s="2315"/>
      <c r="F4" s="2315"/>
      <c r="G4" s="2316"/>
    </row>
    <row r="5" spans="1:7" x14ac:dyDescent="0.25">
      <c r="A5" s="2317"/>
      <c r="B5" s="2318"/>
      <c r="C5" s="2318"/>
      <c r="D5" s="2318"/>
      <c r="E5" s="2318"/>
      <c r="F5" s="2318"/>
      <c r="G5" s="2319"/>
    </row>
    <row r="6" spans="1:7" ht="18.75" x14ac:dyDescent="0.25">
      <c r="A6" s="1531" t="s">
        <v>1819</v>
      </c>
      <c r="B6" s="1532"/>
      <c r="C6" s="1532"/>
      <c r="D6" s="1532"/>
      <c r="E6" s="1532"/>
      <c r="F6" s="1532"/>
      <c r="G6" s="1533"/>
    </row>
    <row r="7" spans="1:7" ht="30.75" customHeight="1" x14ac:dyDescent="0.25">
      <c r="A7" s="2320" t="s">
        <v>1932</v>
      </c>
      <c r="B7" s="2321"/>
      <c r="C7" s="2321"/>
      <c r="D7" s="2321"/>
      <c r="E7" s="2321"/>
      <c r="F7" s="2321"/>
      <c r="G7" s="2322"/>
    </row>
    <row r="8" spans="1:7" ht="15.75" customHeight="1" x14ac:dyDescent="0.25">
      <c r="A8" s="2323" t="s">
        <v>1907</v>
      </c>
      <c r="B8" s="2324"/>
      <c r="C8" s="2324"/>
      <c r="D8" s="2324"/>
      <c r="E8" s="2324"/>
      <c r="F8" s="2324"/>
      <c r="G8" s="2325"/>
    </row>
    <row r="9" spans="1:7" ht="35.25" customHeight="1" x14ac:dyDescent="0.25">
      <c r="A9" s="2320" t="s">
        <v>1935</v>
      </c>
      <c r="B9" s="2321"/>
      <c r="C9" s="2321"/>
      <c r="D9" s="2321"/>
      <c r="E9" s="2321"/>
      <c r="F9" s="2321"/>
      <c r="G9" s="2322"/>
    </row>
    <row r="10" spans="1:7" ht="15" customHeight="1" x14ac:dyDescent="0.25">
      <c r="A10" s="1534" t="s">
        <v>1820</v>
      </c>
      <c r="B10" s="1535"/>
      <c r="C10" s="1535"/>
      <c r="D10" s="1535"/>
      <c r="E10" s="1535"/>
      <c r="F10" s="1535"/>
      <c r="G10" s="1536"/>
    </row>
    <row r="11" spans="1:7" ht="17.25" customHeight="1" x14ac:dyDescent="0.25">
      <c r="A11" s="2320" t="s">
        <v>1934</v>
      </c>
      <c r="B11" s="2321"/>
      <c r="C11" s="2321"/>
      <c r="D11" s="2321"/>
      <c r="E11" s="2321"/>
      <c r="F11" s="2321"/>
      <c r="G11" s="2322"/>
    </row>
    <row r="12" spans="1:7" ht="15" customHeight="1" x14ac:dyDescent="0.25">
      <c r="A12" s="1534" t="s">
        <v>1825</v>
      </c>
      <c r="B12" s="1535"/>
      <c r="C12" s="1535"/>
      <c r="D12" s="1535"/>
      <c r="E12" s="1535"/>
      <c r="F12" s="1535"/>
      <c r="G12" s="1536"/>
    </row>
    <row r="13" spans="1:7" ht="32.25" customHeight="1" x14ac:dyDescent="0.25">
      <c r="A13" s="2311" t="s">
        <v>1976</v>
      </c>
      <c r="B13" s="2312"/>
      <c r="C13" s="2312"/>
      <c r="D13" s="2312"/>
      <c r="E13" s="2312"/>
      <c r="F13" s="2312"/>
      <c r="G13" s="231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84" t="s">
        <v>2125</v>
      </c>
      <c r="B17" s="1935"/>
      <c r="C17" s="1936"/>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934"/>
      <c r="B18" s="1935"/>
      <c r="C18" s="1936"/>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6" t="s">
        <v>1679</v>
      </c>
      <c r="B5" s="2327"/>
      <c r="C5" s="2327"/>
      <c r="D5" s="2327"/>
      <c r="E5" s="2327"/>
      <c r="F5" s="2327"/>
      <c r="G5" s="232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96192</v>
      </c>
      <c r="F10" s="971"/>
      <c r="G10" s="972"/>
      <c r="H10" s="162"/>
      <c r="I10" s="162"/>
    </row>
    <row r="11" spans="1:9" s="665" customFormat="1" ht="22.5" customHeight="1" x14ac:dyDescent="0.2">
      <c r="A11" s="2331" t="s">
        <v>1977</v>
      </c>
      <c r="B11" s="2332"/>
      <c r="C11" s="2332"/>
      <c r="D11" s="2333"/>
      <c r="E11" s="974">
        <v>13842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2174139</v>
      </c>
      <c r="F19" s="1796"/>
      <c r="G19" s="1798">
        <f>'Expenditures 15-22'!K33-SUM('Expenditures 15-22'!G33,'Expenditures 15-22'!I33)+'Expenditures 15-22'!D229</f>
        <v>2174139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111953</v>
      </c>
      <c r="F21" s="1799"/>
      <c r="G21" s="1802">
        <f>'Expenditures 15-22'!K42-SUM('Expenditures 15-22'!G42,'Expenditures 15-22'!I42)+'Expenditures 15-22'!K120-SUM('Expenditures 15-22'!G120,'Expenditures 15-22'!I120)+'Expenditures 15-22'!K180-SUM('Expenditures 15-22'!G180,'Expenditures 15-22'!I180)+'Expenditures 15-22'!D238</f>
        <v>111953</v>
      </c>
      <c r="H21" s="984"/>
      <c r="I21" s="162"/>
    </row>
    <row r="22" spans="1:9" s="665" customFormat="1" ht="12" customHeight="1" x14ac:dyDescent="0.2">
      <c r="A22" s="991" t="s">
        <v>564</v>
      </c>
      <c r="B22" s="992"/>
      <c r="C22" s="990">
        <v>2200</v>
      </c>
      <c r="D22" s="1799"/>
      <c r="E22" s="1801">
        <f>'Expenditures 15-22'!K47-SUM('Expenditures 15-22'!G47,'Expenditures 15-22'!I47)+'Expenditures 15-22'!D243</f>
        <v>136206</v>
      </c>
      <c r="F22" s="1799"/>
      <c r="G22" s="1802">
        <f>'Expenditures 15-22'!K47-SUM('Expenditures 15-22'!G47,'Expenditures 15-22'!I47)+'Expenditures 15-22'!D243</f>
        <v>136206</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310654</v>
      </c>
      <c r="F23" s="1799"/>
      <c r="G23" s="1801">
        <f>'Expenditures 15-22'!K53-SUM('Expenditures 15-22'!G53,'Expenditures 15-22'!I53)+'Expenditures 15-22'!D257+'Expenditures 15-22'!K330-SUM('Expenditures 15-22'!G330,'Expenditures 15-22'!I330)</f>
        <v>310654</v>
      </c>
      <c r="H23" s="984"/>
      <c r="I23" s="162"/>
    </row>
    <row r="24" spans="1:9" s="665" customFormat="1" ht="12" customHeight="1" x14ac:dyDescent="0.2">
      <c r="A24" s="991" t="s">
        <v>566</v>
      </c>
      <c r="B24" s="992"/>
      <c r="C24" s="990">
        <v>2400</v>
      </c>
      <c r="D24" s="1799"/>
      <c r="E24" s="1801">
        <f>'Expenditures 15-22'!K57-SUM('Expenditures 15-22'!G57,'Expenditures 15-22'!I57)+'Expenditures 15-22'!D261</f>
        <v>232915</v>
      </c>
      <c r="F24" s="1799"/>
      <c r="G24" s="1802">
        <f>'Expenditures 15-22'!K57-SUM('Expenditures 15-22'!G57,'Expenditures 15-22'!I57)+'Expenditures 15-22'!D261</f>
        <v>232915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72103</v>
      </c>
      <c r="E27" s="1801">
        <f>E8</f>
        <v>0</v>
      </c>
      <c r="F27" s="1801">
        <f>'Expenditures 15-22'!K60-SUM('Expenditures 15-22'!G60,'Expenditures 15-22'!I60)+'Expenditures 15-22'!D264-E8</f>
        <v>72103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237280</v>
      </c>
      <c r="F28" s="1803">
        <f>'Expenditures 15-22'!K61-SUM('Expenditures 15-22'!G61,'Expenditures 15-22'!I61)+'Expenditures 15-22'!K124-SUM('Expenditures 15-22'!G124,'Expenditures 15-22'!I124)+'Expenditures 15-22'!D266-E9</f>
        <v>237280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98137</v>
      </c>
      <c r="F29" s="1799"/>
      <c r="G29" s="1802">
        <f>'Expenditures 15-22'!K62-SUM('Expenditures 15-22'!G62,'Expenditures 15-22'!I62)+'Expenditures 15-22'!K125-SUM('Expenditures 15-22'!G125,'Expenditures 15-22'!I125)+'Expenditures 15-22'!K182-SUM('Expenditures 15-22'!G182,'Expenditures 15-22'!I182)+'Expenditures 15-22'!D267</f>
        <v>98137</v>
      </c>
      <c r="H29" s="982"/>
    </row>
    <row r="30" spans="1:9" ht="12" customHeight="1" x14ac:dyDescent="0.2">
      <c r="A30" s="991" t="s">
        <v>100</v>
      </c>
      <c r="B30" s="994"/>
      <c r="C30" s="990">
        <v>2560</v>
      </c>
      <c r="D30" s="1799"/>
      <c r="E30" s="1801">
        <f>'Expenditures 15-22'!K63-SUM('Expenditures 15-22'!G63,'Expenditures 15-22'!I63)+'Expenditures 15-22'!D268-E10</f>
        <v>53518</v>
      </c>
      <c r="F30" s="1799"/>
      <c r="G30" s="1801">
        <f>'Expenditures 15-22'!K63-SUM('Expenditures 15-22'!G63,'Expenditures 15-22'!I63)+'Expenditures 15-22'!D268-E10</f>
        <v>53518</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6968</v>
      </c>
      <c r="E37" s="1801">
        <f>E14</f>
        <v>0</v>
      </c>
      <c r="F37" s="1801">
        <f>'Expenditures 15-22'!K71-SUM('Expenditures 15-22'!G71,'Expenditures 15-22'!I71)+'Expenditures 15-22'!D276-E14</f>
        <v>6968</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122</v>
      </c>
      <c r="F39" s="1799"/>
      <c r="G39" s="1801">
        <f>'Expenditures 15-22'!K75-SUM('Expenditures 15-22'!G75,'Expenditures 15-22'!I75)+'Expenditures 15-22'!K130-SUM('Expenditures 15-22'!G130,'Expenditures 15-22'!I130)+'Expenditures 15-22'!K185-SUM('Expenditures 15-22'!G185,'Expenditures 15-22'!I185)+'Expenditures 15-22'!D280</f>
        <v>122</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79071</v>
      </c>
      <c r="E41" s="1803">
        <f>SUM(E19:E40)</f>
        <v>3354924</v>
      </c>
      <c r="F41" s="1803">
        <f>SUM(F19:F39)</f>
        <v>316351</v>
      </c>
      <c r="G41" s="1803">
        <f>SUM(G19:G40)</f>
        <v>3117644</v>
      </c>
    </row>
    <row r="42" spans="1:7" x14ac:dyDescent="0.2">
      <c r="A42" s="984"/>
      <c r="B42" s="162"/>
      <c r="C42" s="998"/>
      <c r="D42" s="2329" t="s">
        <v>522</v>
      </c>
      <c r="E42" s="2330"/>
      <c r="F42" s="999" t="s">
        <v>523</v>
      </c>
      <c r="G42" s="1000"/>
    </row>
    <row r="43" spans="1:7" ht="12" customHeight="1" x14ac:dyDescent="0.2">
      <c r="A43" s="984"/>
      <c r="B43" s="162"/>
      <c r="C43" s="998"/>
      <c r="D43" s="1804" t="s">
        <v>473</v>
      </c>
      <c r="E43" s="1805">
        <f>D41</f>
        <v>79071</v>
      </c>
      <c r="F43" s="1804" t="s">
        <v>473</v>
      </c>
      <c r="G43" s="1805">
        <f>F41</f>
        <v>316351</v>
      </c>
    </row>
    <row r="44" spans="1:7" ht="12" customHeight="1" x14ac:dyDescent="0.2">
      <c r="A44" s="984"/>
      <c r="B44" s="162"/>
      <c r="C44" s="998"/>
      <c r="D44" s="1804" t="s">
        <v>474</v>
      </c>
      <c r="E44" s="1805">
        <f>E41</f>
        <v>3354924</v>
      </c>
      <c r="F44" s="1804" t="s">
        <v>474</v>
      </c>
      <c r="G44" s="1805">
        <f>G41</f>
        <v>3117644</v>
      </c>
    </row>
    <row r="45" spans="1:7" ht="12" customHeight="1" x14ac:dyDescent="0.2">
      <c r="A45" s="984"/>
      <c r="B45" s="162"/>
      <c r="C45" s="162"/>
      <c r="D45" s="1806" t="s">
        <v>1006</v>
      </c>
      <c r="E45" s="1807">
        <f>(E43/E44)</f>
        <v>2.3568641197237256E-2</v>
      </c>
      <c r="F45" s="1806" t="s">
        <v>1006</v>
      </c>
      <c r="G45" s="1807">
        <f>(G43/G44)</f>
        <v>0.10147117502832267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17" sqref="A17:H1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37" t="s">
        <v>1379</v>
      </c>
      <c r="B1" s="2337"/>
      <c r="C1" s="2337"/>
      <c r="D1" s="2337"/>
      <c r="E1" s="2337"/>
      <c r="F1" s="2337"/>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38" t="s">
        <v>1546</v>
      </c>
      <c r="B5" s="2339"/>
      <c r="C5" s="2340"/>
      <c r="D5" s="2340"/>
      <c r="E5" s="2340"/>
      <c r="F5" s="2340"/>
    </row>
    <row r="6" spans="1:10" ht="12" customHeight="1" x14ac:dyDescent="0.25">
      <c r="A6" s="1847"/>
      <c r="B6" s="1848"/>
      <c r="C6" s="2341" t="str">
        <f>COVER!A17</f>
        <v>Carbon Cliff Barstow SD 36</v>
      </c>
      <c r="D6" s="2341"/>
      <c r="E6" s="2341"/>
      <c r="F6" s="1849"/>
    </row>
    <row r="7" spans="1:10" ht="11.25" customHeight="1" thickBot="1" x14ac:dyDescent="0.3">
      <c r="A7" s="1847"/>
      <c r="B7" s="1848"/>
      <c r="C7" s="2342">
        <f>COVER!A13</f>
        <v>49081036002</v>
      </c>
      <c r="D7" s="2342"/>
      <c r="E7" s="2342"/>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2070</v>
      </c>
      <c r="D13" s="1862"/>
      <c r="E13" s="1865"/>
      <c r="F13" s="1864" t="s">
        <v>2088</v>
      </c>
      <c r="H13" s="1875">
        <f t="shared" si="0"/>
        <v>5</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2086</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2087</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c r="E30" s="1865"/>
      <c r="F30" s="1864" t="s">
        <v>2088</v>
      </c>
      <c r="H30" s="1875">
        <f t="shared" si="0"/>
        <v>5</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10</v>
      </c>
      <c r="J34" s="1875">
        <f>SUM(J11:J32)</f>
        <v>0</v>
      </c>
      <c r="K34" s="1875">
        <f>SUM(H34:J34)</f>
        <v>30</v>
      </c>
    </row>
    <row r="35" spans="1:11" ht="12" customHeight="1" x14ac:dyDescent="0.2">
      <c r="A35" s="1868" t="s">
        <v>1392</v>
      </c>
      <c r="B35" s="1869"/>
      <c r="C35" s="2343"/>
      <c r="D35" s="2343"/>
      <c r="E35" s="2343"/>
      <c r="F35" s="2344"/>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48"/>
      <c r="B38" s="2349"/>
      <c r="C38" s="2349"/>
      <c r="D38" s="2349"/>
      <c r="E38" s="2349"/>
      <c r="F38" s="2350"/>
    </row>
    <row r="39" spans="1:11" ht="4.5" hidden="1" customHeight="1" x14ac:dyDescent="0.2">
      <c r="A39" s="1870"/>
      <c r="B39" s="1870"/>
      <c r="C39" s="1870"/>
      <c r="D39" s="1870"/>
      <c r="E39" s="1870"/>
      <c r="F39" s="1870"/>
    </row>
    <row r="40" spans="1:11" s="1867" customFormat="1" ht="12" customHeight="1" x14ac:dyDescent="0.25">
      <c r="A40" s="1871" t="s">
        <v>1391</v>
      </c>
      <c r="B40" s="1872"/>
      <c r="C40" s="2351"/>
      <c r="D40" s="2351"/>
      <c r="E40" s="2351"/>
      <c r="F40" s="2352"/>
      <c r="H40" s="1876"/>
      <c r="I40" s="1876"/>
      <c r="J40" s="1876"/>
      <c r="K40" s="1876"/>
    </row>
    <row r="41" spans="1:11" s="1867" customFormat="1" ht="12" customHeight="1" x14ac:dyDescent="0.25">
      <c r="A41" s="2353"/>
      <c r="B41" s="2354"/>
      <c r="C41" s="2354"/>
      <c r="D41" s="2354"/>
      <c r="E41" s="2354"/>
      <c r="F41" s="2355"/>
      <c r="H41" s="1876"/>
      <c r="I41" s="1876"/>
      <c r="J41" s="1876"/>
      <c r="K41" s="1876"/>
    </row>
    <row r="42" spans="1:11" s="1867" customFormat="1" ht="12" customHeight="1" x14ac:dyDescent="0.25">
      <c r="A42" s="2353"/>
      <c r="B42" s="2354"/>
      <c r="C42" s="2354"/>
      <c r="D42" s="2354"/>
      <c r="E42" s="2354"/>
      <c r="F42" s="2355"/>
      <c r="H42" s="1876"/>
      <c r="I42" s="1876"/>
      <c r="J42" s="1876"/>
      <c r="K42" s="1876"/>
    </row>
    <row r="43" spans="1:11" s="1867" customFormat="1" ht="15" x14ac:dyDescent="0.25">
      <c r="A43" s="2345"/>
      <c r="B43" s="2346"/>
      <c r="C43" s="2346"/>
      <c r="D43" s="2346"/>
      <c r="E43" s="2346"/>
      <c r="F43" s="2347"/>
      <c r="H43" s="1876"/>
      <c r="I43" s="1876"/>
      <c r="J43" s="1876"/>
      <c r="K43" s="1876"/>
    </row>
    <row r="44" spans="1:11" s="1867" customFormat="1" ht="12" hidden="1" customHeight="1" x14ac:dyDescent="0.25">
      <c r="A44" s="2345"/>
      <c r="B44" s="2346"/>
      <c r="C44" s="2346"/>
      <c r="D44" s="2346"/>
      <c r="E44" s="2346"/>
      <c r="F44" s="234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61" t="str">
        <f>COVER!A17</f>
        <v>Carbon Cliff Barstow SD 36</v>
      </c>
      <c r="J6" s="2362"/>
      <c r="Q6" s="1661"/>
    </row>
    <row r="7" spans="1:17" x14ac:dyDescent="0.2">
      <c r="A7" s="2363" t="s">
        <v>869</v>
      </c>
      <c r="B7" s="2364"/>
      <c r="C7" s="2364"/>
      <c r="D7" s="2364"/>
      <c r="E7" s="2365"/>
      <c r="F7" s="1014"/>
      <c r="G7" s="1006"/>
      <c r="H7" s="1013" t="s">
        <v>372</v>
      </c>
      <c r="I7" s="2366">
        <f>COVER!A13</f>
        <v>49081036002</v>
      </c>
      <c r="J7" s="236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67" t="s">
        <v>481</v>
      </c>
      <c r="B11" s="2368"/>
      <c r="C11" s="236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195394</v>
      </c>
      <c r="F12" s="1036"/>
      <c r="G12" s="1808">
        <f t="shared" ref="G12:G18" si="0">SUM(E12:F12)</f>
        <v>195394</v>
      </c>
      <c r="H12" s="1037">
        <v>161266</v>
      </c>
      <c r="I12" s="1036"/>
      <c r="J12" s="1808">
        <f t="shared" ref="J12:J18" si="1">SUM(H12:I12)</f>
        <v>161266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70" t="s">
        <v>7</v>
      </c>
      <c r="C18" s="2371"/>
      <c r="D18" s="237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195394</v>
      </c>
      <c r="F19" s="1810">
        <f t="shared" si="2"/>
        <v>0</v>
      </c>
      <c r="G19" s="1810">
        <f t="shared" si="2"/>
        <v>195394</v>
      </c>
      <c r="H19" s="1810">
        <f t="shared" si="2"/>
        <v>161266</v>
      </c>
      <c r="I19" s="1810">
        <f t="shared" si="2"/>
        <v>0</v>
      </c>
      <c r="J19" s="1810">
        <f t="shared" si="2"/>
        <v>161266</v>
      </c>
    </row>
    <row r="20" spans="1:10" ht="13.5" thickTop="1" x14ac:dyDescent="0.2">
      <c r="A20" s="1032">
        <v>9</v>
      </c>
      <c r="B20" s="2373" t="s">
        <v>1981</v>
      </c>
      <c r="C20" s="2373"/>
      <c r="D20" s="2374"/>
      <c r="E20" s="1043"/>
      <c r="F20" s="1043"/>
      <c r="G20" s="1043"/>
      <c r="H20" s="1043"/>
      <c r="I20" s="1043"/>
      <c r="J20" s="1811">
        <f>IF(AND(G19&gt;0,J19&gt;0),(((J19-G19)/G19)),"Enter Budget Data")</f>
        <v>-0.1746624768416635</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79"/>
      <c r="D26" s="2379"/>
      <c r="E26" s="1047"/>
      <c r="F26" s="2378"/>
      <c r="G26" s="2378"/>
    </row>
    <row r="27" spans="1:10" x14ac:dyDescent="0.2">
      <c r="B27" s="1044"/>
      <c r="C27" s="1048" t="s">
        <v>1033</v>
      </c>
      <c r="D27" s="1049"/>
      <c r="E27" s="1050"/>
      <c r="F27" s="2375" t="s">
        <v>1509</v>
      </c>
      <c r="G27" s="2375"/>
    </row>
    <row r="28" spans="1:10" ht="28.5" customHeight="1" x14ac:dyDescent="0.2">
      <c r="B28" s="1044"/>
      <c r="C28" s="2377"/>
      <c r="D28" s="2377"/>
      <c r="E28" s="1051"/>
      <c r="F28" s="2377"/>
      <c r="G28" s="2377"/>
    </row>
    <row r="29" spans="1:10" x14ac:dyDescent="0.2">
      <c r="B29" s="1044"/>
      <c r="C29" s="1052" t="s">
        <v>1561</v>
      </c>
      <c r="E29" s="1053"/>
      <c r="F29" s="2376" t="s">
        <v>1510</v>
      </c>
      <c r="G29" s="237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58" t="s">
        <v>132</v>
      </c>
      <c r="D33" s="2359"/>
      <c r="E33" s="2359"/>
      <c r="F33" s="2359"/>
      <c r="G33" s="2359"/>
      <c r="H33" s="2359"/>
      <c r="I33" s="2359"/>
    </row>
    <row r="34" spans="1:10" ht="10.35" customHeight="1" x14ac:dyDescent="0.2">
      <c r="C34" s="2359"/>
      <c r="D34" s="2359"/>
      <c r="E34" s="2359"/>
      <c r="F34" s="2359"/>
      <c r="G34" s="2359"/>
      <c r="H34" s="2359"/>
      <c r="I34" s="2359"/>
    </row>
    <row r="35" spans="1:10" ht="7.5" customHeight="1" x14ac:dyDescent="0.2">
      <c r="C35" s="1059"/>
    </row>
    <row r="36" spans="1:10" ht="13.5" customHeight="1" x14ac:dyDescent="0.2">
      <c r="B36" s="1058"/>
      <c r="C36" s="2360" t="s">
        <v>1983</v>
      </c>
      <c r="D36" s="2359"/>
      <c r="E36" s="2359"/>
      <c r="F36" s="2359"/>
      <c r="G36" s="2359"/>
      <c r="H36" s="2359"/>
      <c r="I36" s="2359"/>
      <c r="J36" s="1060"/>
    </row>
    <row r="37" spans="1:10" ht="22.5" customHeight="1" x14ac:dyDescent="0.2">
      <c r="C37" s="2359"/>
      <c r="D37" s="2359"/>
      <c r="E37" s="2359"/>
      <c r="F37" s="2359"/>
      <c r="G37" s="2359"/>
      <c r="H37" s="2359"/>
      <c r="I37" s="2359"/>
      <c r="J37" s="1060"/>
    </row>
    <row r="38" spans="1:10" ht="7.5" customHeight="1" x14ac:dyDescent="0.2">
      <c r="C38" s="1059"/>
      <c r="D38" s="1061"/>
      <c r="E38" s="1062"/>
      <c r="F38" s="1063"/>
      <c r="G38" s="1062"/>
    </row>
    <row r="39" spans="1:10" ht="13.5" customHeight="1" x14ac:dyDescent="0.2">
      <c r="B39" s="1058"/>
      <c r="C39" s="2356" t="s">
        <v>882</v>
      </c>
      <c r="D39" s="2357"/>
      <c r="E39" s="2357"/>
      <c r="F39" s="2357"/>
      <c r="G39" s="2357"/>
      <c r="H39" s="2357"/>
      <c r="I39" s="235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2118</v>
      </c>
    </row>
    <row r="6" spans="1:2" x14ac:dyDescent="0.2">
      <c r="A6" s="1065">
        <v>2</v>
      </c>
      <c r="B6" s="329" t="s">
        <v>2126</v>
      </c>
    </row>
    <row r="7" spans="1:2" x14ac:dyDescent="0.2">
      <c r="A7" s="1065">
        <v>3</v>
      </c>
      <c r="B7" s="329" t="s">
        <v>2119</v>
      </c>
    </row>
    <row r="8" spans="1:2" x14ac:dyDescent="0.2">
      <c r="A8" s="1065">
        <v>4</v>
      </c>
      <c r="B8" s="329" t="s">
        <v>2127</v>
      </c>
    </row>
    <row r="9" spans="1:2" x14ac:dyDescent="0.2">
      <c r="A9" s="1066">
        <v>5</v>
      </c>
      <c r="B9" s="329" t="s">
        <v>2120</v>
      </c>
    </row>
    <row r="10" spans="1:2" x14ac:dyDescent="0.2">
      <c r="A10" s="1066"/>
      <c r="B10" s="329" t="s">
        <v>2121</v>
      </c>
    </row>
    <row r="11" spans="1:2" x14ac:dyDescent="0.2">
      <c r="A11" s="1066"/>
      <c r="B11" s="329" t="s">
        <v>2122</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Carbon Cliff Barstow SD 36</v>
      </c>
    </row>
    <row r="65" spans="2:2" x14ac:dyDescent="0.2">
      <c r="B65" s="1067">
        <f>COVER!A13</f>
        <v>49081036002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7" t="s">
        <v>1065</v>
      </c>
      <c r="B35" s="2097"/>
      <c r="C35" s="2097"/>
      <c r="D35" s="2097"/>
      <c r="E35" s="209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4" t="s">
        <v>691</v>
      </c>
      <c r="B40" s="2094"/>
      <c r="C40" s="2094"/>
      <c r="D40" s="2094"/>
      <c r="E40" s="2094"/>
    </row>
    <row r="41" spans="1:5" x14ac:dyDescent="0.2">
      <c r="A41" s="2095" t="s">
        <v>1608</v>
      </c>
      <c r="B41" s="2095"/>
      <c r="C41" s="2095"/>
      <c r="D41" s="2095"/>
      <c r="E41" s="2095"/>
    </row>
    <row r="42" spans="1:5" ht="12.75" customHeight="1" x14ac:dyDescent="0.2">
      <c r="A42" s="2096" t="s">
        <v>1022</v>
      </c>
      <c r="B42" s="2096"/>
      <c r="C42" s="2096"/>
      <c r="D42" s="2096"/>
      <c r="E42" s="209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80" t="s">
        <v>1685</v>
      </c>
      <c r="B18" s="238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133350</xdr:colOff>
                <xdr:row>2</xdr:row>
                <xdr:rowOff>47625</xdr:rowOff>
              </from>
              <to>
                <xdr:col>1</xdr:col>
                <xdr:colOff>1047750</xdr:colOff>
                <xdr:row>6</xdr:row>
                <xdr:rowOff>85725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1190625</xdr:colOff>
                <xdr:row>2</xdr:row>
                <xdr:rowOff>47625</xdr:rowOff>
              </from>
              <to>
                <xdr:col>1</xdr:col>
                <xdr:colOff>2105025</xdr:colOff>
                <xdr:row>6</xdr:row>
                <xdr:rowOff>85725</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1" t="s">
        <v>1690</v>
      </c>
      <c r="B1" s="2382"/>
      <c r="C1" s="2382"/>
      <c r="D1" s="2382"/>
      <c r="E1" s="2382"/>
      <c r="F1" s="2383"/>
    </row>
    <row r="2" spans="1:8" ht="45" customHeight="1" x14ac:dyDescent="0.2">
      <c r="A2" s="2391" t="s">
        <v>1987</v>
      </c>
      <c r="B2" s="2392"/>
      <c r="C2" s="2392"/>
      <c r="D2" s="2392"/>
      <c r="E2" s="2392"/>
      <c r="F2" s="2393"/>
      <c r="G2" s="1071"/>
      <c r="H2" s="1071"/>
    </row>
    <row r="3" spans="1:8" ht="57" customHeight="1" x14ac:dyDescent="0.2">
      <c r="A3" s="2394" t="s">
        <v>1686</v>
      </c>
      <c r="B3" s="2395"/>
      <c r="C3" s="2395"/>
      <c r="D3" s="2395"/>
      <c r="E3" s="2395"/>
      <c r="F3" s="2396"/>
      <c r="G3" s="1071"/>
      <c r="H3" s="1071"/>
    </row>
    <row r="4" spans="1:8" ht="14.25" customHeight="1" x14ac:dyDescent="0.2">
      <c r="A4" s="2400" t="s">
        <v>1988</v>
      </c>
      <c r="B4" s="2401"/>
      <c r="C4" s="2401"/>
      <c r="D4" s="2401"/>
      <c r="E4" s="2401"/>
      <c r="F4" s="2402"/>
      <c r="G4" s="1071"/>
      <c r="H4" s="1071"/>
    </row>
    <row r="5" spans="1:8" ht="14.25" customHeight="1" x14ac:dyDescent="0.2">
      <c r="A5" s="2403" t="s">
        <v>1984</v>
      </c>
      <c r="B5" s="2404"/>
      <c r="C5" s="2404"/>
      <c r="D5" s="2404"/>
      <c r="E5" s="2404"/>
      <c r="F5" s="2405"/>
      <c r="G5" s="1071"/>
      <c r="H5" s="1071"/>
    </row>
    <row r="6" spans="1:8" s="1072" customFormat="1" ht="41.25" customHeight="1" x14ac:dyDescent="0.2">
      <c r="A6" s="2397" t="s">
        <v>1691</v>
      </c>
      <c r="B6" s="2398"/>
      <c r="C6" s="2398"/>
      <c r="D6" s="2398"/>
      <c r="E6" s="2398"/>
      <c r="F6" s="239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3041312</v>
      </c>
      <c r="C8" s="1812">
        <f>'Acct Summary 7-8'!D8</f>
        <v>178932</v>
      </c>
      <c r="D8" s="1812">
        <f>'Acct Summary 7-8'!F8</f>
        <v>170213</v>
      </c>
      <c r="E8" s="1812">
        <f>'Acct Summary 7-8'!I8</f>
        <v>596</v>
      </c>
      <c r="F8" s="1812">
        <f>SUM(B8:E8)</f>
        <v>3391053</v>
      </c>
    </row>
    <row r="9" spans="1:8" s="1076" customFormat="1" ht="14.25" customHeight="1" thickBot="1" x14ac:dyDescent="0.25">
      <c r="A9" s="1075" t="s">
        <v>1369</v>
      </c>
      <c r="B9" s="1813">
        <f>'Acct Summary 7-8'!C17</f>
        <v>3230343</v>
      </c>
      <c r="C9" s="1813">
        <f>'Acct Summary 7-8'!D17</f>
        <v>275273</v>
      </c>
      <c r="D9" s="1813">
        <f>'Acct Summary 7-8'!F17</f>
        <v>92665</v>
      </c>
      <c r="E9" s="1812"/>
      <c r="F9" s="1812">
        <f>SUM(B9:E9)</f>
        <v>3598281</v>
      </c>
    </row>
    <row r="10" spans="1:8" s="1076" customFormat="1" ht="14.25" thickTop="1" thickBot="1" x14ac:dyDescent="0.25">
      <c r="A10" s="1077" t="s">
        <v>1370</v>
      </c>
      <c r="B10" s="1814">
        <f>(B8-B9)</f>
        <v>-189031</v>
      </c>
      <c r="C10" s="1814">
        <f>(C8-C9)</f>
        <v>-96341</v>
      </c>
      <c r="D10" s="1814">
        <f>(D8-D9)</f>
        <v>77548</v>
      </c>
      <c r="E10" s="1813">
        <f>(E8-E9)</f>
        <v>596</v>
      </c>
      <c r="F10" s="1815">
        <f>SUM(F8-F9)</f>
        <v>-207228</v>
      </c>
    </row>
    <row r="11" spans="1:8" s="1076" customFormat="1" ht="14.25" thickTop="1" thickBot="1" x14ac:dyDescent="0.25">
      <c r="A11" s="1078" t="s">
        <v>1985</v>
      </c>
      <c r="B11" s="1816">
        <f>'Acct Summary 7-8'!C81</f>
        <v>567068</v>
      </c>
      <c r="C11" s="1816">
        <f>'Acct Summary 7-8'!D81</f>
        <v>4465</v>
      </c>
      <c r="D11" s="1816">
        <f>'Acct Summary 7-8'!F81</f>
        <v>123051</v>
      </c>
      <c r="E11" s="1816">
        <f>'Acct Summary 7-8'!I81</f>
        <v>36086</v>
      </c>
      <c r="F11" s="1817">
        <f>SUM(B11:E11)</f>
        <v>730670</v>
      </c>
    </row>
    <row r="12" spans="1:8" ht="16.5" customHeight="1" thickTop="1" x14ac:dyDescent="0.2">
      <c r="A12" s="1079"/>
      <c r="B12" s="1080"/>
      <c r="C12" s="2385" t="str">
        <f>IF(AND(F10&lt;0,F11&gt;=0,ABS(F10*3)&gt;ABS(F11)),A16,IF(AND(F10&lt;0,F11&gt;0,ABS(F10*3)&lt;=ABS(F11)),A17,IF(AND(F10&lt;0,F11&lt;0),A16,IF(F11=0,A19,A18))))</f>
        <v>Unbalanced -  however, a deficit reduction plan is not required at this time.</v>
      </c>
      <c r="D12" s="2386"/>
      <c r="E12" s="2386"/>
      <c r="F12" s="2387"/>
    </row>
    <row r="13" spans="1:8" ht="19.5" customHeight="1" x14ac:dyDescent="0.2">
      <c r="A13" s="1081"/>
      <c r="B13" s="1082"/>
      <c r="C13" s="2385"/>
      <c r="D13" s="2386"/>
      <c r="E13" s="2386"/>
      <c r="F13" s="2387"/>
      <c r="H13" s="1071"/>
    </row>
    <row r="14" spans="1:8" ht="19.5" customHeight="1" x14ac:dyDescent="0.2">
      <c r="A14" s="1081"/>
      <c r="B14" s="1082"/>
      <c r="C14" s="2385"/>
      <c r="D14" s="2386"/>
      <c r="E14" s="2386"/>
      <c r="F14" s="2387"/>
      <c r="H14" s="1071"/>
    </row>
    <row r="15" spans="1:8" ht="17.25" customHeight="1" x14ac:dyDescent="0.2">
      <c r="A15" s="1081"/>
      <c r="B15" s="1082"/>
      <c r="C15" s="2388"/>
      <c r="D15" s="2389"/>
      <c r="E15" s="2389"/>
      <c r="F15" s="2390"/>
      <c r="H15" s="1071"/>
    </row>
    <row r="16" spans="1:8" s="310" customFormat="1" ht="51.75" hidden="1" customHeight="1" x14ac:dyDescent="0.2">
      <c r="A16" s="2384" t="s">
        <v>1687</v>
      </c>
      <c r="B16" s="2384"/>
      <c r="C16" s="2384"/>
      <c r="D16" s="2384"/>
      <c r="E16" s="238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6" t="s">
        <v>665</v>
      </c>
      <c r="B3" s="2407"/>
      <c r="C3" s="2407"/>
      <c r="D3" s="240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17" t="s">
        <v>1504</v>
      </c>
      <c r="D7" s="241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09" t="s">
        <v>1008</v>
      </c>
      <c r="B15" s="2410"/>
      <c r="C15" s="2410"/>
      <c r="D15" s="2411"/>
    </row>
    <row r="16" spans="1:4" s="665" customFormat="1" ht="24" customHeight="1" x14ac:dyDescent="0.2">
      <c r="A16" s="2412" t="s">
        <v>663</v>
      </c>
      <c r="B16" s="2413"/>
      <c r="C16" s="2413"/>
      <c r="D16" s="241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21" t="s">
        <v>314</v>
      </c>
      <c r="D21" s="2422"/>
    </row>
    <row r="22" spans="1:10" ht="12.75" x14ac:dyDescent="0.2">
      <c r="A22" s="1136"/>
      <c r="B22" s="1137">
        <v>2</v>
      </c>
      <c r="C22" s="2419" t="s">
        <v>1524</v>
      </c>
      <c r="D22" s="242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3" t="s">
        <v>536</v>
      </c>
      <c r="D43" s="242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5" t="s">
        <v>784</v>
      </c>
      <c r="D56" s="241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5" t="s">
        <v>1696</v>
      </c>
      <c r="D70" s="241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49081036002</v>
      </c>
    </row>
    <row r="3" spans="1:2" x14ac:dyDescent="0.2">
      <c r="A3" t="s">
        <v>956</v>
      </c>
      <c r="B3" s="138" t="str">
        <f>COVER!A15</f>
        <v>Rock Island</v>
      </c>
    </row>
    <row r="4" spans="1:2" x14ac:dyDescent="0.2">
      <c r="A4" t="s">
        <v>1007</v>
      </c>
      <c r="B4" s="138" t="str">
        <f>COVER!A17</f>
        <v>Carbon Cliff Barstow SD 36</v>
      </c>
    </row>
    <row r="5" spans="1:2" x14ac:dyDescent="0.2">
      <c r="A5" t="s">
        <v>704</v>
      </c>
      <c r="B5" s="138" t="str">
        <f>COVER!A38</f>
        <v>Andy Richmond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434221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567068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567068</v>
      </c>
      <c r="D92" s="2" t="str">
        <f t="shared" si="0"/>
        <v>Error?</v>
      </c>
    </row>
    <row r="93" spans="1:4" x14ac:dyDescent="0.2">
      <c r="A93" s="5">
        <v>32</v>
      </c>
      <c r="B93" s="138">
        <f>'Assets-Liab 5-6'!C41</f>
        <v>567068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3534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4465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4465</v>
      </c>
      <c r="D123" s="2" t="str">
        <f t="shared" si="0"/>
        <v>Error?</v>
      </c>
    </row>
    <row r="124" spans="1:4" x14ac:dyDescent="0.2">
      <c r="A124" s="5">
        <v>63</v>
      </c>
      <c r="B124" s="138">
        <f>'Assets-Liab 5-6'!D41</f>
        <v>4465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61929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61929</v>
      </c>
      <c r="D140" s="2" t="str">
        <f t="shared" si="1"/>
        <v>Error?</v>
      </c>
    </row>
    <row r="141" spans="1:4" x14ac:dyDescent="0.2">
      <c r="A141" s="5">
        <v>80</v>
      </c>
      <c r="B141" s="138">
        <f>'Assets-Liab 5-6'!E41</f>
        <v>61929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497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123051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123051</v>
      </c>
      <c r="D170" s="2" t="str">
        <f t="shared" si="1"/>
        <v>Error?</v>
      </c>
    </row>
    <row r="171" spans="1:4" x14ac:dyDescent="0.2">
      <c r="A171" s="5">
        <v>110</v>
      </c>
      <c r="B171" s="138">
        <f>'Assets-Liab 5-6'!F41</f>
        <v>123051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16630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108987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90253</v>
      </c>
      <c r="D189" s="2" t="str">
        <f t="shared" si="1"/>
        <v>Error?</v>
      </c>
    </row>
    <row r="190" spans="1:4" x14ac:dyDescent="0.2">
      <c r="A190" s="5">
        <v>129</v>
      </c>
      <c r="B190" s="138">
        <f>'Assets-Liab 5-6'!G41</f>
        <v>108987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49768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49768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713769</v>
      </c>
      <c r="D273" s="2" t="str">
        <f t="shared" si="3"/>
        <v>Error?</v>
      </c>
    </row>
    <row r="274" spans="1:4" x14ac:dyDescent="0.2">
      <c r="A274" s="5">
        <v>213</v>
      </c>
      <c r="B274" s="138">
        <f>'Assets-Liab 5-6'!M17</f>
        <v>6482579</v>
      </c>
      <c r="D274" s="2" t="str">
        <f t="shared" si="3"/>
        <v>Error?</v>
      </c>
    </row>
    <row r="275" spans="1:4" x14ac:dyDescent="0.2">
      <c r="A275" s="5">
        <v>214</v>
      </c>
      <c r="B275" s="138">
        <f>'Assets-Liab 5-6'!M18</f>
        <v>264124</v>
      </c>
      <c r="D275" s="2" t="str">
        <f t="shared" si="3"/>
        <v>Error?</v>
      </c>
    </row>
    <row r="276" spans="1:4" x14ac:dyDescent="0.2">
      <c r="A276" s="5">
        <v>215</v>
      </c>
      <c r="B276" s="138">
        <f>'Assets-Liab 5-6'!M19</f>
        <v>767818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8228290</v>
      </c>
      <c r="C279" s="2" t="s">
        <v>573</v>
      </c>
      <c r="D279" s="2" t="str">
        <f t="shared" si="3"/>
        <v>Error?</v>
      </c>
    </row>
    <row r="280" spans="1:4" x14ac:dyDescent="0.2">
      <c r="A280" s="5">
        <v>219</v>
      </c>
      <c r="B280" s="138">
        <f>'Assets-Liab 5-6'!M40</f>
        <v>8228290</v>
      </c>
      <c r="D280" s="2" t="str">
        <f t="shared" si="3"/>
        <v>Error?</v>
      </c>
    </row>
    <row r="281" spans="1:4" x14ac:dyDescent="0.2">
      <c r="A281" s="5">
        <v>220</v>
      </c>
      <c r="B281" s="138">
        <f>'Assets-Liab 5-6'!M41</f>
        <v>8228290</v>
      </c>
      <c r="C281" s="2" t="s">
        <v>573</v>
      </c>
      <c r="D281" s="2" t="str">
        <f t="shared" si="3"/>
        <v>Error?</v>
      </c>
    </row>
    <row r="282" spans="1:4" x14ac:dyDescent="0.2">
      <c r="A282" s="5">
        <v>221</v>
      </c>
      <c r="B282" s="138">
        <f>'Assets-Liab 5-6'!N21</f>
        <v>61929</v>
      </c>
      <c r="D282" s="2" t="str">
        <f t="shared" si="3"/>
        <v>Error?</v>
      </c>
    </row>
    <row r="283" spans="1:4" x14ac:dyDescent="0.2">
      <c r="A283" s="5">
        <v>222</v>
      </c>
      <c r="B283" s="138">
        <f>'Assets-Liab 5-6'!N22</f>
        <v>158330</v>
      </c>
      <c r="D283" s="2" t="str">
        <f t="shared" si="3"/>
        <v>Error?</v>
      </c>
    </row>
    <row r="284" spans="1:4" x14ac:dyDescent="0.2">
      <c r="A284" s="5">
        <v>223</v>
      </c>
      <c r="B284" s="138">
        <f>'Assets-Liab 5-6'!N23</f>
        <v>220259</v>
      </c>
      <c r="C284" s="2" t="s">
        <v>573</v>
      </c>
      <c r="D284" s="2" t="str">
        <f t="shared" si="3"/>
        <v>Error?</v>
      </c>
    </row>
    <row r="285" spans="1:4" x14ac:dyDescent="0.2">
      <c r="A285" s="5">
        <v>224</v>
      </c>
      <c r="B285" s="138">
        <f>'Assets-Liab 5-6'!N36</f>
        <v>220259</v>
      </c>
      <c r="D285" s="2" t="str">
        <f t="shared" si="3"/>
        <v>Error?</v>
      </c>
    </row>
    <row r="286" spans="1:4" x14ac:dyDescent="0.2">
      <c r="A286" s="10">
        <v>225</v>
      </c>
      <c r="D286" s="2" t="str">
        <f t="shared" si="3"/>
        <v>OK</v>
      </c>
    </row>
    <row r="287" spans="1:4" x14ac:dyDescent="0.2">
      <c r="A287" s="5">
        <v>226</v>
      </c>
      <c r="B287" s="138">
        <f>'Assets-Liab 5-6'!N37</f>
        <v>220259</v>
      </c>
      <c r="C287" s="2" t="s">
        <v>573</v>
      </c>
      <c r="D287" s="2" t="str">
        <f t="shared" si="3"/>
        <v>Error?</v>
      </c>
    </row>
    <row r="288" spans="1:4" x14ac:dyDescent="0.2">
      <c r="A288" s="5">
        <v>227</v>
      </c>
      <c r="B288" s="138">
        <f>'Assets-Liab 5-6'!N41</f>
        <v>220259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1031096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25525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1608011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36816</v>
      </c>
      <c r="D722" s="2" t="str">
        <f t="shared" si="10"/>
        <v>Error?</v>
      </c>
    </row>
    <row r="723" spans="1:4" x14ac:dyDescent="0.2">
      <c r="A723" s="5">
        <v>662</v>
      </c>
      <c r="B723" s="138">
        <f>'Expenditures 15-22'!C38</f>
        <v>544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41282</v>
      </c>
      <c r="D725" s="2" t="str">
        <f t="shared" si="10"/>
        <v>Error?</v>
      </c>
    </row>
    <row r="726" spans="1:4" x14ac:dyDescent="0.2">
      <c r="A726" s="5">
        <v>665</v>
      </c>
      <c r="B726" s="138">
        <f>'Expenditures 15-22'!C41</f>
        <v>4871</v>
      </c>
      <c r="D726" s="2" t="str">
        <f t="shared" si="10"/>
        <v>Error?</v>
      </c>
    </row>
    <row r="727" spans="1:4" x14ac:dyDescent="0.2">
      <c r="A727" s="5">
        <v>666</v>
      </c>
      <c r="B727" s="138">
        <f>'Expenditures 15-22'!C42</f>
        <v>83513</v>
      </c>
      <c r="C727" s="2" t="s">
        <v>573</v>
      </c>
      <c r="D727" s="2" t="str">
        <f t="shared" si="10"/>
        <v>Error?</v>
      </c>
    </row>
    <row r="728" spans="1:4" x14ac:dyDescent="0.2">
      <c r="A728" s="5">
        <v>667</v>
      </c>
      <c r="B728" s="138">
        <f>'Expenditures 15-22'!C44</f>
        <v>15136</v>
      </c>
      <c r="D728" s="2" t="str">
        <f t="shared" si="10"/>
        <v>Error?</v>
      </c>
    </row>
    <row r="729" spans="1:4" x14ac:dyDescent="0.2">
      <c r="A729" s="5">
        <v>668</v>
      </c>
      <c r="B729" s="138">
        <f>'Expenditures 15-22'!C45</f>
        <v>56401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71537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159259</v>
      </c>
      <c r="D733" s="2" t="str">
        <f t="shared" si="10"/>
        <v>Error?</v>
      </c>
    </row>
    <row r="734" spans="1:4" x14ac:dyDescent="0.2">
      <c r="A734" s="5">
        <v>673</v>
      </c>
      <c r="B734" s="138">
        <f>'Expenditures 15-22'!C53</f>
        <v>159259</v>
      </c>
      <c r="C734" s="2" t="s">
        <v>573</v>
      </c>
      <c r="D734" s="2" t="str">
        <f t="shared" si="10"/>
        <v>Error?</v>
      </c>
    </row>
    <row r="735" spans="1:4" x14ac:dyDescent="0.2">
      <c r="A735" s="5">
        <v>674</v>
      </c>
      <c r="B735" s="138">
        <f>'Expenditures 15-22'!C55</f>
        <v>183064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183064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48923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45351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94274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591647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2199658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271054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2993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363113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12262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12443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24705</v>
      </c>
      <c r="C785" s="2" t="s">
        <v>573</v>
      </c>
      <c r="D785" s="2" t="str">
        <f t="shared" si="11"/>
        <v>Error?</v>
      </c>
    </row>
    <row r="786" spans="1:4" x14ac:dyDescent="0.2">
      <c r="A786" s="5">
        <v>725</v>
      </c>
      <c r="B786" s="138">
        <f>'Expenditures 15-22'!D44</f>
        <v>3175</v>
      </c>
      <c r="D786" s="2" t="str">
        <f t="shared" si="11"/>
        <v>Error?</v>
      </c>
    </row>
    <row r="787" spans="1:4" x14ac:dyDescent="0.2">
      <c r="A787" s="5">
        <v>726</v>
      </c>
      <c r="B787" s="138">
        <f>'Expenditures 15-22'!D45</f>
        <v>14431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17606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29948</v>
      </c>
      <c r="D791" s="2" t="str">
        <f t="shared" si="11"/>
        <v>Error?</v>
      </c>
    </row>
    <row r="792" spans="1:4" x14ac:dyDescent="0.2">
      <c r="A792" s="5">
        <v>731</v>
      </c>
      <c r="B792" s="138">
        <f>'Expenditures 15-22'!D53</f>
        <v>29948</v>
      </c>
      <c r="C792" s="2" t="s">
        <v>573</v>
      </c>
      <c r="D792" s="2" t="str">
        <f t="shared" si="11"/>
        <v>Error?</v>
      </c>
    </row>
    <row r="793" spans="1:4" x14ac:dyDescent="0.2">
      <c r="A793" s="5">
        <v>732</v>
      </c>
      <c r="B793" s="138">
        <f>'Expenditures 15-22'!D55</f>
        <v>37555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37555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6922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116736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479849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20852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22796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v>
      </c>
      <c r="C843" s="2" t="s">
        <v>573</v>
      </c>
      <c r="D843" s="2" t="str">
        <f t="shared" si="12"/>
        <v>Error?</v>
      </c>
    </row>
    <row r="844" spans="1:4" x14ac:dyDescent="0.2">
      <c r="A844" s="5">
        <v>783</v>
      </c>
      <c r="B844" s="138">
        <f>'Expenditures 15-22'!E44</f>
        <v>837</v>
      </c>
      <c r="D844" s="2" t="str">
        <f t="shared" si="12"/>
        <v>Error?</v>
      </c>
    </row>
    <row r="845" spans="1:4" x14ac:dyDescent="0.2">
      <c r="A845" s="5">
        <v>784</v>
      </c>
      <c r="B845" s="138">
        <f>'Expenditures 15-22'!E45</f>
        <v>4945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5782</v>
      </c>
      <c r="C847" s="2" t="s">
        <v>573</v>
      </c>
      <c r="D847" s="2" t="str">
        <f t="shared" si="12"/>
        <v>Error?</v>
      </c>
    </row>
    <row r="848" spans="1:4" x14ac:dyDescent="0.2">
      <c r="A848" s="5">
        <v>787</v>
      </c>
      <c r="B848" s="138">
        <f>'Expenditures 15-22'!E49</f>
        <v>47901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47901</v>
      </c>
      <c r="C850" s="2" t="s">
        <v>573</v>
      </c>
      <c r="D850" s="2" t="str">
        <f t="shared" si="12"/>
        <v>Error?</v>
      </c>
    </row>
    <row r="851" spans="1:4" x14ac:dyDescent="0.2">
      <c r="A851" s="5">
        <v>790</v>
      </c>
      <c r="B851" s="138">
        <f>'Expenditures 15-22'!E55</f>
        <v>1705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1705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3827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59602</v>
      </c>
      <c r="C871" s="2" t="s">
        <v>573</v>
      </c>
      <c r="D871" s="2" t="str">
        <f t="shared" si="12"/>
        <v>Error?</v>
      </c>
    </row>
    <row r="872" spans="1:4" x14ac:dyDescent="0.2">
      <c r="A872" s="5">
        <v>811</v>
      </c>
      <c r="B872" s="138">
        <f>'Expenditures 15-22'!E75</f>
        <v>122</v>
      </c>
      <c r="D872" s="2" t="str">
        <f t="shared" si="12"/>
        <v>Error?</v>
      </c>
    </row>
    <row r="873" spans="1:4" x14ac:dyDescent="0.2">
      <c r="A873" s="5">
        <v>812</v>
      </c>
      <c r="B873" s="138">
        <f>'Expenditures 15-22'!E114</f>
        <v>140908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37804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62178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1137</v>
      </c>
      <c r="D896" s="2" t="str">
        <f t="shared" si="13"/>
        <v>Error?</v>
      </c>
    </row>
    <row r="897" spans="1:4" x14ac:dyDescent="0.2">
      <c r="A897" s="5">
        <v>836</v>
      </c>
      <c r="B897" s="138">
        <f>'Expenditures 15-22'!F38</f>
        <v>722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1992</v>
      </c>
      <c r="C901" s="2" t="s">
        <v>573</v>
      </c>
      <c r="D901" s="2" t="str">
        <f t="shared" si="13"/>
        <v>Error?</v>
      </c>
    </row>
    <row r="902" spans="1:4" x14ac:dyDescent="0.2">
      <c r="A902" s="5">
        <v>841</v>
      </c>
      <c r="B902" s="138">
        <f>'Expenditures 15-22'!F44</f>
        <v>111</v>
      </c>
      <c r="D902" s="2" t="str">
        <f t="shared" si="13"/>
        <v>Error?</v>
      </c>
    </row>
    <row r="903" spans="1:4" x14ac:dyDescent="0.2">
      <c r="A903" s="5">
        <v>842</v>
      </c>
      <c r="B903" s="138">
        <f>'Expenditures 15-22'!F45</f>
        <v>27888</v>
      </c>
      <c r="D903" s="2" t="str">
        <f t="shared" si="13"/>
        <v>Error?</v>
      </c>
    </row>
    <row r="904" spans="1:4" x14ac:dyDescent="0.2">
      <c r="A904" s="5">
        <v>843</v>
      </c>
      <c r="B904" s="138">
        <f>'Expenditures 15-22'!F46</f>
        <v>12293</v>
      </c>
      <c r="D904" s="2" t="str">
        <f t="shared" si="13"/>
        <v>Error?</v>
      </c>
    </row>
    <row r="905" spans="1:4" x14ac:dyDescent="0.2">
      <c r="A905" s="5">
        <v>844</v>
      </c>
      <c r="B905" s="138">
        <f>'Expenditures 15-22'!F47</f>
        <v>40292</v>
      </c>
      <c r="C905" s="2" t="s">
        <v>573</v>
      </c>
      <c r="D905" s="2" t="str">
        <f t="shared" si="13"/>
        <v>Error?</v>
      </c>
    </row>
    <row r="906" spans="1:4" x14ac:dyDescent="0.2">
      <c r="A906" s="5">
        <v>845</v>
      </c>
      <c r="B906" s="138">
        <f>'Expenditures 15-22'!F49</f>
        <v>18118</v>
      </c>
      <c r="D906" s="2" t="str">
        <f t="shared" si="13"/>
        <v>Error?</v>
      </c>
    </row>
    <row r="907" spans="1:4" x14ac:dyDescent="0.2">
      <c r="A907" s="5">
        <v>846</v>
      </c>
      <c r="B907" s="138">
        <f>'Expenditures 15-22'!F50</f>
        <v>194</v>
      </c>
      <c r="D907" s="2" t="str">
        <f t="shared" si="13"/>
        <v>Error?</v>
      </c>
    </row>
    <row r="908" spans="1:4" x14ac:dyDescent="0.2">
      <c r="A908" s="5">
        <v>847</v>
      </c>
      <c r="B908" s="138">
        <f>'Expenditures 15-22'!F53</f>
        <v>18312</v>
      </c>
      <c r="C908" s="2" t="s">
        <v>573</v>
      </c>
      <c r="D908" s="2" t="str">
        <f t="shared" si="13"/>
        <v>Error?</v>
      </c>
    </row>
    <row r="909" spans="1:4" x14ac:dyDescent="0.2">
      <c r="A909" s="5">
        <v>848</v>
      </c>
      <c r="B909" s="138">
        <f>'Expenditures 15-22'!F55</f>
        <v>1954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5409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97949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103358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6968</v>
      </c>
      <c r="D925" s="2" t="str">
        <f t="shared" si="13"/>
        <v>Error?</v>
      </c>
    </row>
    <row r="926" spans="1:4" x14ac:dyDescent="0.2">
      <c r="A926" s="10">
        <v>865</v>
      </c>
      <c r="D926" s="2" t="str">
        <f t="shared" si="13"/>
        <v>OK</v>
      </c>
    </row>
    <row r="927" spans="1:4" x14ac:dyDescent="0.2">
      <c r="A927" s="5">
        <v>866</v>
      </c>
      <c r="B927" s="138">
        <f>'Expenditures 15-22'!F72</f>
        <v>6968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172876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235054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66283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6546</v>
      </c>
      <c r="D1022" s="2" t="str">
        <f t="shared" si="14"/>
        <v>Error?</v>
      </c>
    </row>
    <row r="1023" spans="1:4" x14ac:dyDescent="0.2">
      <c r="A1023" s="5">
        <v>962</v>
      </c>
      <c r="B1023" s="138">
        <f>'Expenditures 15-22'!H50</f>
        <v>5993</v>
      </c>
      <c r="D1023" s="2" t="str">
        <f t="shared" ref="D1023:D1086" si="15">IF(ISBLANK(B1023),"OK",IF(A1023-B1023=0,"OK","Error?"))</f>
        <v>Error?</v>
      </c>
    </row>
    <row r="1024" spans="1:4" x14ac:dyDescent="0.2">
      <c r="A1024" s="5">
        <v>963</v>
      </c>
      <c r="B1024" s="138">
        <f>'Expenditures 15-22'!H53</f>
        <v>12539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12539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96052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174874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1360806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29879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2122381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50215</v>
      </c>
      <c r="C1110" s="2" t="s">
        <v>573</v>
      </c>
      <c r="D1110" s="2" t="str">
        <f t="shared" si="16"/>
        <v>Error?</v>
      </c>
    </row>
    <row r="1111" spans="1:4" x14ac:dyDescent="0.2">
      <c r="A1111" s="5">
        <v>1050</v>
      </c>
      <c r="B1111" s="138">
        <f>'Expenditures 15-22'!K38</f>
        <v>1291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53858</v>
      </c>
      <c r="C1113" s="2" t="s">
        <v>573</v>
      </c>
      <c r="D1113" s="2" t="str">
        <f t="shared" si="16"/>
        <v>Error?</v>
      </c>
    </row>
    <row r="1114" spans="1:4" x14ac:dyDescent="0.2">
      <c r="A1114" s="5">
        <v>1053</v>
      </c>
      <c r="B1114" s="138">
        <f>'Expenditures 15-22'!K41</f>
        <v>4871</v>
      </c>
      <c r="C1114" s="2" t="s">
        <v>573</v>
      </c>
      <c r="D1114" s="2" t="str">
        <f t="shared" si="16"/>
        <v>Error?</v>
      </c>
    </row>
    <row r="1115" spans="1:4" x14ac:dyDescent="0.2">
      <c r="A1115" s="5">
        <v>1054</v>
      </c>
      <c r="B1115" s="138">
        <f>'Expenditures 15-22'!K42</f>
        <v>110235</v>
      </c>
      <c r="C1115" s="2" t="s">
        <v>573</v>
      </c>
      <c r="D1115" s="2" t="str">
        <f t="shared" si="16"/>
        <v>Error?</v>
      </c>
    </row>
    <row r="1116" spans="1:4" x14ac:dyDescent="0.2">
      <c r="A1116" s="5">
        <v>1055</v>
      </c>
      <c r="B1116" s="138">
        <f>'Expenditures 15-22'!K44</f>
        <v>19259</v>
      </c>
      <c r="C1116" s="2" t="s">
        <v>573</v>
      </c>
      <c r="D1116" s="2" t="str">
        <f t="shared" si="16"/>
        <v>Error?</v>
      </c>
    </row>
    <row r="1117" spans="1:4" x14ac:dyDescent="0.2">
      <c r="A1117" s="5">
        <v>1056</v>
      </c>
      <c r="B1117" s="138">
        <f>'Expenditures 15-22'!K45</f>
        <v>103665</v>
      </c>
      <c r="C1117" s="2" t="s">
        <v>573</v>
      </c>
      <c r="D1117" s="2" t="str">
        <f t="shared" si="16"/>
        <v>Error?</v>
      </c>
    </row>
    <row r="1118" spans="1:4" x14ac:dyDescent="0.2">
      <c r="A1118" s="5">
        <v>1057</v>
      </c>
      <c r="B1118" s="138">
        <f>'Expenditures 15-22'!K46</f>
        <v>12293</v>
      </c>
      <c r="C1118" s="2" t="s">
        <v>573</v>
      </c>
      <c r="D1118" s="2" t="str">
        <f t="shared" si="16"/>
        <v>Error?</v>
      </c>
    </row>
    <row r="1119" spans="1:4" x14ac:dyDescent="0.2">
      <c r="A1119" s="5">
        <v>1058</v>
      </c>
      <c r="B1119" s="138">
        <f>'Expenditures 15-22'!K47</f>
        <v>135217</v>
      </c>
      <c r="C1119" s="2" t="s">
        <v>573</v>
      </c>
      <c r="D1119" s="2" t="str">
        <f t="shared" si="16"/>
        <v>Error?</v>
      </c>
    </row>
    <row r="1120" spans="1:4" x14ac:dyDescent="0.2">
      <c r="A1120" s="5">
        <v>1059</v>
      </c>
      <c r="B1120" s="138">
        <f>'Expenditures 15-22'!K49</f>
        <v>72565</v>
      </c>
      <c r="C1120" s="2" t="s">
        <v>573</v>
      </c>
      <c r="D1120" s="2" t="str">
        <f t="shared" si="16"/>
        <v>Error?</v>
      </c>
    </row>
    <row r="1121" spans="1:4" x14ac:dyDescent="0.2">
      <c r="A1121" s="5">
        <v>1060</v>
      </c>
      <c r="B1121" s="138">
        <f>'Expenditures 15-22'!K50</f>
        <v>195394</v>
      </c>
      <c r="C1121" s="2" t="s">
        <v>573</v>
      </c>
      <c r="D1121" s="2" t="str">
        <f t="shared" si="16"/>
        <v>Error?</v>
      </c>
    </row>
    <row r="1122" spans="1:4" x14ac:dyDescent="0.2">
      <c r="A1122" s="5">
        <v>1061</v>
      </c>
      <c r="B1122" s="138">
        <f>'Expenditures 15-22'!K53</f>
        <v>267959</v>
      </c>
      <c r="C1122" s="2" t="s">
        <v>573</v>
      </c>
      <c r="D1122" s="2" t="str">
        <f t="shared" si="16"/>
        <v>Error?</v>
      </c>
    </row>
    <row r="1123" spans="1:4" x14ac:dyDescent="0.2">
      <c r="A1123" s="5">
        <v>1062</v>
      </c>
      <c r="B1123" s="138">
        <f>'Expenditures 15-22'!K55</f>
        <v>224278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224278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65049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143694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208743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6968</v>
      </c>
      <c r="C1139" s="2" t="s">
        <v>573</v>
      </c>
      <c r="D1139" s="2" t="str">
        <f t="shared" si="16"/>
        <v>Error?</v>
      </c>
    </row>
    <row r="1140" spans="1:4" x14ac:dyDescent="0.2">
      <c r="A1140" s="10">
        <v>1079</v>
      </c>
      <c r="D1140" s="2" t="str">
        <f t="shared" si="16"/>
        <v>OK</v>
      </c>
    </row>
    <row r="1141" spans="1:4" x14ac:dyDescent="0.2">
      <c r="A1141" s="5">
        <v>1080</v>
      </c>
      <c r="B1141" s="138">
        <f>'Expenditures 15-22'!K72</f>
        <v>6968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953400</v>
      </c>
      <c r="C1143" s="2" t="s">
        <v>573</v>
      </c>
      <c r="D1143" s="2" t="str">
        <f t="shared" si="16"/>
        <v>Error?</v>
      </c>
    </row>
    <row r="1144" spans="1:4" x14ac:dyDescent="0.2">
      <c r="A1144" s="5">
        <v>1083</v>
      </c>
      <c r="B1144" s="138">
        <f>'Expenditures 15-22'!K75</f>
        <v>122</v>
      </c>
      <c r="C1144" s="2" t="s">
        <v>573</v>
      </c>
      <c r="D1144" s="2" t="str">
        <f t="shared" si="16"/>
        <v>Error?</v>
      </c>
    </row>
    <row r="1145" spans="1:4" x14ac:dyDescent="0.2">
      <c r="A1145" s="5">
        <v>1084</v>
      </c>
      <c r="B1145" s="138">
        <f>'Expenditures 15-22'!K102</f>
        <v>154440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3230343</v>
      </c>
      <c r="C1152" s="2" t="s">
        <v>573</v>
      </c>
      <c r="D1152" s="2" t="str">
        <f t="shared" si="17"/>
        <v>Error?</v>
      </c>
    </row>
    <row r="1153" spans="1:4" x14ac:dyDescent="0.2">
      <c r="A1153" s="5">
        <v>1092</v>
      </c>
      <c r="B1153" s="138">
        <f>'Expenditures 15-22'!K115</f>
        <v>-189031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83218</v>
      </c>
      <c r="D1221" s="2" t="str">
        <f t="shared" si="18"/>
        <v>Error?</v>
      </c>
    </row>
    <row r="1222" spans="1:4" x14ac:dyDescent="0.2">
      <c r="A1222" s="10">
        <v>1161</v>
      </c>
      <c r="D1222" s="2" t="str">
        <f t="shared" si="18"/>
        <v>OK</v>
      </c>
    </row>
    <row r="1223" spans="1:4" x14ac:dyDescent="0.2">
      <c r="A1223" s="5">
        <v>1162</v>
      </c>
      <c r="B1223" s="138">
        <f>'Expenditures 15-22'!C127</f>
        <v>83218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83218</v>
      </c>
      <c r="C1225" s="2" t="s">
        <v>573</v>
      </c>
      <c r="D1225" s="2" t="str">
        <f t="shared" si="18"/>
        <v>Error?</v>
      </c>
    </row>
    <row r="1226" spans="1:4" x14ac:dyDescent="0.2">
      <c r="A1226" s="5">
        <v>1165</v>
      </c>
      <c r="B1226" s="138">
        <f>'Expenditures 15-22'!C151</f>
        <v>83218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13472</v>
      </c>
      <c r="D1229" s="2" t="str">
        <f t="shared" si="18"/>
        <v>Error?</v>
      </c>
    </row>
    <row r="1230" spans="1:4" x14ac:dyDescent="0.2">
      <c r="A1230" s="10">
        <v>1169</v>
      </c>
      <c r="D1230" s="2" t="str">
        <f t="shared" si="18"/>
        <v>OK</v>
      </c>
    </row>
    <row r="1231" spans="1:4" x14ac:dyDescent="0.2">
      <c r="A1231" s="5">
        <v>1170</v>
      </c>
      <c r="B1231" s="138">
        <f>'Expenditures 15-22'!D127</f>
        <v>13472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13472</v>
      </c>
      <c r="C1233" s="2" t="s">
        <v>573</v>
      </c>
      <c r="D1233" s="2" t="str">
        <f t="shared" si="18"/>
        <v>Error?</v>
      </c>
    </row>
    <row r="1234" spans="1:4" x14ac:dyDescent="0.2">
      <c r="A1234" s="5">
        <v>1173</v>
      </c>
      <c r="B1234" s="138">
        <f>'Expenditures 15-22'!D151</f>
        <v>13472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52953</v>
      </c>
      <c r="D1237" s="2" t="str">
        <f t="shared" si="18"/>
        <v>Error?</v>
      </c>
    </row>
    <row r="1238" spans="1:4" x14ac:dyDescent="0.2">
      <c r="A1238" s="10">
        <v>1177</v>
      </c>
      <c r="D1238" s="2" t="str">
        <f t="shared" si="18"/>
        <v>OK</v>
      </c>
    </row>
    <row r="1239" spans="1:4" x14ac:dyDescent="0.2">
      <c r="A1239" s="5">
        <v>1178</v>
      </c>
      <c r="B1239" s="138">
        <f>'Expenditures 15-22'!E127</f>
        <v>52953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52953</v>
      </c>
      <c r="C1241" s="2" t="s">
        <v>573</v>
      </c>
      <c r="D1241" s="2" t="str">
        <f t="shared" si="18"/>
        <v>Error?</v>
      </c>
    </row>
    <row r="1242" spans="1:4" x14ac:dyDescent="0.2">
      <c r="A1242" s="5">
        <v>1181</v>
      </c>
      <c r="B1242" s="138">
        <f>'Expenditures 15-22'!E151</f>
        <v>52953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76074</v>
      </c>
      <c r="D1245" s="2" t="str">
        <f t="shared" si="18"/>
        <v>Error?</v>
      </c>
    </row>
    <row r="1246" spans="1:4" x14ac:dyDescent="0.2">
      <c r="A1246" s="10">
        <v>1185</v>
      </c>
      <c r="D1246" s="2" t="str">
        <f t="shared" si="18"/>
        <v>OK</v>
      </c>
    </row>
    <row r="1247" spans="1:4" x14ac:dyDescent="0.2">
      <c r="A1247" s="5">
        <v>1186</v>
      </c>
      <c r="B1247" s="138">
        <f>'Expenditures 15-22'!F127</f>
        <v>76074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76074</v>
      </c>
      <c r="C1249" s="2" t="s">
        <v>573</v>
      </c>
      <c r="D1249" s="2" t="str">
        <f t="shared" si="18"/>
        <v>Error?</v>
      </c>
    </row>
    <row r="1250" spans="1:4" x14ac:dyDescent="0.2">
      <c r="A1250" s="5">
        <v>1189</v>
      </c>
      <c r="B1250" s="138">
        <f>'Expenditures 15-22'!F151</f>
        <v>76074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49556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49556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49556</v>
      </c>
      <c r="C1258" s="2" t="s">
        <v>573</v>
      </c>
      <c r="D1258" s="2" t="str">
        <f t="shared" si="18"/>
        <v>Error?</v>
      </c>
    </row>
    <row r="1259" spans="1:4" x14ac:dyDescent="0.2">
      <c r="A1259" s="5">
        <v>1198</v>
      </c>
      <c r="B1259" s="138">
        <f>'Expenditures 15-22'!G151</f>
        <v>49556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275273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275273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275273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275273</v>
      </c>
      <c r="C1288" s="2" t="s">
        <v>573</v>
      </c>
      <c r="D1288" s="2" t="str">
        <f t="shared" si="19"/>
        <v>Error?</v>
      </c>
    </row>
    <row r="1289" spans="1:4" x14ac:dyDescent="0.2">
      <c r="A1289" s="5">
        <v>1228</v>
      </c>
      <c r="B1289" s="138">
        <f>'Expenditures 15-22'!K152</f>
        <v>-96341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190910</v>
      </c>
      <c r="C1317" s="2" t="s">
        <v>573</v>
      </c>
      <c r="D1317" s="2" t="str">
        <f t="shared" si="19"/>
        <v>Error?</v>
      </c>
    </row>
    <row r="1318" spans="1:4" x14ac:dyDescent="0.2">
      <c r="A1318" s="5">
        <v>1257</v>
      </c>
      <c r="B1318" s="138">
        <f>'Expenditures 15-22'!H174</f>
        <v>190910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190910</v>
      </c>
      <c r="C1331" s="2" t="s">
        <v>573</v>
      </c>
      <c r="D1331" s="2" t="str">
        <f t="shared" si="19"/>
        <v>Error?</v>
      </c>
    </row>
    <row r="1332" spans="1:4" x14ac:dyDescent="0.2">
      <c r="A1332" s="5">
        <v>1271</v>
      </c>
      <c r="B1332" s="138">
        <f>'Expenditures 15-22'!K174</f>
        <v>190910</v>
      </c>
      <c r="C1332" s="2" t="s">
        <v>573</v>
      </c>
      <c r="D1332" s="2" t="str">
        <f t="shared" si="19"/>
        <v>Error?</v>
      </c>
    </row>
    <row r="1333" spans="1:4" x14ac:dyDescent="0.2">
      <c r="A1333" s="5">
        <v>1272</v>
      </c>
      <c r="B1333" s="138">
        <f>'Expenditures 15-22'!K175</f>
        <v>-10755</v>
      </c>
      <c r="C1333" s="2" t="s">
        <v>573</v>
      </c>
      <c r="D1333" s="2" t="str">
        <f t="shared" si="19"/>
        <v>Error?</v>
      </c>
    </row>
    <row r="1334" spans="1:4" x14ac:dyDescent="0.2">
      <c r="A1334" s="10">
        <v>1273</v>
      </c>
      <c r="D1334" s="2" t="str">
        <f t="shared" si="19"/>
        <v>OK</v>
      </c>
    </row>
    <row r="1335" spans="1:4" x14ac:dyDescent="0.2">
      <c r="A1335" s="5">
        <v>1274</v>
      </c>
      <c r="B1335" s="138">
        <f>'Expenditures 15-22'!C182</f>
        <v>69470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69470</v>
      </c>
      <c r="C1339" s="2" t="s">
        <v>573</v>
      </c>
      <c r="D1339" s="2" t="str">
        <f t="shared" si="19"/>
        <v>Error?</v>
      </c>
    </row>
    <row r="1340" spans="1:4" x14ac:dyDescent="0.2">
      <c r="A1340" s="5">
        <v>1279</v>
      </c>
      <c r="B1340" s="138">
        <f>'Expenditures 15-22'!C210</f>
        <v>69470</v>
      </c>
      <c r="C1340" s="2" t="s">
        <v>573</v>
      </c>
      <c r="D1340" s="2" t="str">
        <f t="shared" si="19"/>
        <v>Error?</v>
      </c>
    </row>
    <row r="1341" spans="1:4" x14ac:dyDescent="0.2">
      <c r="A1341" s="5">
        <v>1280</v>
      </c>
      <c r="B1341" s="138">
        <f>'Expenditures 15-22'!D182</f>
        <v>442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442</v>
      </c>
      <c r="C1345" s="2" t="s">
        <v>573</v>
      </c>
      <c r="D1345" s="2" t="str">
        <f t="shared" si="20"/>
        <v>Error?</v>
      </c>
    </row>
    <row r="1346" spans="1:4" x14ac:dyDescent="0.2">
      <c r="A1346" s="5">
        <v>1285</v>
      </c>
      <c r="B1346" s="138">
        <f>'Expenditures 15-22'!D210</f>
        <v>442</v>
      </c>
      <c r="C1346" s="2" t="s">
        <v>573</v>
      </c>
      <c r="D1346" s="2" t="str">
        <f t="shared" si="20"/>
        <v>Error?</v>
      </c>
    </row>
    <row r="1347" spans="1:4" x14ac:dyDescent="0.2">
      <c r="A1347" s="5">
        <v>1286</v>
      </c>
      <c r="B1347" s="138">
        <f>'Expenditures 15-22'!E182</f>
        <v>4759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4759</v>
      </c>
      <c r="C1351" s="2" t="s">
        <v>573</v>
      </c>
      <c r="D1351" s="2" t="str">
        <f t="shared" si="20"/>
        <v>Error?</v>
      </c>
    </row>
    <row r="1352" spans="1:4" x14ac:dyDescent="0.2">
      <c r="A1352" s="5">
        <v>1291</v>
      </c>
      <c r="B1352" s="138">
        <f>'Expenditures 15-22'!E196</f>
        <v>4133</v>
      </c>
      <c r="C1352" s="2" t="s">
        <v>573</v>
      </c>
      <c r="D1352" s="2" t="str">
        <f t="shared" si="20"/>
        <v>Error?</v>
      </c>
    </row>
    <row r="1353" spans="1:4" x14ac:dyDescent="0.2">
      <c r="A1353" s="5">
        <v>1292</v>
      </c>
      <c r="B1353" s="138">
        <f>'Expenditures 15-22'!E210</f>
        <v>8892</v>
      </c>
      <c r="C1353" s="2" t="s">
        <v>573</v>
      </c>
      <c r="D1353" s="2" t="str">
        <f t="shared" si="20"/>
        <v>Error?</v>
      </c>
    </row>
    <row r="1354" spans="1:4" x14ac:dyDescent="0.2">
      <c r="A1354" s="5">
        <v>1293</v>
      </c>
      <c r="B1354" s="138">
        <f>'Expenditures 15-22'!F182</f>
        <v>13861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13861</v>
      </c>
      <c r="C1358" s="2" t="s">
        <v>573</v>
      </c>
      <c r="D1358" s="2" t="str">
        <f t="shared" si="20"/>
        <v>Error?</v>
      </c>
    </row>
    <row r="1359" spans="1:4" x14ac:dyDescent="0.2">
      <c r="A1359" s="5">
        <v>1298</v>
      </c>
      <c r="B1359" s="138">
        <f>'Expenditures 15-22'!F210</f>
        <v>13861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88532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88532</v>
      </c>
      <c r="C1381" s="2" t="s">
        <v>573</v>
      </c>
      <c r="D1381" s="2" t="str">
        <f t="shared" si="20"/>
        <v>Error?</v>
      </c>
    </row>
    <row r="1382" spans="1:4" x14ac:dyDescent="0.2">
      <c r="A1382" s="5">
        <v>1321</v>
      </c>
      <c r="B1382" s="138">
        <f>'Expenditures 15-22'!K196</f>
        <v>4133</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92665</v>
      </c>
      <c r="C1388" s="2" t="s">
        <v>573</v>
      </c>
      <c r="D1388" s="2" t="str">
        <f t="shared" si="20"/>
        <v>Error?</v>
      </c>
    </row>
    <row r="1389" spans="1:4" x14ac:dyDescent="0.2">
      <c r="A1389" s="5">
        <v>1328</v>
      </c>
      <c r="B1389" s="138">
        <f>'Expenditures 15-22'!K211</f>
        <v>77548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51758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529</v>
      </c>
      <c r="D1412" s="2" t="str">
        <f t="shared" si="21"/>
        <v>Error?</v>
      </c>
    </row>
    <row r="1413" spans="1:4" x14ac:dyDescent="0.2">
      <c r="A1413" s="5">
        <v>1352</v>
      </c>
      <c r="B1413" s="138">
        <f>'Expenditures 15-22'!D234</f>
        <v>41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525</v>
      </c>
      <c r="D1415" s="2" t="str">
        <f t="shared" si="21"/>
        <v>Error?</v>
      </c>
    </row>
    <row r="1416" spans="1:4" x14ac:dyDescent="0.2">
      <c r="A1416" s="5">
        <v>1355</v>
      </c>
      <c r="B1416" s="138">
        <f>'Expenditures 15-22'!D237</f>
        <v>623</v>
      </c>
      <c r="D1416" s="2" t="str">
        <f t="shared" si="21"/>
        <v>Error?</v>
      </c>
    </row>
    <row r="1417" spans="1:4" x14ac:dyDescent="0.2">
      <c r="A1417" s="5">
        <v>1356</v>
      </c>
      <c r="B1417" s="138">
        <f>'Expenditures 15-22'!D238</f>
        <v>1718</v>
      </c>
      <c r="C1417" s="2" t="s">
        <v>573</v>
      </c>
      <c r="D1417" s="2" t="str">
        <f t="shared" si="21"/>
        <v>Error?</v>
      </c>
    </row>
    <row r="1418" spans="1:4" x14ac:dyDescent="0.2">
      <c r="A1418" s="5">
        <v>1357</v>
      </c>
      <c r="B1418" s="138">
        <f>'Expenditures 15-22'!D240</f>
        <v>205</v>
      </c>
      <c r="D1418" s="2" t="str">
        <f t="shared" si="21"/>
        <v>Error?</v>
      </c>
    </row>
    <row r="1419" spans="1:4" x14ac:dyDescent="0.2">
      <c r="A1419" s="5">
        <v>1358</v>
      </c>
      <c r="B1419" s="138">
        <f>'Expenditures 15-22'!D241</f>
        <v>784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989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6571</v>
      </c>
      <c r="D1423" s="2" t="str">
        <f t="shared" si="21"/>
        <v>Error?</v>
      </c>
    </row>
    <row r="1424" spans="1:4" x14ac:dyDescent="0.2">
      <c r="A1424" s="5">
        <v>1363</v>
      </c>
      <c r="B1424" s="138">
        <f>'Expenditures 15-22'!D257</f>
        <v>6571</v>
      </c>
      <c r="C1424" s="2" t="s">
        <v>573</v>
      </c>
      <c r="D1424" s="2" t="str">
        <f t="shared" si="21"/>
        <v>Error?</v>
      </c>
    </row>
    <row r="1425" spans="1:4" x14ac:dyDescent="0.2">
      <c r="A1425" s="5">
        <v>1364</v>
      </c>
      <c r="B1425" s="138">
        <f>'Expenditures 15-22'!D259</f>
        <v>8637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8637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11563</v>
      </c>
      <c r="D1431" s="2" t="str">
        <f t="shared" si="21"/>
        <v>Error?</v>
      </c>
    </row>
    <row r="1432" spans="1:4" x14ac:dyDescent="0.2">
      <c r="A1432" s="5">
        <v>1371</v>
      </c>
      <c r="B1432" s="138">
        <f>'Expenditures 15-22'!D267</f>
        <v>9605</v>
      </c>
      <c r="D1432" s="2" t="str">
        <f t="shared" si="21"/>
        <v>Error?</v>
      </c>
    </row>
    <row r="1433" spans="1:4" x14ac:dyDescent="0.2">
      <c r="A1433" s="5">
        <v>1372</v>
      </c>
      <c r="B1433" s="138">
        <f>'Expenditures 15-22'!D268</f>
        <v>6016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34238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52153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103911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1507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51758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529</v>
      </c>
      <c r="C1476" s="2" t="s">
        <v>573</v>
      </c>
      <c r="D1476" s="2" t="str">
        <f t="shared" si="22"/>
        <v>Error?</v>
      </c>
    </row>
    <row r="1477" spans="1:4" x14ac:dyDescent="0.2">
      <c r="A1477" s="5">
        <v>1416</v>
      </c>
      <c r="B1477" s="138">
        <f>'Expenditures 15-22'!K234</f>
        <v>41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525</v>
      </c>
      <c r="C1479" s="2" t="s">
        <v>573</v>
      </c>
      <c r="D1479" s="2" t="str">
        <f t="shared" si="22"/>
        <v>Error?</v>
      </c>
    </row>
    <row r="1480" spans="1:4" x14ac:dyDescent="0.2">
      <c r="A1480" s="5">
        <v>1419</v>
      </c>
      <c r="B1480" s="138">
        <f>'Expenditures 15-22'!K237</f>
        <v>623</v>
      </c>
      <c r="C1480" s="2" t="s">
        <v>573</v>
      </c>
      <c r="D1480" s="2" t="str">
        <f t="shared" si="22"/>
        <v>Error?</v>
      </c>
    </row>
    <row r="1481" spans="1:4" x14ac:dyDescent="0.2">
      <c r="A1481" s="5">
        <v>1420</v>
      </c>
      <c r="B1481" s="138">
        <f>'Expenditures 15-22'!K238</f>
        <v>1718</v>
      </c>
      <c r="C1481" s="2" t="s">
        <v>573</v>
      </c>
      <c r="D1481" s="2" t="str">
        <f t="shared" si="22"/>
        <v>Error?</v>
      </c>
    </row>
    <row r="1482" spans="1:4" x14ac:dyDescent="0.2">
      <c r="A1482" s="5">
        <v>1421</v>
      </c>
      <c r="B1482" s="138">
        <f>'Expenditures 15-22'!K240</f>
        <v>205</v>
      </c>
      <c r="C1482" s="2" t="s">
        <v>573</v>
      </c>
      <c r="D1482" s="2" t="str">
        <f t="shared" si="22"/>
        <v>Error?</v>
      </c>
    </row>
    <row r="1483" spans="1:4" x14ac:dyDescent="0.2">
      <c r="A1483" s="5">
        <v>1422</v>
      </c>
      <c r="B1483" s="138">
        <f>'Expenditures 15-22'!K241</f>
        <v>784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989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6571</v>
      </c>
      <c r="C1487" s="2" t="s">
        <v>573</v>
      </c>
      <c r="D1487" s="2" t="str">
        <f t="shared" si="22"/>
        <v>Error?</v>
      </c>
    </row>
    <row r="1488" spans="1:4" x14ac:dyDescent="0.2">
      <c r="A1488" s="5">
        <v>1427</v>
      </c>
      <c r="B1488" s="138">
        <f>'Expenditures 15-22'!K257</f>
        <v>6571</v>
      </c>
      <c r="C1488" s="2" t="s">
        <v>573</v>
      </c>
      <c r="D1488" s="2" t="str">
        <f t="shared" si="22"/>
        <v>Error?</v>
      </c>
    </row>
    <row r="1489" spans="1:4" x14ac:dyDescent="0.2">
      <c r="A1489" s="5">
        <v>1428</v>
      </c>
      <c r="B1489" s="138">
        <f>'Expenditures 15-22'!K259</f>
        <v>8637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8637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7054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11563</v>
      </c>
      <c r="C1495" s="2" t="s">
        <v>573</v>
      </c>
      <c r="D1495" s="2" t="str">
        <f t="shared" si="22"/>
        <v>Error?</v>
      </c>
    </row>
    <row r="1496" spans="1:4" x14ac:dyDescent="0.2">
      <c r="A1496" s="5">
        <v>1435</v>
      </c>
      <c r="B1496" s="138">
        <f>'Expenditures 15-22'!K267</f>
        <v>9605</v>
      </c>
      <c r="C1496" s="2" t="s">
        <v>573</v>
      </c>
      <c r="D1496" s="2" t="str">
        <f t="shared" si="22"/>
        <v>Error?</v>
      </c>
    </row>
    <row r="1497" spans="1:4" x14ac:dyDescent="0.2">
      <c r="A1497" s="5">
        <v>1436</v>
      </c>
      <c r="B1497" s="138">
        <f>'Expenditures 15-22'!K268</f>
        <v>6016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34238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52153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103911</v>
      </c>
      <c r="C1517" s="2" t="s">
        <v>573</v>
      </c>
      <c r="D1517" s="2" t="str">
        <f t="shared" si="22"/>
        <v>Error?</v>
      </c>
    </row>
    <row r="1518" spans="1:4" x14ac:dyDescent="0.2">
      <c r="A1518" s="5">
        <v>1457</v>
      </c>
      <c r="B1518" s="138">
        <f>'Expenditures 15-22'!K296</f>
        <v>-40681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120049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120049</v>
      </c>
      <c r="C1547" s="2" t="s">
        <v>573</v>
      </c>
      <c r="D1547" s="2" t="str">
        <f t="shared" si="23"/>
        <v>Error?</v>
      </c>
    </row>
    <row r="1548" spans="1:4" x14ac:dyDescent="0.2">
      <c r="A1548" s="5">
        <v>1487</v>
      </c>
      <c r="B1548" s="138">
        <f>'Expenditures 15-22'!G312</f>
        <v>120049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120049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120049</v>
      </c>
      <c r="C1559" s="2" t="s">
        <v>573</v>
      </c>
      <c r="D1559" s="2" t="str">
        <f t="shared" si="23"/>
        <v>Error?</v>
      </c>
    </row>
    <row r="1560" spans="1:4" x14ac:dyDescent="0.2">
      <c r="A1560" s="5">
        <v>1499</v>
      </c>
      <c r="B1560" s="138">
        <f>'Expenditures 15-22'!K312</f>
        <v>120049</v>
      </c>
      <c r="C1560" s="2" t="s">
        <v>573</v>
      </c>
      <c r="D1560" s="2" t="str">
        <f t="shared" si="23"/>
        <v>Error?</v>
      </c>
    </row>
    <row r="1561" spans="1:4" x14ac:dyDescent="0.2">
      <c r="A1561" s="5">
        <v>1500</v>
      </c>
      <c r="B1561" s="138">
        <f>'Expenditures 15-22'!K313</f>
        <v>27606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756099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567068</v>
      </c>
      <c r="C1630" s="2" t="s">
        <v>573</v>
      </c>
      <c r="D1630" s="2" t="str">
        <f t="shared" si="24"/>
        <v>Error?</v>
      </c>
    </row>
    <row r="1631" spans="1:4" x14ac:dyDescent="0.2">
      <c r="A1631" s="5">
        <v>1570</v>
      </c>
      <c r="B1631" s="138">
        <f>'Acct Summary 7-8'!D79</f>
        <v>64806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4465</v>
      </c>
      <c r="C1644" s="2" t="s">
        <v>573</v>
      </c>
      <c r="D1644" s="2" t="str">
        <f t="shared" si="24"/>
        <v>Error?</v>
      </c>
    </row>
    <row r="1645" spans="1:4" x14ac:dyDescent="0.2">
      <c r="A1645" s="5">
        <v>1584</v>
      </c>
      <c r="B1645" s="138">
        <f>'Acct Summary 7-8'!E79</f>
        <v>72684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61929</v>
      </c>
      <c r="C1658" s="2" t="s">
        <v>573</v>
      </c>
      <c r="D1658" s="2" t="str">
        <f t="shared" si="24"/>
        <v>Error?</v>
      </c>
    </row>
    <row r="1659" spans="1:4" x14ac:dyDescent="0.2">
      <c r="A1659" s="5">
        <v>1598</v>
      </c>
      <c r="B1659" s="138">
        <f>'Acct Summary 7-8'!F79</f>
        <v>81503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123051</v>
      </c>
      <c r="C1672" s="2" t="s">
        <v>573</v>
      </c>
      <c r="D1672" s="2" t="str">
        <f t="shared" si="25"/>
        <v>Error?</v>
      </c>
    </row>
    <row r="1673" spans="1:4" x14ac:dyDescent="0.2">
      <c r="A1673" s="5">
        <v>1612</v>
      </c>
      <c r="B1673" s="138">
        <f>'Acct Summary 7-8'!G79</f>
        <v>149668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108987</v>
      </c>
      <c r="C1686" s="2" t="s">
        <v>573</v>
      </c>
      <c r="D1686" s="2" t="str">
        <f t="shared" si="25"/>
        <v>Error?</v>
      </c>
    </row>
    <row r="1687" spans="1:4" x14ac:dyDescent="0.2">
      <c r="A1687" s="5">
        <v>1626</v>
      </c>
      <c r="B1687" s="138">
        <f>'Acct Summary 7-8'!H79</f>
        <v>22162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49768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472570</v>
      </c>
      <c r="C1744" s="2" t="s">
        <v>573</v>
      </c>
      <c r="D1744" s="2" t="str">
        <f t="shared" si="26"/>
        <v>Error?</v>
      </c>
    </row>
    <row r="1745" spans="1:5" x14ac:dyDescent="0.2">
      <c r="A1745" s="5">
        <v>1684</v>
      </c>
      <c r="B1745" s="138">
        <f>'Tax Sched 23'!B5</f>
        <v>71270</v>
      </c>
      <c r="C1745" s="2" t="s">
        <v>573</v>
      </c>
      <c r="D1745" s="2" t="str">
        <f t="shared" si="26"/>
        <v>Error?</v>
      </c>
    </row>
    <row r="1746" spans="1:5" x14ac:dyDescent="0.2">
      <c r="A1746" s="5">
        <v>1685</v>
      </c>
      <c r="B1746" s="138">
        <f>'Tax Sched 23'!B6</f>
        <v>179352</v>
      </c>
      <c r="C1746" s="2" t="s">
        <v>573</v>
      </c>
      <c r="D1746" s="2" t="str">
        <f t="shared" si="26"/>
        <v>Error?</v>
      </c>
    </row>
    <row r="1747" spans="1:5" x14ac:dyDescent="0.2">
      <c r="A1747" s="5">
        <v>1686</v>
      </c>
      <c r="B1747" s="138">
        <f>'Tax Sched 23'!B7</f>
        <v>29098</v>
      </c>
      <c r="C1747" s="2" t="s">
        <v>573</v>
      </c>
      <c r="D1747" s="2" t="str">
        <f t="shared" si="26"/>
        <v>Error?</v>
      </c>
    </row>
    <row r="1748" spans="1:5" x14ac:dyDescent="0.2">
      <c r="A1748" s="5">
        <v>1687</v>
      </c>
      <c r="B1748" s="138">
        <f>'Tax Sched 23'!B8</f>
        <v>24260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7869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3436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800008</v>
      </c>
      <c r="C1759" s="2" t="s">
        <v>573</v>
      </c>
      <c r="D1759" s="2" t="str">
        <f t="shared" si="26"/>
        <v>Error?</v>
      </c>
    </row>
    <row r="1760" spans="1:5" x14ac:dyDescent="0.2">
      <c r="A1760" s="5">
        <v>1699</v>
      </c>
      <c r="B1760" s="138">
        <f>'Tax Sched 23'!D4</f>
        <v>332365</v>
      </c>
      <c r="C1760" s="2" t="s">
        <v>573</v>
      </c>
      <c r="D1760" s="2" t="str">
        <f t="shared" si="26"/>
        <v>Error?</v>
      </c>
    </row>
    <row r="1761" spans="1:5" x14ac:dyDescent="0.2">
      <c r="A1761" s="5">
        <v>1700</v>
      </c>
      <c r="B1761" s="138">
        <f>'Tax Sched 23'!D5</f>
        <v>51155</v>
      </c>
      <c r="C1761" s="2" t="s">
        <v>573</v>
      </c>
      <c r="D1761" s="2" t="str">
        <f t="shared" si="26"/>
        <v>Error?</v>
      </c>
    </row>
    <row r="1762" spans="1:5" s="8" customFormat="1" x14ac:dyDescent="0.2">
      <c r="A1762" s="5">
        <v>1701</v>
      </c>
      <c r="B1762" s="138">
        <f>'Tax Sched 23'!D6</f>
        <v>126839</v>
      </c>
      <c r="C1762" s="2" t="s">
        <v>573</v>
      </c>
      <c r="D1762" s="2" t="str">
        <f t="shared" si="26"/>
        <v>Error?</v>
      </c>
      <c r="E1762" s="9"/>
    </row>
    <row r="1763" spans="1:5" x14ac:dyDescent="0.2">
      <c r="A1763" s="5">
        <v>1702</v>
      </c>
      <c r="B1763" s="138">
        <f>'Tax Sched 23'!D7</f>
        <v>20477</v>
      </c>
      <c r="C1763" s="2" t="s">
        <v>573</v>
      </c>
      <c r="D1763" s="2" t="str">
        <f t="shared" si="26"/>
        <v>Error?</v>
      </c>
    </row>
    <row r="1764" spans="1:5" x14ac:dyDescent="0.2">
      <c r="A1764" s="5">
        <v>1703</v>
      </c>
      <c r="B1764" s="138">
        <f>'Tax Sched 23'!D8</f>
        <v>17076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4269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3436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564155</v>
      </c>
      <c r="C1775" s="2" t="s">
        <v>573</v>
      </c>
      <c r="D1775" s="2" t="str">
        <f t="shared" si="26"/>
        <v>Error?</v>
      </c>
    </row>
    <row r="1776" spans="1:5" x14ac:dyDescent="0.2">
      <c r="A1776" s="5">
        <v>1715</v>
      </c>
      <c r="B1776" s="138">
        <f>'Tax Sched 23'!C4</f>
        <v>140205</v>
      </c>
      <c r="D1776" s="2" t="str">
        <f t="shared" si="26"/>
        <v>Error?</v>
      </c>
    </row>
    <row r="1777" spans="1:4" x14ac:dyDescent="0.2">
      <c r="A1777" s="5">
        <v>1716</v>
      </c>
      <c r="B1777" s="138">
        <f>'Tax Sched 23'!C5</f>
        <v>20115</v>
      </c>
      <c r="D1777" s="2" t="str">
        <f t="shared" si="26"/>
        <v>Error?</v>
      </c>
    </row>
    <row r="1778" spans="1:4" x14ac:dyDescent="0.2">
      <c r="A1778" s="5">
        <v>1717</v>
      </c>
      <c r="B1778" s="138">
        <f>'Tax Sched 23'!C6</f>
        <v>52513</v>
      </c>
      <c r="D1778" s="2" t="str">
        <f t="shared" si="26"/>
        <v>Error?</v>
      </c>
    </row>
    <row r="1779" spans="1:4" x14ac:dyDescent="0.2">
      <c r="A1779" s="5">
        <v>1718</v>
      </c>
      <c r="B1779" s="138">
        <f>'Tax Sched 23'!C7</f>
        <v>8621</v>
      </c>
      <c r="D1779" s="2" t="str">
        <f t="shared" si="26"/>
        <v>Error?</v>
      </c>
    </row>
    <row r="1780" spans="1:4" x14ac:dyDescent="0.2">
      <c r="A1780" s="5">
        <v>1719</v>
      </c>
      <c r="B1780" s="138">
        <f>'Tax Sched 23'!C8</f>
        <v>7184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3600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235853</v>
      </c>
      <c r="C1791" s="2" t="s">
        <v>573</v>
      </c>
      <c r="D1791" s="2" t="str">
        <f t="shared" ref="D1791:D1854" si="27">IF(ISBLANK(B1791),"OK",IF(A1791-B1791=0,"OK","Error?"))</f>
        <v>Error?</v>
      </c>
    </row>
    <row r="1792" spans="1:4" x14ac:dyDescent="0.2">
      <c r="A1792" s="5">
        <v>1731</v>
      </c>
      <c r="B1792" s="138">
        <f>'Tax Sched 23'!F4</f>
        <v>363614</v>
      </c>
      <c r="C1792" s="2" t="s">
        <v>573</v>
      </c>
      <c r="D1792" s="2" t="str">
        <f t="shared" si="27"/>
        <v>Error?</v>
      </c>
    </row>
    <row r="1793" spans="1:4" x14ac:dyDescent="0.2">
      <c r="A1793" s="5">
        <v>1732</v>
      </c>
      <c r="B1793" s="138">
        <f>'Tax Sched 23'!F5</f>
        <v>52168</v>
      </c>
      <c r="C1793" s="2" t="s">
        <v>573</v>
      </c>
      <c r="D1793" s="2" t="str">
        <f t="shared" si="27"/>
        <v>Error?</v>
      </c>
    </row>
    <row r="1794" spans="1:4" x14ac:dyDescent="0.2">
      <c r="A1794" s="5">
        <v>1733</v>
      </c>
      <c r="B1794" s="138">
        <f>'Tax Sched 23'!F6</f>
        <v>136190</v>
      </c>
      <c r="C1794" s="2" t="s">
        <v>573</v>
      </c>
      <c r="D1794" s="2" t="str">
        <f t="shared" si="27"/>
        <v>Error?</v>
      </c>
    </row>
    <row r="1795" spans="1:4" x14ac:dyDescent="0.2">
      <c r="A1795" s="5">
        <v>1734</v>
      </c>
      <c r="B1795" s="138">
        <f>'Tax Sched 23'!F7</f>
        <v>22358</v>
      </c>
      <c r="C1795" s="2" t="s">
        <v>573</v>
      </c>
      <c r="D1795" s="2" t="str">
        <f t="shared" si="27"/>
        <v>Error?</v>
      </c>
    </row>
    <row r="1796" spans="1:4" x14ac:dyDescent="0.2">
      <c r="A1796" s="5">
        <v>1735</v>
      </c>
      <c r="B1796" s="138">
        <f>'Tax Sched 23'!F8</f>
        <v>18632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9336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611674</v>
      </c>
      <c r="C1807" s="2" t="s">
        <v>573</v>
      </c>
      <c r="D1807" s="2" t="str">
        <f t="shared" si="27"/>
        <v>Error?</v>
      </c>
    </row>
    <row r="1808" spans="1:4" x14ac:dyDescent="0.2">
      <c r="A1808" s="5">
        <v>1747</v>
      </c>
      <c r="B1808" s="138">
        <f>'Tax Sched 23'!E4</f>
        <v>503819</v>
      </c>
      <c r="D1808" s="2" t="str">
        <f t="shared" si="27"/>
        <v>Error?</v>
      </c>
    </row>
    <row r="1809" spans="1:4" x14ac:dyDescent="0.2">
      <c r="A1809" s="5">
        <v>1748</v>
      </c>
      <c r="B1809" s="138">
        <f>'Tax Sched 23'!E5</f>
        <v>72283</v>
      </c>
      <c r="D1809" s="2" t="str">
        <f t="shared" si="27"/>
        <v>Error?</v>
      </c>
    </row>
    <row r="1810" spans="1:4" x14ac:dyDescent="0.2">
      <c r="A1810" s="5">
        <v>1749</v>
      </c>
      <c r="B1810" s="138">
        <f>'Tax Sched 23'!E6</f>
        <v>188703</v>
      </c>
      <c r="D1810" s="2" t="str">
        <f t="shared" si="27"/>
        <v>Error?</v>
      </c>
    </row>
    <row r="1811" spans="1:4" x14ac:dyDescent="0.2">
      <c r="A1811" s="5">
        <v>1750</v>
      </c>
      <c r="B1811" s="138">
        <f>'Tax Sched 23'!E7</f>
        <v>30979</v>
      </c>
      <c r="D1811" s="2" t="str">
        <f t="shared" si="27"/>
        <v>Error?</v>
      </c>
    </row>
    <row r="1812" spans="1:4" x14ac:dyDescent="0.2">
      <c r="A1812" s="5">
        <v>1751</v>
      </c>
      <c r="B1812" s="138">
        <f>'Tax Sched 23'!E8</f>
        <v>25816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12936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847527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471476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3436</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3438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3438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713769</v>
      </c>
      <c r="D2008" s="2" t="str">
        <f t="shared" si="30"/>
        <v>Error?</v>
      </c>
    </row>
    <row r="2009" spans="1:4" x14ac:dyDescent="0.2">
      <c r="A2009" s="5">
        <v>1948</v>
      </c>
      <c r="B2009" s="138">
        <f>'Cap Outlay Deprec 26'!C8</f>
        <v>6462979</v>
      </c>
      <c r="D2009" s="2" t="str">
        <f t="shared" si="30"/>
        <v>Error?</v>
      </c>
    </row>
    <row r="2010" spans="1:4" x14ac:dyDescent="0.2">
      <c r="A2010" s="5">
        <v>1949</v>
      </c>
      <c r="B2010" s="138">
        <f>'Cap Outlay Deprec 26'!C10</f>
        <v>180757</v>
      </c>
      <c r="D2010" s="2" t="str">
        <f t="shared" si="30"/>
        <v>Error?</v>
      </c>
    </row>
    <row r="2011" spans="1:4" x14ac:dyDescent="0.2">
      <c r="A2011" s="5">
        <v>1950</v>
      </c>
      <c r="B2011" s="138">
        <f>'Cap Outlay Deprec 26'!C12</f>
        <v>576988</v>
      </c>
      <c r="D2011" s="2" t="str">
        <f t="shared" si="30"/>
        <v>Error?</v>
      </c>
    </row>
    <row r="2012" spans="1:4" x14ac:dyDescent="0.2">
      <c r="A2012" s="5">
        <v>1951</v>
      </c>
      <c r="B2012" s="138">
        <f>'Cap Outlay Deprec 26'!C13</f>
        <v>139000</v>
      </c>
      <c r="D2012" s="2" t="str">
        <f t="shared" si="30"/>
        <v>Error?</v>
      </c>
    </row>
    <row r="2013" spans="1:4" x14ac:dyDescent="0.2">
      <c r="A2013" s="5">
        <v>1952</v>
      </c>
      <c r="B2013" s="138">
        <f>'Cap Outlay Deprec 26'!C16</f>
        <v>8083293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19600</v>
      </c>
      <c r="D2015" s="2" t="str">
        <f t="shared" si="30"/>
        <v>Error?</v>
      </c>
    </row>
    <row r="2016" spans="1:4" x14ac:dyDescent="0.2">
      <c r="A2016" s="5">
        <v>1955</v>
      </c>
      <c r="B2016" s="138">
        <f>'Cap Outlay Deprec 26'!D10</f>
        <v>83367</v>
      </c>
      <c r="D2016" s="2" t="str">
        <f t="shared" si="30"/>
        <v>Error?</v>
      </c>
    </row>
    <row r="2017" spans="1:4" x14ac:dyDescent="0.2">
      <c r="A2017" s="5">
        <v>1956</v>
      </c>
      <c r="B2017" s="138">
        <f>'Cap Outlay Deprec 26'!D12</f>
        <v>76438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179405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24608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24608</v>
      </c>
      <c r="C2025" s="2" t="s">
        <v>573</v>
      </c>
      <c r="D2025" s="2" t="str">
        <f t="shared" si="30"/>
        <v>Error?</v>
      </c>
    </row>
    <row r="2026" spans="1:4" x14ac:dyDescent="0.2">
      <c r="A2026" s="5">
        <v>1965</v>
      </c>
      <c r="B2026" s="138">
        <f>'Cap Outlay Deprec 26'!F5</f>
        <v>713769</v>
      </c>
      <c r="C2026" s="2" t="s">
        <v>573</v>
      </c>
      <c r="D2026" s="2" t="str">
        <f t="shared" si="30"/>
        <v>Error?</v>
      </c>
    </row>
    <row r="2027" spans="1:4" x14ac:dyDescent="0.2">
      <c r="A2027" s="5">
        <v>1966</v>
      </c>
      <c r="B2027" s="138">
        <f>'Cap Outlay Deprec 26'!F8</f>
        <v>6482579</v>
      </c>
      <c r="C2027" s="2" t="s">
        <v>573</v>
      </c>
      <c r="D2027" s="2" t="str">
        <f t="shared" si="30"/>
        <v>Error?</v>
      </c>
    </row>
    <row r="2028" spans="1:4" x14ac:dyDescent="0.2">
      <c r="A2028" s="5">
        <v>1967</v>
      </c>
      <c r="B2028" s="138">
        <f>'Cap Outlay Deprec 26'!F10</f>
        <v>264124</v>
      </c>
      <c r="C2028" s="2" t="s">
        <v>573</v>
      </c>
      <c r="D2028" s="2" t="str">
        <f t="shared" si="30"/>
        <v>Error?</v>
      </c>
    </row>
    <row r="2029" spans="1:4" x14ac:dyDescent="0.2">
      <c r="A2029" s="5">
        <v>1968</v>
      </c>
      <c r="B2029" s="138">
        <f>'Cap Outlay Deprec 26'!F12</f>
        <v>628818</v>
      </c>
      <c r="C2029" s="2" t="s">
        <v>573</v>
      </c>
      <c r="D2029" s="2" t="str">
        <f t="shared" si="30"/>
        <v>Error?</v>
      </c>
    </row>
    <row r="2030" spans="1:4" x14ac:dyDescent="0.2">
      <c r="A2030" s="5">
        <v>1969</v>
      </c>
      <c r="B2030" s="138">
        <f>'Cap Outlay Deprec 26'!F13</f>
        <v>139000</v>
      </c>
      <c r="C2030" s="2" t="s">
        <v>573</v>
      </c>
      <c r="D2030" s="2" t="str">
        <f t="shared" si="30"/>
        <v>Error?</v>
      </c>
    </row>
    <row r="2031" spans="1:4" x14ac:dyDescent="0.2">
      <c r="A2031" s="5">
        <v>1970</v>
      </c>
      <c r="B2031" s="138">
        <f>'Cap Outlay Deprec 26'!F16</f>
        <v>8238090</v>
      </c>
      <c r="C2031" s="2" t="s">
        <v>573</v>
      </c>
      <c r="D2031" s="2" t="str">
        <f t="shared" si="30"/>
        <v>Error?</v>
      </c>
    </row>
    <row r="2032" spans="1:4" x14ac:dyDescent="0.2">
      <c r="A2032" s="10">
        <v>1971</v>
      </c>
      <c r="D2032" s="2" t="str">
        <f t="shared" si="30"/>
        <v>OK</v>
      </c>
    </row>
    <row r="2033" spans="1:4" x14ac:dyDescent="0.2">
      <c r="A2033" s="5">
        <v>1972</v>
      </c>
      <c r="B2033" s="138">
        <f>'Cap Outlay Deprec 26'!H8</f>
        <v>2148646</v>
      </c>
      <c r="D2033" s="2" t="str">
        <f t="shared" si="30"/>
        <v>Error?</v>
      </c>
    </row>
    <row r="2034" spans="1:4" x14ac:dyDescent="0.2">
      <c r="A2034" s="5">
        <v>1973</v>
      </c>
      <c r="B2034" s="138">
        <f>'Cap Outlay Deprec 26'!H10</f>
        <v>125983</v>
      </c>
      <c r="D2034" s="2" t="str">
        <f t="shared" si="30"/>
        <v>Error?</v>
      </c>
    </row>
    <row r="2035" spans="1:4" x14ac:dyDescent="0.2">
      <c r="A2035" s="5">
        <v>1974</v>
      </c>
      <c r="B2035" s="138">
        <f>'Cap Outlay Deprec 26'!H12</f>
        <v>301632</v>
      </c>
      <c r="D2035" s="2" t="str">
        <f t="shared" si="30"/>
        <v>Error?</v>
      </c>
    </row>
    <row r="2036" spans="1:4" x14ac:dyDescent="0.2">
      <c r="A2036" s="5">
        <v>1975</v>
      </c>
      <c r="B2036" s="138">
        <f>'Cap Outlay Deprec 26'!H13</f>
        <v>27800</v>
      </c>
      <c r="D2036" s="2" t="str">
        <f t="shared" si="30"/>
        <v>Error?</v>
      </c>
    </row>
    <row r="2037" spans="1:4" x14ac:dyDescent="0.2">
      <c r="A2037" s="5">
        <v>1976</v>
      </c>
      <c r="B2037" s="138">
        <f>'Cap Outlay Deprec 26'!H16</f>
        <v>2604061</v>
      </c>
      <c r="C2037" s="2" t="s">
        <v>573</v>
      </c>
      <c r="D2037" s="2" t="str">
        <f t="shared" si="30"/>
        <v>Error?</v>
      </c>
    </row>
    <row r="2038" spans="1:4" x14ac:dyDescent="0.2">
      <c r="A2038" s="10">
        <v>1977</v>
      </c>
      <c r="D2038" s="2" t="str">
        <f t="shared" si="30"/>
        <v>OK</v>
      </c>
    </row>
    <row r="2039" spans="1:4" x14ac:dyDescent="0.2">
      <c r="A2039" s="5">
        <v>1978</v>
      </c>
      <c r="B2039" s="138">
        <f>'Cap Outlay Deprec 26'!I8</f>
        <v>129652</v>
      </c>
      <c r="D2039" s="2" t="str">
        <f t="shared" si="30"/>
        <v>Error?</v>
      </c>
    </row>
    <row r="2040" spans="1:4" x14ac:dyDescent="0.2">
      <c r="A2040" s="5">
        <v>1979</v>
      </c>
      <c r="B2040" s="138">
        <f>'Cap Outlay Deprec 26'!I10</f>
        <v>13205</v>
      </c>
      <c r="D2040" s="2" t="str">
        <f t="shared" si="30"/>
        <v>Error?</v>
      </c>
    </row>
    <row r="2041" spans="1:4" x14ac:dyDescent="0.2">
      <c r="A2041" s="5">
        <v>1980</v>
      </c>
      <c r="B2041" s="138">
        <f>'Cap Outlay Deprec 26'!I12</f>
        <v>62878</v>
      </c>
      <c r="D2041" s="2" t="str">
        <f t="shared" si="30"/>
        <v>Error?</v>
      </c>
    </row>
    <row r="2042" spans="1:4" x14ac:dyDescent="0.2">
      <c r="A2042" s="5">
        <v>1981</v>
      </c>
      <c r="B2042" s="138">
        <f>'Cap Outlay Deprec 26'!I13</f>
        <v>27800</v>
      </c>
      <c r="D2042" s="2" t="str">
        <f t="shared" si="30"/>
        <v>Error?</v>
      </c>
    </row>
    <row r="2043" spans="1:4" x14ac:dyDescent="0.2">
      <c r="A2043" s="5">
        <v>1982</v>
      </c>
      <c r="B2043" s="138">
        <f>'Cap Outlay Deprec 26'!I16</f>
        <v>233535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24608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24608</v>
      </c>
      <c r="C2049" s="2" t="s">
        <v>573</v>
      </c>
      <c r="D2049" s="2" t="str">
        <f t="shared" si="31"/>
        <v>Error?</v>
      </c>
    </row>
    <row r="2050" spans="1:4" x14ac:dyDescent="0.2">
      <c r="A2050" s="10">
        <v>1989</v>
      </c>
      <c r="D2050" s="2" t="str">
        <f t="shared" si="31"/>
        <v>OK</v>
      </c>
    </row>
    <row r="2051" spans="1:4" x14ac:dyDescent="0.2">
      <c r="A2051" s="5">
        <v>1990</v>
      </c>
      <c r="B2051" s="138">
        <f>'Cap Outlay Deprec 26'!K8</f>
        <v>2278298</v>
      </c>
      <c r="C2051" s="2" t="s">
        <v>573</v>
      </c>
      <c r="D2051" s="2" t="str">
        <f t="shared" si="31"/>
        <v>Error?</v>
      </c>
    </row>
    <row r="2052" spans="1:4" x14ac:dyDescent="0.2">
      <c r="A2052" s="5">
        <v>1991</v>
      </c>
      <c r="B2052" s="138">
        <f>'Cap Outlay Deprec 26'!K10</f>
        <v>139188</v>
      </c>
      <c r="C2052" s="2" t="s">
        <v>573</v>
      </c>
      <c r="D2052" s="2" t="str">
        <f t="shared" si="31"/>
        <v>Error?</v>
      </c>
    </row>
    <row r="2053" spans="1:4" x14ac:dyDescent="0.2">
      <c r="A2053" s="5">
        <v>1992</v>
      </c>
      <c r="B2053" s="138">
        <f>'Cap Outlay Deprec 26'!K12</f>
        <v>339902</v>
      </c>
      <c r="C2053" s="2" t="s">
        <v>573</v>
      </c>
      <c r="D2053" s="2" t="str">
        <f t="shared" si="31"/>
        <v>Error?</v>
      </c>
    </row>
    <row r="2054" spans="1:4" x14ac:dyDescent="0.2">
      <c r="A2054" s="5">
        <v>1993</v>
      </c>
      <c r="B2054" s="138">
        <f>'Cap Outlay Deprec 26'!K13</f>
        <v>55600</v>
      </c>
      <c r="C2054" s="2" t="s">
        <v>573</v>
      </c>
      <c r="D2054" s="2" t="str">
        <f t="shared" si="31"/>
        <v>Error?</v>
      </c>
    </row>
    <row r="2055" spans="1:4" x14ac:dyDescent="0.2">
      <c r="A2055" s="5">
        <v>1994</v>
      </c>
      <c r="B2055" s="138">
        <f>'Cap Outlay Deprec 26'!K16</f>
        <v>2812988</v>
      </c>
      <c r="C2055" s="2" t="s">
        <v>573</v>
      </c>
      <c r="D2055" s="2" t="str">
        <f t="shared" si="31"/>
        <v>Error?</v>
      </c>
    </row>
    <row r="2056" spans="1:4" x14ac:dyDescent="0.2">
      <c r="A2056" s="5">
        <v>1995</v>
      </c>
      <c r="B2056" s="138">
        <f>'Cap Outlay Deprec 26'!L5</f>
        <v>713769</v>
      </c>
      <c r="C2056" s="2" t="s">
        <v>573</v>
      </c>
      <c r="D2056" s="2" t="str">
        <f t="shared" si="31"/>
        <v>Error?</v>
      </c>
    </row>
    <row r="2057" spans="1:4" x14ac:dyDescent="0.2">
      <c r="A2057" s="5">
        <v>1996</v>
      </c>
      <c r="B2057" s="138">
        <f>'Cap Outlay Deprec 26'!L8</f>
        <v>4204281</v>
      </c>
      <c r="C2057" s="2" t="s">
        <v>573</v>
      </c>
      <c r="D2057" s="2" t="str">
        <f t="shared" si="31"/>
        <v>Error?</v>
      </c>
    </row>
    <row r="2058" spans="1:4" x14ac:dyDescent="0.2">
      <c r="A2058" s="5">
        <v>1997</v>
      </c>
      <c r="B2058" s="138">
        <f>'Cap Outlay Deprec 26'!L10</f>
        <v>124936</v>
      </c>
      <c r="C2058" s="2" t="s">
        <v>573</v>
      </c>
      <c r="D2058" s="2" t="str">
        <f t="shared" si="31"/>
        <v>Error?</v>
      </c>
    </row>
    <row r="2059" spans="1:4" x14ac:dyDescent="0.2">
      <c r="A2059" s="5">
        <v>1998</v>
      </c>
      <c r="B2059" s="138">
        <f>'Cap Outlay Deprec 26'!L12</f>
        <v>288916</v>
      </c>
      <c r="C2059" s="2" t="s">
        <v>573</v>
      </c>
      <c r="D2059" s="2" t="str">
        <f t="shared" si="31"/>
        <v>Error?</v>
      </c>
    </row>
    <row r="2060" spans="1:4" x14ac:dyDescent="0.2">
      <c r="A2060" s="5">
        <v>1999</v>
      </c>
      <c r="B2060" s="138">
        <f>'Cap Outlay Deprec 26'!L13</f>
        <v>83400</v>
      </c>
      <c r="C2060" s="2" t="s">
        <v>573</v>
      </c>
      <c r="D2060" s="2" t="str">
        <f t="shared" si="31"/>
        <v>Error?</v>
      </c>
    </row>
    <row r="2061" spans="1:4" x14ac:dyDescent="0.2">
      <c r="A2061" s="5">
        <v>2000</v>
      </c>
      <c r="B2061" s="138">
        <f>'Cap Outlay Deprec 26'!L16</f>
        <v>5425102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51839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110227</v>
      </c>
      <c r="C2088" s="2" t="s">
        <v>573</v>
      </c>
      <c r="D2088" s="2" t="str">
        <f t="shared" si="31"/>
        <v>Error?</v>
      </c>
    </row>
    <row r="2089" spans="1:4" x14ac:dyDescent="0.2">
      <c r="A2089" s="5">
        <v>2028</v>
      </c>
      <c r="B2089" s="138">
        <f>'Expenditures 15-22'!K92</f>
        <v>44213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18734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49768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560405</v>
      </c>
      <c r="C2551" s="2" t="s">
        <v>573</v>
      </c>
      <c r="D2551" s="2" t="str">
        <f t="shared" si="38"/>
        <v>Error?</v>
      </c>
    </row>
    <row r="2552" spans="1:4" x14ac:dyDescent="0.2">
      <c r="A2552" s="10">
        <v>2491</v>
      </c>
      <c r="D2552" s="2" t="str">
        <f t="shared" si="38"/>
        <v>OK</v>
      </c>
    </row>
    <row r="2553" spans="1:4" x14ac:dyDescent="0.2">
      <c r="A2553" s="5">
        <v>2492</v>
      </c>
      <c r="B2553" s="138">
        <f>'Acct Summary 7-8'!C6</f>
        <v>1937745</v>
      </c>
      <c r="C2553" s="2" t="s">
        <v>573</v>
      </c>
      <c r="D2553" s="2" t="str">
        <f t="shared" si="38"/>
        <v>Error?</v>
      </c>
    </row>
    <row r="2554" spans="1:4" x14ac:dyDescent="0.2">
      <c r="A2554" s="5">
        <v>2493</v>
      </c>
      <c r="B2554" s="138">
        <f>'Acct Summary 7-8'!C7</f>
        <v>543162</v>
      </c>
      <c r="C2554" s="2" t="s">
        <v>573</v>
      </c>
      <c r="D2554" s="2" t="str">
        <f t="shared" si="38"/>
        <v>Error?</v>
      </c>
    </row>
    <row r="2555" spans="1:4" x14ac:dyDescent="0.2">
      <c r="A2555" s="5">
        <v>2494</v>
      </c>
      <c r="B2555" s="138">
        <f>'Acct Summary 7-8'!C8</f>
        <v>3041312</v>
      </c>
      <c r="C2555" s="2" t="s">
        <v>573</v>
      </c>
      <c r="D2555" s="2" t="str">
        <f t="shared" si="38"/>
        <v>Error?</v>
      </c>
    </row>
    <row r="2556" spans="1:4" x14ac:dyDescent="0.2">
      <c r="A2556" s="5">
        <v>2495</v>
      </c>
      <c r="B2556" s="138">
        <f>'Acct Summary 7-8'!C12</f>
        <v>2122381</v>
      </c>
      <c r="C2556" s="2" t="s">
        <v>573</v>
      </c>
      <c r="D2556" s="2" t="str">
        <f t="shared" si="38"/>
        <v>Error?</v>
      </c>
    </row>
    <row r="2557" spans="1:4" x14ac:dyDescent="0.2">
      <c r="A2557" s="5">
        <v>2496</v>
      </c>
      <c r="B2557" s="138">
        <f>'Acct Summary 7-8'!C13</f>
        <v>953400</v>
      </c>
      <c r="C2557" s="2" t="s">
        <v>573</v>
      </c>
      <c r="D2557" s="2" t="str">
        <f t="shared" si="38"/>
        <v>Error?</v>
      </c>
    </row>
    <row r="2558" spans="1:4" x14ac:dyDescent="0.2">
      <c r="A2558" s="5">
        <v>2497</v>
      </c>
      <c r="B2558" s="138">
        <f>'Acct Summary 7-8'!C14</f>
        <v>122</v>
      </c>
      <c r="C2558" s="2" t="s">
        <v>573</v>
      </c>
      <c r="D2558" s="2" t="str">
        <f t="shared" si="38"/>
        <v>Error?</v>
      </c>
    </row>
    <row r="2559" spans="1:4" x14ac:dyDescent="0.2">
      <c r="A2559" s="5">
        <v>2498</v>
      </c>
      <c r="B2559" s="138">
        <f>'Acct Summary 7-8'!C15</f>
        <v>154440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3230343</v>
      </c>
      <c r="C2561" s="2" t="s">
        <v>573</v>
      </c>
      <c r="D2561" s="2" t="str">
        <f t="shared" si="39"/>
        <v>Error?</v>
      </c>
    </row>
    <row r="2562" spans="1:4" x14ac:dyDescent="0.2">
      <c r="A2562" s="5">
        <v>2501</v>
      </c>
      <c r="B2562" s="138">
        <f>'Acct Summary 7-8'!C20</f>
        <v>-189031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75279</v>
      </c>
      <c r="C2564" s="2" t="s">
        <v>573</v>
      </c>
      <c r="D2564" s="2" t="str">
        <f t="shared" si="39"/>
        <v>Error?</v>
      </c>
    </row>
    <row r="2565" spans="1:4" x14ac:dyDescent="0.2">
      <c r="A2565" s="10">
        <v>2504</v>
      </c>
      <c r="D2565" s="2" t="str">
        <f t="shared" si="39"/>
        <v>OK</v>
      </c>
    </row>
    <row r="2566" spans="1:4" x14ac:dyDescent="0.2">
      <c r="A2566" s="5">
        <v>2505</v>
      </c>
      <c r="B2566" s="138">
        <f>'Acct Summary 7-8'!D6</f>
        <v>103653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178932</v>
      </c>
      <c r="C2568" s="2" t="s">
        <v>573</v>
      </c>
      <c r="D2568" s="2" t="str">
        <f t="shared" si="39"/>
        <v>Error?</v>
      </c>
    </row>
    <row r="2569" spans="1:4" x14ac:dyDescent="0.2">
      <c r="A2569" s="5">
        <v>2508</v>
      </c>
      <c r="B2569" s="138">
        <f>'Acct Summary 7-8'!D13</f>
        <v>275273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275273</v>
      </c>
      <c r="C2573" s="2" t="s">
        <v>573</v>
      </c>
      <c r="D2573" s="2" t="str">
        <f t="shared" si="39"/>
        <v>Error?</v>
      </c>
    </row>
    <row r="2574" spans="1:4" x14ac:dyDescent="0.2">
      <c r="A2574" s="5">
        <v>2513</v>
      </c>
      <c r="B2574" s="138">
        <f>'Acct Summary 7-8'!D20</f>
        <v>-96341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29655</v>
      </c>
      <c r="C2591" s="2" t="s">
        <v>573</v>
      </c>
      <c r="D2591" s="2" t="str">
        <f t="shared" si="39"/>
        <v>Error?</v>
      </c>
    </row>
    <row r="2592" spans="1:4" x14ac:dyDescent="0.2">
      <c r="A2592" s="10">
        <v>2531</v>
      </c>
      <c r="D2592" s="2" t="str">
        <f t="shared" si="39"/>
        <v>OK</v>
      </c>
    </row>
    <row r="2593" spans="1:4" x14ac:dyDescent="0.2">
      <c r="A2593" s="5">
        <v>2532</v>
      </c>
      <c r="B2593" s="138">
        <f>'Acct Summary 7-8'!F6</f>
        <v>135350</v>
      </c>
      <c r="C2593" s="2" t="s">
        <v>573</v>
      </c>
      <c r="D2593" s="2" t="str">
        <f t="shared" si="39"/>
        <v>Error?</v>
      </c>
    </row>
    <row r="2594" spans="1:4" x14ac:dyDescent="0.2">
      <c r="A2594" s="5">
        <v>2533</v>
      </c>
      <c r="B2594" s="138">
        <f>'Acct Summary 7-8'!F7</f>
        <v>5208</v>
      </c>
      <c r="C2594" s="2" t="s">
        <v>573</v>
      </c>
      <c r="D2594" s="2" t="str">
        <f t="shared" si="39"/>
        <v>Error?</v>
      </c>
    </row>
    <row r="2595" spans="1:4" x14ac:dyDescent="0.2">
      <c r="A2595" s="5">
        <v>2534</v>
      </c>
      <c r="B2595" s="138">
        <f>'Acct Summary 7-8'!F8</f>
        <v>170213</v>
      </c>
      <c r="C2595" s="2" t="s">
        <v>573</v>
      </c>
      <c r="D2595" s="2" t="str">
        <f t="shared" si="39"/>
        <v>Error?</v>
      </c>
    </row>
    <row r="2596" spans="1:4" x14ac:dyDescent="0.2">
      <c r="A2596" s="5">
        <v>2535</v>
      </c>
      <c r="B2596" s="138">
        <f>'Acct Summary 7-8'!F13</f>
        <v>88532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4133</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92665</v>
      </c>
      <c r="C2600" s="2" t="s">
        <v>573</v>
      </c>
      <c r="D2600" s="2" t="str">
        <f t="shared" si="39"/>
        <v>Error?</v>
      </c>
    </row>
    <row r="2601" spans="1:4" x14ac:dyDescent="0.2">
      <c r="A2601" s="5">
        <v>2540</v>
      </c>
      <c r="B2601" s="138">
        <f>'Acct Summary 7-8'!F20</f>
        <v>77548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54660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8570</v>
      </c>
      <c r="C2605" s="2" t="s">
        <v>573</v>
      </c>
      <c r="D2605" s="2" t="str">
        <f t="shared" si="39"/>
        <v>Error?</v>
      </c>
    </row>
    <row r="2606" spans="1:4" x14ac:dyDescent="0.2">
      <c r="A2606" s="5">
        <v>2545</v>
      </c>
      <c r="B2606" s="138">
        <f>'Acct Summary 7-8'!G8</f>
        <v>63230</v>
      </c>
      <c r="C2606" s="2" t="s">
        <v>573</v>
      </c>
      <c r="D2606" s="2" t="str">
        <f t="shared" si="39"/>
        <v>Error?</v>
      </c>
    </row>
    <row r="2607" spans="1:4" x14ac:dyDescent="0.2">
      <c r="A2607" s="5">
        <v>2546</v>
      </c>
      <c r="B2607" s="138">
        <f>'Acct Summary 7-8'!G12</f>
        <v>51758</v>
      </c>
      <c r="C2607" s="2" t="s">
        <v>573</v>
      </c>
      <c r="D2607" s="2" t="str">
        <f t="shared" si="39"/>
        <v>Error?</v>
      </c>
    </row>
    <row r="2608" spans="1:4" x14ac:dyDescent="0.2">
      <c r="A2608" s="5">
        <v>2547</v>
      </c>
      <c r="B2608" s="138">
        <f>'Acct Summary 7-8'!G13</f>
        <v>52153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103911</v>
      </c>
      <c r="C2612" s="2" t="s">
        <v>573</v>
      </c>
      <c r="D2612" s="2" t="str">
        <f t="shared" si="39"/>
        <v>Error?</v>
      </c>
    </row>
    <row r="2613" spans="1:4" x14ac:dyDescent="0.2">
      <c r="A2613" s="5">
        <v>2552</v>
      </c>
      <c r="B2613" s="138">
        <f>'Acct Summary 7-8'!G20</f>
        <v>-40681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180155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180155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190910</v>
      </c>
      <c r="C2634" s="2" t="s">
        <v>573</v>
      </c>
      <c r="D2634" s="2" t="str">
        <f t="shared" si="40"/>
        <v>Error?</v>
      </c>
    </row>
    <row r="2635" spans="1:4" x14ac:dyDescent="0.2">
      <c r="A2635" s="5">
        <v>2574</v>
      </c>
      <c r="B2635" s="138">
        <f>'Acct Summary 7-8'!E17</f>
        <v>190910</v>
      </c>
      <c r="C2635" s="2" t="s">
        <v>573</v>
      </c>
      <c r="D2635" s="2" t="str">
        <f t="shared" si="40"/>
        <v>Error?</v>
      </c>
    </row>
    <row r="2636" spans="1:4" x14ac:dyDescent="0.2">
      <c r="A2636" s="5">
        <v>2575</v>
      </c>
      <c r="B2636" s="138">
        <f>'Acct Summary 7-8'!E20</f>
        <v>-10755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147655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147655</v>
      </c>
      <c r="C2658" s="2" t="s">
        <v>573</v>
      </c>
      <c r="D2658" s="2" t="str">
        <f t="shared" si="40"/>
        <v>Error?</v>
      </c>
    </row>
    <row r="2659" spans="1:4" x14ac:dyDescent="0.2">
      <c r="A2659" s="5">
        <v>2598</v>
      </c>
      <c r="B2659" s="138">
        <f>'Acct Summary 7-8'!H13</f>
        <v>120049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120049</v>
      </c>
      <c r="C2661" s="2" t="s">
        <v>573</v>
      </c>
      <c r="D2661" s="2" t="str">
        <f t="shared" si="40"/>
        <v>Error?</v>
      </c>
    </row>
    <row r="2662" spans="1:4" x14ac:dyDescent="0.2">
      <c r="A2662" s="5">
        <v>2601</v>
      </c>
      <c r="B2662" s="138">
        <f>'Acct Summary 7-8'!H20</f>
        <v>27606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58388</v>
      </c>
      <c r="C2789" s="2" t="s">
        <v>573</v>
      </c>
      <c r="D2789" s="2" t="str">
        <f t="shared" si="42"/>
        <v>Error?</v>
      </c>
    </row>
    <row r="2790" spans="1:4" x14ac:dyDescent="0.2">
      <c r="A2790" s="5">
        <v>2729</v>
      </c>
      <c r="B2790" s="138">
        <f>'Expenditures 15-22'!E102</f>
        <v>58388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4133</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4133</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26349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36086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18228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36086</v>
      </c>
      <c r="D2912" s="2" t="str">
        <f t="shared" si="44"/>
        <v>Error?</v>
      </c>
    </row>
    <row r="2913" spans="1:4" x14ac:dyDescent="0.2">
      <c r="A2913" s="5">
        <v>2852</v>
      </c>
      <c r="B2913" s="138">
        <f>'Assets-Liab 5-6'!I41</f>
        <v>36086</v>
      </c>
      <c r="C2913" s="2" t="s">
        <v>573</v>
      </c>
      <c r="D2913" s="2" t="str">
        <f t="shared" si="44"/>
        <v>Error?</v>
      </c>
    </row>
    <row r="2914" spans="1:4" x14ac:dyDescent="0.2">
      <c r="A2914" s="5">
        <v>2853</v>
      </c>
      <c r="B2914" s="138">
        <f>'Assets-Liab 5-6'!L33</f>
        <v>9465</v>
      </c>
      <c r="D2914" s="2" t="str">
        <f t="shared" si="44"/>
        <v>Error?</v>
      </c>
    </row>
    <row r="2915" spans="1:4" x14ac:dyDescent="0.2">
      <c r="A2915" s="10">
        <v>2854</v>
      </c>
      <c r="D2915" s="2" t="str">
        <f t="shared" si="44"/>
        <v>OK</v>
      </c>
    </row>
    <row r="2916" spans="1:4" x14ac:dyDescent="0.2">
      <c r="A2916" s="5">
        <v>2855</v>
      </c>
      <c r="B2916" s="138">
        <f>'Assets-Liab 5-6'!L34</f>
        <v>9465</v>
      </c>
      <c r="C2916" s="2" t="s">
        <v>573</v>
      </c>
      <c r="D2916" s="2" t="str">
        <f t="shared" si="44"/>
        <v>Error?</v>
      </c>
    </row>
    <row r="2917" spans="1:4" x14ac:dyDescent="0.2">
      <c r="A2917" s="5">
        <v>2856</v>
      </c>
      <c r="B2917" s="138">
        <f>'Assets-Liab 5-6'!L41</f>
        <v>18228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2904</v>
      </c>
      <c r="D2949" s="2" t="str">
        <f t="shared" si="45"/>
        <v>Error?</v>
      </c>
    </row>
    <row r="2950" spans="1:4" x14ac:dyDescent="0.2">
      <c r="A2950" s="5">
        <v>2889</v>
      </c>
      <c r="B2950" s="138">
        <f>'Expenditures 15-22'!E79</f>
        <v>55484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51839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2904</v>
      </c>
      <c r="C2973" s="2" t="s">
        <v>573</v>
      </c>
      <c r="D2973" s="2" t="str">
        <f t="shared" si="45"/>
        <v>Error?</v>
      </c>
    </row>
    <row r="2974" spans="1:4" x14ac:dyDescent="0.2">
      <c r="A2974" s="5">
        <v>2913</v>
      </c>
      <c r="B2974" s="138">
        <f>'Expenditures 15-22'!K79</f>
        <v>107323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4133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4133</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187898</v>
      </c>
      <c r="D3055" s="2" t="str">
        <f t="shared" si="46"/>
        <v>Error?</v>
      </c>
    </row>
    <row r="3056" spans="1:4" x14ac:dyDescent="0.2">
      <c r="A3056" s="5">
        <v>2995</v>
      </c>
      <c r="B3056" s="138">
        <f>'Expenditures 15-22'!D10</f>
        <v>23593</v>
      </c>
      <c r="D3056" s="2" t="str">
        <f t="shared" si="46"/>
        <v>Error?</v>
      </c>
    </row>
    <row r="3057" spans="1:4" x14ac:dyDescent="0.2">
      <c r="A3057" s="5">
        <v>2996</v>
      </c>
      <c r="B3057" s="138">
        <f>'Expenditures 15-22'!E10</f>
        <v>583</v>
      </c>
      <c r="D3057" s="2" t="str">
        <f t="shared" si="46"/>
        <v>Error?</v>
      </c>
    </row>
    <row r="3058" spans="1:4" x14ac:dyDescent="0.2">
      <c r="A3058" s="5">
        <v>2997</v>
      </c>
      <c r="B3058" s="138">
        <f>'Expenditures 15-22'!F10</f>
        <v>1269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213343</v>
      </c>
      <c r="C3062" s="2" t="s">
        <v>573</v>
      </c>
      <c r="D3062" s="2" t="str">
        <f t="shared" si="46"/>
        <v>Error?</v>
      </c>
    </row>
    <row r="3063" spans="1:4" x14ac:dyDescent="0.2">
      <c r="A3063" s="10">
        <v>3002</v>
      </c>
      <c r="D3063" s="2" t="str">
        <f t="shared" si="46"/>
        <v>OK</v>
      </c>
    </row>
    <row r="3064" spans="1:4" x14ac:dyDescent="0.2">
      <c r="A3064" s="5">
        <v>3003</v>
      </c>
      <c r="B3064" s="138">
        <f>'Expenditures 15-22'!D219</f>
        <v>17618</v>
      </c>
      <c r="D3064" s="2" t="str">
        <f t="shared" si="46"/>
        <v>Error?</v>
      </c>
    </row>
    <row r="3065" spans="1:4" x14ac:dyDescent="0.2">
      <c r="A3065" s="5">
        <v>3004</v>
      </c>
      <c r="B3065" s="138">
        <f>'Expenditures 15-22'!K219</f>
        <v>17618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8763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596</v>
      </c>
      <c r="C3225" s="2" t="s">
        <v>573</v>
      </c>
      <c r="D3225" s="2" t="str">
        <f t="shared" si="49"/>
        <v>Error?</v>
      </c>
    </row>
    <row r="3226" spans="1:4" x14ac:dyDescent="0.2">
      <c r="A3226" s="5">
        <v>3165</v>
      </c>
      <c r="B3226" s="138">
        <f>'Acct Summary 7-8'!I8</f>
        <v>596</v>
      </c>
      <c r="C3226" s="2" t="s">
        <v>573</v>
      </c>
      <c r="D3226" s="2" t="str">
        <f t="shared" si="49"/>
        <v>Error?</v>
      </c>
    </row>
    <row r="3227" spans="1:4" x14ac:dyDescent="0.2">
      <c r="A3227" s="5">
        <v>3166</v>
      </c>
      <c r="B3227" s="138">
        <f>'Acct Summary 7-8'!I20</f>
        <v>596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-189031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36000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36000</v>
      </c>
      <c r="C3238" s="2" t="s">
        <v>573</v>
      </c>
      <c r="D3238" s="2" t="str">
        <f t="shared" si="49"/>
        <v>Error?</v>
      </c>
    </row>
    <row r="3239" spans="1:4" x14ac:dyDescent="0.2">
      <c r="A3239" s="5">
        <v>3178</v>
      </c>
      <c r="B3239" s="138">
        <f>'Acct Summary 7-8'!D78</f>
        <v>-60341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36000</v>
      </c>
      <c r="C3254" s="2" t="s">
        <v>573</v>
      </c>
      <c r="D3254" s="2" t="str">
        <f t="shared" si="49"/>
        <v>Error?</v>
      </c>
    </row>
    <row r="3255" spans="1:4" x14ac:dyDescent="0.2">
      <c r="A3255" s="5">
        <v>3194</v>
      </c>
      <c r="B3255" s="138">
        <f>'Acct Summary 7-8'!F77</f>
        <v>-36000</v>
      </c>
      <c r="C3255" s="2" t="s">
        <v>573</v>
      </c>
      <c r="D3255" s="2" t="str">
        <f t="shared" si="49"/>
        <v>Error?</v>
      </c>
    </row>
    <row r="3256" spans="1:4" x14ac:dyDescent="0.2">
      <c r="A3256" s="5">
        <v>3195</v>
      </c>
      <c r="B3256" s="138">
        <f>'Acct Summary 7-8'!F78</f>
        <v>41548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-40681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-10755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27606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596</v>
      </c>
      <c r="C3320" s="2" t="s">
        <v>573</v>
      </c>
      <c r="D3320" s="2" t="str">
        <f t="shared" si="50"/>
        <v>Error?</v>
      </c>
    </row>
    <row r="3321" spans="1:4" x14ac:dyDescent="0.2">
      <c r="A3321" s="5">
        <v>3260</v>
      </c>
      <c r="B3321" s="138">
        <f>'Acct Summary 7-8'!I79</f>
        <v>35490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36086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244168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43187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287518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16276</v>
      </c>
      <c r="D3387" s="2" t="str">
        <f t="shared" si="51"/>
        <v>Error?</v>
      </c>
    </row>
    <row r="3388" spans="1:4" x14ac:dyDescent="0.2">
      <c r="A3388" s="5">
        <v>3327</v>
      </c>
      <c r="B3388" s="138">
        <f>'Expenditures 15-22'!D217</f>
        <v>9608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16276</v>
      </c>
      <c r="C3390" s="2" t="s">
        <v>573</v>
      </c>
      <c r="D3390" s="2" t="str">
        <f t="shared" si="51"/>
        <v>Error?</v>
      </c>
    </row>
    <row r="3391" spans="1:4" x14ac:dyDescent="0.2">
      <c r="A3391" s="5">
        <v>3330</v>
      </c>
      <c r="B3391" s="138">
        <f>'Expenditures 15-22'!K217</f>
        <v>9608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132847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61929</v>
      </c>
      <c r="D3417" s="2" t="str">
        <f t="shared" si="52"/>
        <v>Error?</v>
      </c>
    </row>
    <row r="3418" spans="1:4" x14ac:dyDescent="0.2">
      <c r="A3418" s="10">
        <v>3357</v>
      </c>
      <c r="D3418" s="2" t="str">
        <f t="shared" si="52"/>
        <v>OK</v>
      </c>
    </row>
    <row r="3419" spans="1:4" x14ac:dyDescent="0.2">
      <c r="A3419" s="5">
        <v>3358</v>
      </c>
      <c r="B3419" s="138">
        <f>'Assets-Liab 5-6'!F4</f>
        <v>122554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92357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49768</v>
      </c>
      <c r="D3425" s="2" t="str">
        <f t="shared" si="52"/>
        <v>Error?</v>
      </c>
    </row>
    <row r="3426" spans="1:4" x14ac:dyDescent="0.2">
      <c r="A3426" s="10">
        <v>3365</v>
      </c>
      <c r="D3426" s="2" t="str">
        <f t="shared" si="52"/>
        <v>OK</v>
      </c>
    </row>
    <row r="3427" spans="1:4" x14ac:dyDescent="0.2">
      <c r="A3427" s="5">
        <v>3366</v>
      </c>
      <c r="B3427" s="138">
        <f>'Assets-Liab 5-6'!I4</f>
        <v>9737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12153</v>
      </c>
      <c r="C3446" s="2" t="s">
        <v>573</v>
      </c>
      <c r="D3446" s="2" t="str">
        <f t="shared" si="52"/>
        <v>Error?</v>
      </c>
    </row>
    <row r="3447" spans="1:4" x14ac:dyDescent="0.2">
      <c r="A3447" s="5">
        <v>3386</v>
      </c>
      <c r="B3447" s="138">
        <f>'Tax Sched 23'!D16</f>
        <v>8538</v>
      </c>
      <c r="C3447" s="2" t="s">
        <v>573</v>
      </c>
      <c r="D3447" s="2" t="str">
        <f t="shared" si="52"/>
        <v>Error?</v>
      </c>
    </row>
    <row r="3448" spans="1:4" x14ac:dyDescent="0.2">
      <c r="A3448" s="5">
        <v>3387</v>
      </c>
      <c r="B3448" s="138">
        <f>'Tax Sched 23'!C16</f>
        <v>3615</v>
      </c>
      <c r="D3448" s="2" t="str">
        <f t="shared" si="52"/>
        <v>Error?</v>
      </c>
    </row>
    <row r="3449" spans="1:4" x14ac:dyDescent="0.2">
      <c r="A3449" s="5">
        <v>3388</v>
      </c>
      <c r="B3449" s="138">
        <f>'Tax Sched 23'!F16</f>
        <v>9376</v>
      </c>
      <c r="C3449" s="2" t="s">
        <v>573</v>
      </c>
      <c r="D3449" s="2" t="str">
        <f t="shared" si="52"/>
        <v>Error?</v>
      </c>
    </row>
    <row r="3450" spans="1:4" x14ac:dyDescent="0.2">
      <c r="A3450" s="5">
        <v>3389</v>
      </c>
      <c r="B3450" s="138">
        <f>'Tax Sched 23'!E16</f>
        <v>12991</v>
      </c>
      <c r="D3450" s="2" t="str">
        <f t="shared" si="52"/>
        <v>Error?</v>
      </c>
    </row>
    <row r="3451" spans="1:4" x14ac:dyDescent="0.2">
      <c r="A3451" s="5">
        <v>3390</v>
      </c>
      <c r="B3451" s="138">
        <f>'Cap Outlay Deprec 26'!C15</f>
        <v>9800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9800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9800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9484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9744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9744</v>
      </c>
      <c r="D3567" s="2" t="str">
        <f t="shared" si="54"/>
        <v>Error?</v>
      </c>
    </row>
    <row r="3568" spans="1:4" x14ac:dyDescent="0.2">
      <c r="A3568" s="5">
        <v>3507</v>
      </c>
      <c r="B3568" s="138">
        <f>'Assets-Liab 5-6'!K41</f>
        <v>9744</v>
      </c>
      <c r="C3568" s="2" t="s">
        <v>573</v>
      </c>
      <c r="D3568" s="2" t="str">
        <f t="shared" si="54"/>
        <v>Error?</v>
      </c>
    </row>
    <row r="3569" spans="1:4" x14ac:dyDescent="0.2">
      <c r="A3569" s="5">
        <v>3508</v>
      </c>
      <c r="B3569" s="138">
        <f>'Acct Summary 7-8'!K4</f>
        <v>596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596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596</v>
      </c>
      <c r="C3588" s="2" t="s">
        <v>573</v>
      </c>
      <c r="D3588" s="2" t="str">
        <f t="shared" si="55"/>
        <v>Error?</v>
      </c>
    </row>
    <row r="3589" spans="1:4" x14ac:dyDescent="0.2">
      <c r="A3589" s="5">
        <v>3528</v>
      </c>
      <c r="B3589" s="138">
        <f>'Acct Summary 7-8'!K79</f>
        <v>9148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9744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96192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1177544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4218856</v>
      </c>
      <c r="C4122" s="2" t="s">
        <v>573</v>
      </c>
      <c r="D4122" s="2" t="str">
        <f t="shared" si="63"/>
        <v>Error?</v>
      </c>
    </row>
    <row r="4123" spans="1:4" x14ac:dyDescent="0.2">
      <c r="A4123" s="5">
        <v>4062</v>
      </c>
      <c r="B4123" s="138">
        <f>'Acct Summary 7-8'!D10</f>
        <v>178932</v>
      </c>
      <c r="C4123" s="2" t="s">
        <v>573</v>
      </c>
      <c r="D4123" s="2" t="str">
        <f t="shared" si="63"/>
        <v>Error?</v>
      </c>
    </row>
    <row r="4124" spans="1:4" x14ac:dyDescent="0.2">
      <c r="A4124" s="5">
        <v>4063</v>
      </c>
      <c r="B4124" s="138">
        <f>'Acct Summary 7-8'!E10</f>
        <v>180155</v>
      </c>
      <c r="C4124" s="2" t="s">
        <v>573</v>
      </c>
      <c r="D4124" s="2" t="str">
        <f t="shared" si="63"/>
        <v>Error?</v>
      </c>
    </row>
    <row r="4125" spans="1:4" x14ac:dyDescent="0.2">
      <c r="A4125" s="5">
        <v>4064</v>
      </c>
      <c r="B4125" s="138">
        <f>'Acct Summary 7-8'!F10</f>
        <v>170213</v>
      </c>
      <c r="C4125" s="2" t="s">
        <v>573</v>
      </c>
      <c r="D4125" s="2" t="str">
        <f t="shared" si="63"/>
        <v>Error?</v>
      </c>
    </row>
    <row r="4126" spans="1:4" x14ac:dyDescent="0.2">
      <c r="A4126" s="5">
        <v>4065</v>
      </c>
      <c r="B4126" s="138">
        <f>'Acct Summary 7-8'!G10</f>
        <v>63230</v>
      </c>
      <c r="C4126" s="2" t="s">
        <v>573</v>
      </c>
      <c r="D4126" s="2" t="str">
        <f t="shared" si="63"/>
        <v>Error?</v>
      </c>
    </row>
    <row r="4127" spans="1:4" x14ac:dyDescent="0.2">
      <c r="A4127" s="5">
        <v>4066</v>
      </c>
      <c r="B4127" s="138">
        <f>'Acct Summary 7-8'!H10</f>
        <v>147655</v>
      </c>
      <c r="C4127" s="2" t="s">
        <v>573</v>
      </c>
      <c r="D4127" s="2" t="str">
        <f t="shared" si="63"/>
        <v>Error?</v>
      </c>
    </row>
    <row r="4128" spans="1:4" x14ac:dyDescent="0.2">
      <c r="A4128" s="5">
        <v>4067</v>
      </c>
      <c r="B4128" s="138">
        <f>'Acct Summary 7-8'!I10</f>
        <v>596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596</v>
      </c>
      <c r="C4130" s="2" t="s">
        <v>573</v>
      </c>
      <c r="D4130" s="2" t="str">
        <f t="shared" si="63"/>
        <v>Error?</v>
      </c>
    </row>
    <row r="4131" spans="1:4" x14ac:dyDescent="0.2">
      <c r="A4131" s="5">
        <v>4070</v>
      </c>
      <c r="B4131" s="138">
        <f>'Acct Summary 7-8'!C18</f>
        <v>1177544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4407887</v>
      </c>
      <c r="C4136" s="2" t="s">
        <v>573</v>
      </c>
      <c r="D4136" s="2" t="str">
        <f t="shared" si="63"/>
        <v>Error?</v>
      </c>
    </row>
    <row r="4137" spans="1:4" x14ac:dyDescent="0.2">
      <c r="A4137" s="5">
        <v>4076</v>
      </c>
      <c r="B4137" s="138">
        <f>'Acct Summary 7-8'!D19</f>
        <v>275273</v>
      </c>
      <c r="C4137" s="2" t="s">
        <v>573</v>
      </c>
      <c r="D4137" s="2" t="str">
        <f t="shared" si="63"/>
        <v>Error?</v>
      </c>
    </row>
    <row r="4138" spans="1:4" x14ac:dyDescent="0.2">
      <c r="A4138" s="5">
        <v>4077</v>
      </c>
      <c r="B4138" s="138">
        <f>'Acct Summary 7-8'!E19</f>
        <v>190910</v>
      </c>
      <c r="C4138" s="2" t="s">
        <v>573</v>
      </c>
      <c r="D4138" s="2" t="str">
        <f t="shared" si="63"/>
        <v>Error?</v>
      </c>
    </row>
    <row r="4139" spans="1:4" x14ac:dyDescent="0.2">
      <c r="A4139" s="5">
        <v>4078</v>
      </c>
      <c r="B4139" s="138">
        <f>'Acct Summary 7-8'!F19</f>
        <v>92665</v>
      </c>
      <c r="C4139" s="2" t="s">
        <v>573</v>
      </c>
      <c r="D4139" s="2" t="str">
        <f t="shared" si="63"/>
        <v>Error?</v>
      </c>
    </row>
    <row r="4140" spans="1:4" x14ac:dyDescent="0.2">
      <c r="A4140" s="5">
        <v>4079</v>
      </c>
      <c r="B4140" s="138">
        <f>'Acct Summary 7-8'!G19</f>
        <v>103911</v>
      </c>
      <c r="C4140" s="2" t="s">
        <v>573</v>
      </c>
      <c r="D4140" s="2" t="str">
        <f t="shared" si="63"/>
        <v>Error?</v>
      </c>
    </row>
    <row r="4141" spans="1:4" x14ac:dyDescent="0.2">
      <c r="A4141" s="5">
        <v>4080</v>
      </c>
      <c r="B4141" s="138">
        <f>'Acct Summary 7-8'!H19</f>
        <v>120049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220259</v>
      </c>
      <c r="C4171" s="2" t="s">
        <v>573</v>
      </c>
      <c r="D4171" s="2" t="str">
        <f t="shared" si="64"/>
        <v>Error?</v>
      </c>
    </row>
    <row r="4172" spans="1:4" x14ac:dyDescent="0.2">
      <c r="A4172" s="5">
        <v>4111</v>
      </c>
      <c r="B4172" s="138">
        <f>'Short-Term Long-Term Debt 24'!J49</f>
        <v>158330</v>
      </c>
      <c r="C4172" s="2" t="s">
        <v>573</v>
      </c>
      <c r="D4172" s="2" t="str">
        <f t="shared" si="64"/>
        <v>Error?</v>
      </c>
    </row>
    <row r="4173" spans="1:4" x14ac:dyDescent="0.2">
      <c r="A4173" s="5">
        <v>4112</v>
      </c>
      <c r="B4173" s="138">
        <f>'Short-Term Long-Term Debt 24'!H49</f>
        <v>180000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-71217</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1815</v>
      </c>
      <c r="C4265" s="2" t="s">
        <v>573</v>
      </c>
      <c r="D4265" s="2" t="str">
        <f t="shared" si="65"/>
        <v>Error?</v>
      </c>
      <c r="E4265" s="128"/>
    </row>
    <row r="4266" spans="1:5" x14ac:dyDescent="0.2">
      <c r="A4266" s="12">
        <v>4205</v>
      </c>
      <c r="B4266" s="138">
        <f>('FP Info 3'!F10)*100000</f>
        <v>260.39999999999998</v>
      </c>
      <c r="C4266" s="2" t="s">
        <v>573</v>
      </c>
      <c r="D4266" s="2" t="str">
        <f t="shared" si="65"/>
        <v>Error?</v>
      </c>
      <c r="E4266" s="128"/>
    </row>
    <row r="4267" spans="1:5" x14ac:dyDescent="0.2">
      <c r="A4267" s="12">
        <v>4206</v>
      </c>
      <c r="B4267" s="138">
        <f>('FP Info 3'!H10)*100000</f>
        <v>111.60000000000001</v>
      </c>
      <c r="C4267" s="2" t="s">
        <v>573</v>
      </c>
      <c r="D4267" s="2" t="str">
        <f t="shared" si="65"/>
        <v>Error?</v>
      </c>
      <c r="E4267" s="128"/>
    </row>
    <row r="4268" spans="1:5" x14ac:dyDescent="0.2">
      <c r="A4268" s="12">
        <v>4207</v>
      </c>
      <c r="B4268" s="138">
        <f>('FP Info 3'!J10)*100000</f>
        <v>2187</v>
      </c>
      <c r="C4268" s="2" t="s">
        <v>573</v>
      </c>
      <c r="D4268" s="2" t="str">
        <f t="shared" si="65"/>
        <v>Error?</v>
      </c>
    </row>
    <row r="4269" spans="1:5" x14ac:dyDescent="0.2">
      <c r="A4269" s="12">
        <v>4208</v>
      </c>
      <c r="B4269" s="138">
        <f>'FP Info 3'!J16</f>
        <v>730670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8897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26739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5056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27758630</v>
      </c>
      <c r="D4995" s="2" t="str">
        <f t="shared" si="77"/>
        <v>Error?</v>
      </c>
    </row>
    <row r="4996" spans="1:4" x14ac:dyDescent="0.2">
      <c r="A4996" s="12">
        <v>4935</v>
      </c>
      <c r="B4996" s="138">
        <f>'FP Info 3'!H31</f>
        <v>1915345.4700000002</v>
      </c>
      <c r="D4996" s="2" t="str">
        <f t="shared" si="77"/>
        <v>Error?</v>
      </c>
    </row>
    <row r="4997" spans="1:4" x14ac:dyDescent="0.2">
      <c r="A4997" s="12">
        <v>4936</v>
      </c>
      <c r="B4997" s="138">
        <f>'FP Info 3'!H37</f>
        <v>220259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36000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36000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472570</v>
      </c>
      <c r="D5061" s="2" t="str">
        <f t="shared" si="78"/>
        <v>Error?</v>
      </c>
    </row>
    <row r="5062" spans="1:4" x14ac:dyDescent="0.2">
      <c r="A5062" s="10">
        <v>5001</v>
      </c>
      <c r="D5062" s="2" t="str">
        <f t="shared" si="78"/>
        <v>OK</v>
      </c>
    </row>
    <row r="5063" spans="1:4" x14ac:dyDescent="0.2">
      <c r="A5063" s="5">
        <v>5002</v>
      </c>
      <c r="B5063" s="138">
        <f>'Revenues 9-14'!C7</f>
        <v>3436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476006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63424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63424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3459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3459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2917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2917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1825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1825</v>
      </c>
      <c r="C5112" s="2" t="s">
        <v>573</v>
      </c>
      <c r="D5112" s="2" t="str">
        <f t="shared" si="78"/>
        <v>Error?</v>
      </c>
    </row>
    <row r="5113" spans="1:4" x14ac:dyDescent="0.2">
      <c r="A5113" s="5">
        <v>5052</v>
      </c>
      <c r="B5113" s="138">
        <f>'Revenues 9-14'!C95</f>
        <v>3043</v>
      </c>
      <c r="D5113" s="2" t="str">
        <f t="shared" si="78"/>
        <v>Error?</v>
      </c>
    </row>
    <row r="5114" spans="1:4" x14ac:dyDescent="0.2">
      <c r="A5114" s="5">
        <v>5053</v>
      </c>
      <c r="B5114" s="138">
        <f>'Revenues 9-14'!C96</f>
        <v>650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9081</v>
      </c>
      <c r="D5119" s="2" t="str">
        <f t="shared" ref="D5119:D5182" si="79">IF(ISBLANK(B5119),"OK",IF(A5119-B5119=0,"OK","Error?"))</f>
        <v>Error?</v>
      </c>
    </row>
    <row r="5120" spans="1:4" x14ac:dyDescent="0.2">
      <c r="A5120" s="5">
        <v>5059</v>
      </c>
      <c r="B5120" s="138">
        <f>'Revenues 9-14'!C108</f>
        <v>12774</v>
      </c>
      <c r="C5120" s="2" t="s">
        <v>573</v>
      </c>
      <c r="D5120" s="2" t="str">
        <f t="shared" si="79"/>
        <v>Error?</v>
      </c>
    </row>
    <row r="5121" spans="1:4" x14ac:dyDescent="0.2">
      <c r="A5121" s="5">
        <v>5060</v>
      </c>
      <c r="B5121" s="138">
        <f>'Revenues 9-14'!C109</f>
        <v>560405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1907382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1907382</v>
      </c>
      <c r="C5132" s="2" t="s">
        <v>573</v>
      </c>
      <c r="D5132" s="2" t="str">
        <f t="shared" si="79"/>
        <v>Error?</v>
      </c>
    </row>
    <row r="5133" spans="1:4" x14ac:dyDescent="0.2">
      <c r="A5133" s="5">
        <v>5072</v>
      </c>
      <c r="B5133" s="138">
        <f>'Revenues 9-14'!C125</f>
        <v>23948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2733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26681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3682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30363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1937745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127423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55614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183037</v>
      </c>
      <c r="C5246" s="2" t="s">
        <v>573</v>
      </c>
      <c r="D5246" s="2" t="str">
        <f t="shared" si="80"/>
        <v>Error?</v>
      </c>
    </row>
    <row r="5247" spans="1:4" x14ac:dyDescent="0.2">
      <c r="A5247" s="5">
        <v>5186</v>
      </c>
      <c r="B5247" s="138">
        <f>'Revenues 9-14'!C200</f>
        <v>186704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186704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112729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112729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543162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543162</v>
      </c>
      <c r="C5326" s="2" t="s">
        <v>573</v>
      </c>
      <c r="D5326" s="2" t="str">
        <f t="shared" si="82"/>
        <v>Error?</v>
      </c>
    </row>
    <row r="5327" spans="1:5" x14ac:dyDescent="0.2">
      <c r="A5327" s="5">
        <v>5266</v>
      </c>
      <c r="B5327" s="138">
        <f>'Revenues 9-14'!C268</f>
        <v>3041312</v>
      </c>
      <c r="C5327" s="2" t="s">
        <v>573</v>
      </c>
      <c r="D5327" s="2" t="str">
        <f t="shared" si="82"/>
        <v>Error?</v>
      </c>
    </row>
    <row r="5328" spans="1:5" x14ac:dyDescent="0.2">
      <c r="A5328" s="5">
        <v>5267</v>
      </c>
      <c r="B5328" s="138">
        <f>'Revenues 9-14'!D5</f>
        <v>71270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71270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770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3239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3239</v>
      </c>
      <c r="C5355" s="2" t="s">
        <v>573</v>
      </c>
      <c r="D5355" s="2" t="str">
        <f t="shared" si="82"/>
        <v>Error?</v>
      </c>
    </row>
    <row r="5356" spans="1:4" x14ac:dyDescent="0.2">
      <c r="A5356" s="5">
        <v>5295</v>
      </c>
      <c r="B5356" s="138">
        <f>'Revenues 9-14'!D109</f>
        <v>75279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103653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103653</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103653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178932</v>
      </c>
      <c r="C5508" s="2" t="s">
        <v>573</v>
      </c>
      <c r="D5508" s="2" t="str">
        <f t="shared" si="85"/>
        <v>Error?</v>
      </c>
    </row>
    <row r="5509" spans="1:4" x14ac:dyDescent="0.2">
      <c r="A5509" s="5">
        <v>5448</v>
      </c>
      <c r="B5509" s="138">
        <f>'Revenues 9-14'!E5</f>
        <v>179352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179352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180155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180155</v>
      </c>
      <c r="C5552" s="2" t="s">
        <v>573</v>
      </c>
      <c r="D5552" s="2" t="str">
        <f t="shared" si="85"/>
        <v>Error?</v>
      </c>
    </row>
    <row r="5553" spans="1:4" x14ac:dyDescent="0.2">
      <c r="A5553" s="5">
        <v>5492</v>
      </c>
      <c r="B5553" s="138">
        <f>'Revenues 9-14'!F5</f>
        <v>29098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29098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29655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62192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62192</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48323</v>
      </c>
      <c r="D5615" s="2" t="str">
        <f t="shared" si="86"/>
        <v>Error?</v>
      </c>
    </row>
    <row r="5616" spans="1:4" x14ac:dyDescent="0.2">
      <c r="A5616" s="10">
        <v>5555</v>
      </c>
      <c r="D5616" s="2" t="str">
        <f t="shared" si="86"/>
        <v>OK</v>
      </c>
    </row>
    <row r="5617" spans="1:5" x14ac:dyDescent="0.2">
      <c r="A5617" s="5">
        <v>5556</v>
      </c>
      <c r="B5617" s="138">
        <f>'Revenues 9-14'!F153</f>
        <v>24835</v>
      </c>
      <c r="D5617" s="2" t="str">
        <f t="shared" si="86"/>
        <v>Error?</v>
      </c>
    </row>
    <row r="5618" spans="1:5" x14ac:dyDescent="0.2">
      <c r="A5618" s="5">
        <v>5557</v>
      </c>
      <c r="B5618" s="138">
        <f>'Revenues 9-14'!F155</f>
        <v>73158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73158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135350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5208</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5208</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5208</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5208</v>
      </c>
      <c r="C5719" s="2" t="s">
        <v>573</v>
      </c>
      <c r="D5719" s="2" t="str">
        <f t="shared" si="88"/>
        <v>Error?</v>
      </c>
    </row>
    <row r="5720" spans="1:4" x14ac:dyDescent="0.2">
      <c r="A5720" s="5">
        <v>5659</v>
      </c>
      <c r="B5720" s="138">
        <f>'Revenues 9-14'!F268</f>
        <v>170213</v>
      </c>
      <c r="C5720" s="2" t="s">
        <v>573</v>
      </c>
      <c r="D5720" s="2" t="str">
        <f t="shared" si="88"/>
        <v>Error?</v>
      </c>
    </row>
    <row r="5721" spans="1:4" x14ac:dyDescent="0.2">
      <c r="A5721" s="5">
        <v>5660</v>
      </c>
      <c r="B5721" s="138">
        <f>'Revenues 9-14'!G5</f>
        <v>24260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12153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36413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17450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17450</v>
      </c>
      <c r="C5730" s="2" t="s">
        <v>573</v>
      </c>
      <c r="D5730" s="2" t="str">
        <f t="shared" si="88"/>
        <v>Error?</v>
      </c>
    </row>
    <row r="5731" spans="1:4" x14ac:dyDescent="0.2">
      <c r="A5731" s="5">
        <v>5670</v>
      </c>
      <c r="B5731" s="138">
        <f>'Revenues 9-14'!G65</f>
        <v>797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8053</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8053</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517</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517</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8570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8570</v>
      </c>
      <c r="C5869" s="2" t="s">
        <v>573</v>
      </c>
      <c r="D5869" s="2" t="str">
        <f t="shared" si="90"/>
        <v>Error?</v>
      </c>
    </row>
    <row r="5870" spans="1:4" x14ac:dyDescent="0.2">
      <c r="A5870" s="5">
        <v>5809</v>
      </c>
      <c r="B5870" s="138">
        <f>'Revenues 9-14'!G268</f>
        <v>63230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147655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147655</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596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596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596</v>
      </c>
      <c r="C6023" s="2" t="s">
        <v>573</v>
      </c>
      <c r="D6023" s="2" t="str">
        <f t="shared" si="93"/>
        <v>Error?</v>
      </c>
    </row>
    <row r="6024" spans="1:5" x14ac:dyDescent="0.2">
      <c r="A6024" s="5">
        <v>5963</v>
      </c>
      <c r="B6024" s="138">
        <f>'Revenues 9-14'!G109</f>
        <v>54660</v>
      </c>
      <c r="C6024" s="2" t="s">
        <v>573</v>
      </c>
      <c r="D6024" s="2" t="str">
        <f t="shared" si="93"/>
        <v>Error?</v>
      </c>
    </row>
    <row r="6025" spans="1:5" x14ac:dyDescent="0.2">
      <c r="A6025" s="5">
        <v>5964</v>
      </c>
      <c r="B6025" s="138">
        <f>'Revenues 9-14'!H109</f>
        <v>147655</v>
      </c>
      <c r="C6025" s="2" t="s">
        <v>573</v>
      </c>
      <c r="D6025" s="2" t="str">
        <f t="shared" si="93"/>
        <v>Error?</v>
      </c>
    </row>
    <row r="6026" spans="1:5" x14ac:dyDescent="0.2">
      <c r="A6026" s="5">
        <v>5965</v>
      </c>
      <c r="B6026" s="138">
        <f>'Revenues 9-14'!I109</f>
        <v>596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13842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258.89999999999998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24097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24097</v>
      </c>
      <c r="D6215" s="2" t="str">
        <f t="shared" si="96"/>
        <v>Error?</v>
      </c>
      <c r="E6215" s="2" t="s">
        <v>190</v>
      </c>
    </row>
    <row r="6216" spans="1:5" x14ac:dyDescent="0.2">
      <c r="A6216">
        <v>6155</v>
      </c>
      <c r="B6216" s="138">
        <f>'Assets-Liab 5-6'!J41</f>
        <v>24097</v>
      </c>
      <c r="D6216" s="2" t="str">
        <f t="shared" si="96"/>
        <v>Error?</v>
      </c>
      <c r="E6216" s="2" t="s">
        <v>190</v>
      </c>
    </row>
    <row r="6217" spans="1:5" x14ac:dyDescent="0.2">
      <c r="A6217">
        <v>6156</v>
      </c>
      <c r="B6217" s="138">
        <f>'Assets-Liab 5-6'!J4</f>
        <v>24097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8311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8311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8311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36124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36124</v>
      </c>
      <c r="D6229" s="2" t="str">
        <f t="shared" si="96"/>
        <v>Error?</v>
      </c>
      <c r="E6229" s="2" t="s">
        <v>190</v>
      </c>
    </row>
    <row r="6230" spans="1:5" x14ac:dyDescent="0.2">
      <c r="A6230">
        <v>6169</v>
      </c>
      <c r="B6230" s="138">
        <f>'Acct Summary 7-8'!J20</f>
        <v>-27813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-27813</v>
      </c>
      <c r="D6263" s="2" t="str">
        <f t="shared" si="96"/>
        <v>Error?</v>
      </c>
      <c r="E6263" s="2" t="s">
        <v>190</v>
      </c>
    </row>
    <row r="6264" spans="1:5" x14ac:dyDescent="0.2">
      <c r="A6264">
        <v>6203</v>
      </c>
      <c r="B6264" s="138">
        <f>'Acct Summary 7-8'!J79</f>
        <v>51910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24097</v>
      </c>
      <c r="D6266" s="2" t="str">
        <f t="shared" si="96"/>
        <v>Error?</v>
      </c>
      <c r="E6266" s="2" t="s">
        <v>190</v>
      </c>
    </row>
    <row r="6267" spans="1:5" x14ac:dyDescent="0.2">
      <c r="A6267">
        <v>6206</v>
      </c>
      <c r="B6267" s="138">
        <f>'Acct Summary 7-8'!C82</f>
        <v>-189031</v>
      </c>
      <c r="D6267" s="2" t="str">
        <f t="shared" si="96"/>
        <v>Error?</v>
      </c>
      <c r="E6267" s="2" t="s">
        <v>190</v>
      </c>
    </row>
    <row r="6268" spans="1:5" x14ac:dyDescent="0.2">
      <c r="A6268">
        <v>6207</v>
      </c>
      <c r="B6268" s="138">
        <f>'Acct Summary 7-8'!D82</f>
        <v>-60341</v>
      </c>
      <c r="D6268" s="2" t="str">
        <f t="shared" si="96"/>
        <v>Error?</v>
      </c>
      <c r="E6268" s="2" t="s">
        <v>190</v>
      </c>
    </row>
    <row r="6269" spans="1:5" x14ac:dyDescent="0.2">
      <c r="A6269">
        <v>6208</v>
      </c>
      <c r="B6269" s="138">
        <f>'Acct Summary 7-8'!E82</f>
        <v>-10755</v>
      </c>
      <c r="D6269" s="2" t="str">
        <f t="shared" si="96"/>
        <v>Error?</v>
      </c>
      <c r="E6269" s="2" t="s">
        <v>190</v>
      </c>
    </row>
    <row r="6270" spans="1:5" x14ac:dyDescent="0.2">
      <c r="A6270">
        <v>6209</v>
      </c>
      <c r="B6270" s="138">
        <f>'Acct Summary 7-8'!F82</f>
        <v>41548</v>
      </c>
      <c r="D6270" s="2" t="str">
        <f t="shared" si="96"/>
        <v>Error?</v>
      </c>
      <c r="E6270" s="2" t="s">
        <v>190</v>
      </c>
    </row>
    <row r="6271" spans="1:5" x14ac:dyDescent="0.2">
      <c r="A6271">
        <v>6210</v>
      </c>
      <c r="B6271" s="138">
        <f>'Acct Summary 7-8'!G82</f>
        <v>-40681</v>
      </c>
      <c r="D6271" s="2" t="str">
        <f t="shared" ref="D6271:D6334" si="97">IF(ISBLANK(B6271),"OK",IF(A6271-B6271=0,"OK","Error?"))</f>
        <v>Error?</v>
      </c>
      <c r="E6271" s="2" t="s">
        <v>190</v>
      </c>
    </row>
    <row r="6272" spans="1:5" x14ac:dyDescent="0.2">
      <c r="A6272">
        <v>6211</v>
      </c>
      <c r="B6272" s="138">
        <f>'Acct Summary 7-8'!H82</f>
        <v>27606</v>
      </c>
      <c r="D6272" s="2" t="str">
        <f t="shared" si="97"/>
        <v>Error?</v>
      </c>
      <c r="E6272" s="2" t="s">
        <v>190</v>
      </c>
    </row>
    <row r="6273" spans="1:5" x14ac:dyDescent="0.2">
      <c r="A6273">
        <v>6212</v>
      </c>
      <c r="B6273" s="138">
        <f>'Acct Summary 7-8'!I82</f>
        <v>596</v>
      </c>
      <c r="D6273" s="2" t="str">
        <f t="shared" si="97"/>
        <v>Error?</v>
      </c>
      <c r="E6273" s="2" t="s">
        <v>190</v>
      </c>
    </row>
    <row r="6274" spans="1:5" x14ac:dyDescent="0.2">
      <c r="A6274">
        <v>6213</v>
      </c>
      <c r="B6274" s="138">
        <f>'Acct Summary 7-8'!J82</f>
        <v>-27813</v>
      </c>
      <c r="D6274" s="2" t="str">
        <f t="shared" si="97"/>
        <v>Error?</v>
      </c>
      <c r="E6274" s="2" t="s">
        <v>190</v>
      </c>
    </row>
    <row r="6275" spans="1:5" x14ac:dyDescent="0.2">
      <c r="A6275">
        <v>6214</v>
      </c>
      <c r="B6275" s="138">
        <f>'Acct Summary 7-8'!K82</f>
        <v>596</v>
      </c>
      <c r="D6275" s="2" t="str">
        <f t="shared" si="97"/>
        <v>Error?</v>
      </c>
      <c r="E6275" s="2" t="s">
        <v>190</v>
      </c>
    </row>
    <row r="6276" spans="1:5" x14ac:dyDescent="0.2">
      <c r="A6276">
        <v>6215</v>
      </c>
      <c r="B6276" s="138">
        <f>'Acct Summary 7-8'!C83</f>
        <v>-0.3333480288078326</v>
      </c>
      <c r="D6276" s="2" t="str">
        <f t="shared" si="97"/>
        <v>Error?</v>
      </c>
      <c r="E6276" s="2" t="s">
        <v>190</v>
      </c>
    </row>
    <row r="6277" spans="1:5" x14ac:dyDescent="0.2">
      <c r="A6277">
        <v>6216</v>
      </c>
      <c r="B6277" s="138">
        <f>'Acct Summary 7-8'!D83</f>
        <v>-13.514221724524075</v>
      </c>
      <c r="D6277" s="2" t="str">
        <f t="shared" si="97"/>
        <v>Error?</v>
      </c>
      <c r="E6277" s="2" t="s">
        <v>190</v>
      </c>
    </row>
    <row r="6278" spans="1:5" x14ac:dyDescent="0.2">
      <c r="A6278">
        <v>6217</v>
      </c>
      <c r="B6278" s="138">
        <f>'Acct Summary 7-8'!E83</f>
        <v>-0.17366661822409535</v>
      </c>
      <c r="D6278" s="2" t="str">
        <f t="shared" si="97"/>
        <v>Error?</v>
      </c>
      <c r="E6278" s="2" t="s">
        <v>190</v>
      </c>
    </row>
    <row r="6279" spans="1:5" x14ac:dyDescent="0.2">
      <c r="A6279">
        <v>6218</v>
      </c>
      <c r="B6279" s="138">
        <f>'Acct Summary 7-8'!F83</f>
        <v>0.33764861724000617</v>
      </c>
      <c r="D6279" s="2" t="str">
        <f t="shared" si="97"/>
        <v>Error?</v>
      </c>
      <c r="E6279" s="2" t="s">
        <v>190</v>
      </c>
    </row>
    <row r="6280" spans="1:5" x14ac:dyDescent="0.2">
      <c r="A6280">
        <v>6219</v>
      </c>
      <c r="B6280" s="138">
        <f>'Acct Summary 7-8'!G83</f>
        <v>-0.37326470129464984</v>
      </c>
      <c r="D6280" s="2" t="str">
        <f t="shared" si="97"/>
        <v>Error?</v>
      </c>
      <c r="E6280" s="2" t="s">
        <v>190</v>
      </c>
    </row>
    <row r="6281" spans="1:5" x14ac:dyDescent="0.2">
      <c r="A6281">
        <v>6220</v>
      </c>
      <c r="B6281" s="138">
        <f>'Acct Summary 7-8'!H83</f>
        <v>0.55469377913518725</v>
      </c>
      <c r="D6281" s="2" t="str">
        <f t="shared" si="97"/>
        <v>Error?</v>
      </c>
      <c r="E6281" s="2" t="s">
        <v>190</v>
      </c>
    </row>
    <row r="6282" spans="1:5" x14ac:dyDescent="0.2">
      <c r="A6282">
        <v>6221</v>
      </c>
      <c r="B6282" s="138">
        <f>'Acct Summary 7-8'!I83</f>
        <v>1.6516100426758301E-2</v>
      </c>
      <c r="D6282" s="2" t="str">
        <f t="shared" si="97"/>
        <v>Error?</v>
      </c>
      <c r="E6282" s="2" t="s">
        <v>190</v>
      </c>
    </row>
    <row r="6283" spans="1:5" x14ac:dyDescent="0.2">
      <c r="A6283">
        <v>6222</v>
      </c>
      <c r="B6283" s="138">
        <f>'Acct Summary 7-8'!J83</f>
        <v>-1.1542100676432752</v>
      </c>
      <c r="D6283" s="2" t="str">
        <f t="shared" si="97"/>
        <v>Error?</v>
      </c>
      <c r="E6283" s="2" t="s">
        <v>190</v>
      </c>
    </row>
    <row r="6284" spans="1:5" x14ac:dyDescent="0.2">
      <c r="A6284">
        <v>6223</v>
      </c>
      <c r="B6284" s="138">
        <f>'Acct Summary 7-8'!K83</f>
        <v>6.1165845648604271E-2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7869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7869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8311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86235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130590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33962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66283</v>
      </c>
      <c r="D6880" s="2" t="str">
        <f t="shared" si="106"/>
        <v>Error?</v>
      </c>
    </row>
    <row r="6881" spans="1:4" x14ac:dyDescent="0.2">
      <c r="A6881">
        <v>6820</v>
      </c>
      <c r="B6881" s="138">
        <f>'Expenditures 15-22'!K22</f>
        <v>66283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44213</v>
      </c>
      <c r="D6983" s="2" t="str">
        <f t="shared" si="108"/>
        <v>Error?</v>
      </c>
    </row>
    <row r="6984" spans="1:4" x14ac:dyDescent="0.2">
      <c r="A6984">
        <v>6923</v>
      </c>
      <c r="B6984" s="138">
        <f>'Expenditures 15-22'!K86</f>
        <v>44213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44213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36124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8311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2579</v>
      </c>
      <c r="D7073" s="2" t="str">
        <f t="shared" si="109"/>
        <v>Error?</v>
      </c>
    </row>
    <row r="7074" spans="1:4" x14ac:dyDescent="0.2">
      <c r="A7074">
        <v>7013</v>
      </c>
      <c r="B7074" s="138">
        <f>'Expenditures 15-22'!K216</f>
        <v>2579</v>
      </c>
      <c r="D7074" s="2" t="str">
        <f t="shared" si="109"/>
        <v>Error?</v>
      </c>
    </row>
    <row r="7075" spans="1:4" x14ac:dyDescent="0.2">
      <c r="A7075">
        <v>7014</v>
      </c>
      <c r="B7075" s="138">
        <f>'Expenditures 15-22'!D218</f>
        <v>4170</v>
      </c>
      <c r="D7075" s="2" t="str">
        <f t="shared" si="109"/>
        <v>Error?</v>
      </c>
    </row>
    <row r="7076" spans="1:4" x14ac:dyDescent="0.2">
      <c r="A7076">
        <v>7015</v>
      </c>
      <c r="B7076" s="138">
        <f>'Expenditures 15-22'!K218</f>
        <v>4170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8222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8222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17513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17513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10389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10389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36124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36124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36124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36124</v>
      </c>
      <c r="D7224" s="2" t="str">
        <f t="shared" si="111"/>
        <v>Error?</v>
      </c>
    </row>
    <row r="7225" spans="1:4" x14ac:dyDescent="0.2">
      <c r="A7225">
        <v>7164</v>
      </c>
      <c r="B7225" s="138">
        <f>'Expenditures 15-22'!K343</f>
        <v>-27813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21536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22819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33089</v>
      </c>
      <c r="D7251" s="2" t="str">
        <f t="shared" si="112"/>
        <v>Error?</v>
      </c>
    </row>
    <row r="7252" spans="1:4" x14ac:dyDescent="0.2">
      <c r="A7252">
        <f t="shared" si="113"/>
        <v>7191</v>
      </c>
      <c r="B7252" s="138">
        <f>'Expenditures 15-22'!D9</f>
        <v>750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123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233535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22162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147655</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147655</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3438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120049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120049</v>
      </c>
      <c r="D7730" s="2" t="str">
        <f t="shared" si="126"/>
        <v>Error?</v>
      </c>
      <c r="E7730" s="2" t="s">
        <v>827</v>
      </c>
    </row>
    <row r="7731" spans="1:6" x14ac:dyDescent="0.2">
      <c r="A7731">
        <v>7670</v>
      </c>
      <c r="B7731" s="138">
        <f>'Revenues 9-14'!H103</f>
        <v>147655</v>
      </c>
      <c r="D7731" s="2" t="str">
        <f t="shared" si="126"/>
        <v>Error?</v>
      </c>
      <c r="E7731" s="2" t="s">
        <v>827</v>
      </c>
    </row>
    <row r="7732" spans="1:6" x14ac:dyDescent="0.2">
      <c r="A7732">
        <v>7671</v>
      </c>
      <c r="B7732" s="138">
        <f>'Rest Tax Levies-Tort Im 25'!J24</f>
        <v>49768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49768</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5" t="s">
        <v>1191</v>
      </c>
      <c r="B2" s="2425"/>
      <c r="C2" s="2425"/>
      <c r="D2" s="2425"/>
      <c r="E2" s="2425"/>
      <c r="F2" s="2425"/>
      <c r="G2" s="2425"/>
      <c r="H2" s="2425"/>
      <c r="I2" s="2425"/>
      <c r="J2" s="2425"/>
      <c r="K2" s="2425"/>
      <c r="L2" s="2425"/>
    </row>
    <row r="3" spans="1:29" ht="13.5" customHeight="1" x14ac:dyDescent="0.2">
      <c r="A3" s="2456" t="s">
        <v>1190</v>
      </c>
      <c r="B3" s="2456"/>
      <c r="C3" s="2456"/>
      <c r="D3" s="2456"/>
      <c r="E3" s="2456"/>
      <c r="F3" s="2456"/>
      <c r="G3" s="2456"/>
      <c r="H3" s="2456"/>
      <c r="I3" s="2456"/>
      <c r="J3" s="2456"/>
      <c r="K3" s="2456"/>
      <c r="L3" s="2456"/>
    </row>
    <row r="4" spans="1:29" ht="13.5" customHeight="1" x14ac:dyDescent="0.2">
      <c r="A4" s="2425" t="s">
        <v>1989</v>
      </c>
      <c r="B4" s="2446"/>
      <c r="C4" s="2446"/>
      <c r="D4" s="2446"/>
      <c r="E4" s="2446"/>
      <c r="F4" s="2446"/>
      <c r="G4" s="2446"/>
      <c r="H4" s="2446"/>
      <c r="I4" s="2446"/>
      <c r="J4" s="2446"/>
      <c r="K4" s="2446"/>
      <c r="L4" s="244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47" t="str">
        <f>COVER!A17</f>
        <v>Carbon Cliff Barstow SD 36</v>
      </c>
      <c r="B7" s="2448"/>
      <c r="C7" s="2448"/>
      <c r="D7" s="2449"/>
      <c r="E7" s="2450">
        <f>COVER!A13</f>
        <v>49081036002</v>
      </c>
      <c r="F7" s="2451"/>
      <c r="G7" s="2457" t="str">
        <f>COVER!T23</f>
        <v>066-005027</v>
      </c>
      <c r="H7" s="2458"/>
      <c r="I7" s="2458"/>
      <c r="J7" s="2458"/>
      <c r="K7" s="2458"/>
      <c r="L7" s="245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60"/>
      <c r="B9" s="2461"/>
      <c r="C9" s="2461"/>
      <c r="D9" s="2461"/>
      <c r="E9" s="2461"/>
      <c r="F9" s="2462"/>
      <c r="G9" s="2431" t="str">
        <f>COVER!T13</f>
        <v>Gorenz and Associates, Ltd.</v>
      </c>
      <c r="H9" s="2463"/>
      <c r="I9" s="2463"/>
      <c r="J9" s="2463"/>
      <c r="K9" s="2463"/>
      <c r="L9" s="2464"/>
    </row>
    <row r="10" spans="1:29" ht="13.5" customHeight="1" x14ac:dyDescent="0.2">
      <c r="A10" s="2437" t="str">
        <f>COVER!A38</f>
        <v>Andy Richmond</v>
      </c>
      <c r="B10" s="2438"/>
      <c r="C10" s="2438"/>
      <c r="D10" s="2438"/>
      <c r="E10" s="2438"/>
      <c r="F10" s="2439"/>
      <c r="G10" s="2431" t="str">
        <f>COVER!T17</f>
        <v>4200 N Knoxville Ave</v>
      </c>
      <c r="H10" s="2432"/>
      <c r="I10" s="2432"/>
      <c r="J10" s="2432"/>
      <c r="K10" s="2432"/>
      <c r="L10" s="2433"/>
    </row>
    <row r="11" spans="1:29" ht="13.5" customHeight="1" x14ac:dyDescent="0.2">
      <c r="A11" s="1181" t="s">
        <v>1519</v>
      </c>
      <c r="B11" s="1182"/>
      <c r="C11" s="1183"/>
      <c r="D11" s="1188"/>
      <c r="E11" s="1183"/>
      <c r="F11" s="1187"/>
      <c r="G11" s="2431" t="str">
        <f>COVER!T19</f>
        <v>Peoria</v>
      </c>
      <c r="H11" s="2432"/>
      <c r="I11" s="2432"/>
      <c r="J11" s="2432"/>
      <c r="K11" s="2432"/>
      <c r="L11" s="2433"/>
    </row>
    <row r="12" spans="1:29" ht="13.5" customHeight="1" x14ac:dyDescent="0.2">
      <c r="A12" s="2440" t="s">
        <v>1518</v>
      </c>
      <c r="B12" s="2441"/>
      <c r="C12" s="2441"/>
      <c r="D12" s="2441"/>
      <c r="E12" s="2441"/>
      <c r="F12" s="2442"/>
      <c r="G12" s="2434"/>
      <c r="H12" s="2435"/>
      <c r="I12" s="2435"/>
      <c r="J12" s="2435"/>
      <c r="K12" s="2435"/>
      <c r="L12" s="2436"/>
    </row>
    <row r="13" spans="1:29" ht="13.5" customHeight="1" x14ac:dyDescent="0.2">
      <c r="A13" s="2431"/>
      <c r="B13" s="2432"/>
      <c r="C13" s="2432"/>
      <c r="D13" s="2432"/>
      <c r="E13" s="2432"/>
      <c r="F13" s="2433"/>
      <c r="G13" s="2426" t="s">
        <v>1520</v>
      </c>
      <c r="H13" s="2427"/>
      <c r="I13" s="2443" t="str">
        <f>COVER!T25</f>
        <v>rrumbold@gorenzcpa.com</v>
      </c>
      <c r="J13" s="2444"/>
      <c r="K13" s="2444"/>
      <c r="L13" s="2445"/>
    </row>
    <row r="14" spans="1:29" ht="13.5" customHeight="1" x14ac:dyDescent="0.2">
      <c r="A14" s="2431" t="str">
        <f>COVER!A19</f>
        <v>2002 Eagle Ridge Drive</v>
      </c>
      <c r="B14" s="2432"/>
      <c r="C14" s="2432"/>
      <c r="D14" s="2432"/>
      <c r="E14" s="2432"/>
      <c r="F14" s="2433"/>
      <c r="G14" s="1192" t="s">
        <v>1185</v>
      </c>
      <c r="H14" s="1190"/>
      <c r="I14" s="1190"/>
      <c r="J14" s="1190"/>
      <c r="K14" s="1190"/>
      <c r="L14" s="1191"/>
    </row>
    <row r="15" spans="1:29" ht="13.5" customHeight="1" x14ac:dyDescent="0.2">
      <c r="A15" s="2431" t="str">
        <f>COVER!A21</f>
        <v>Silvis</v>
      </c>
      <c r="B15" s="2432"/>
      <c r="C15" s="2432"/>
      <c r="D15" s="2432"/>
      <c r="E15" s="2432"/>
      <c r="F15" s="2433"/>
      <c r="G15" s="2428" t="str">
        <f>COVER!T15</f>
        <v>Russell J. Rumbold II, CPA</v>
      </c>
      <c r="H15" s="2429"/>
      <c r="I15" s="2429"/>
      <c r="J15" s="2429"/>
      <c r="K15" s="2429"/>
      <c r="L15" s="2430"/>
    </row>
    <row r="16" spans="1:29" ht="12.2" customHeight="1" x14ac:dyDescent="0.2">
      <c r="A16" s="2453">
        <f>COVER!A25</f>
        <v>61282</v>
      </c>
      <c r="B16" s="2454"/>
      <c r="C16" s="2454"/>
      <c r="D16" s="2454"/>
      <c r="E16" s="2454"/>
      <c r="F16" s="2455"/>
      <c r="G16" s="2465"/>
      <c r="H16" s="2466"/>
      <c r="I16" s="2466"/>
      <c r="J16" s="2466"/>
      <c r="K16" s="2466"/>
      <c r="L16" s="2467"/>
    </row>
    <row r="17" spans="1:13" ht="12.2" customHeight="1" x14ac:dyDescent="0.2">
      <c r="A17" s="2468"/>
      <c r="B17" s="2454"/>
      <c r="C17" s="2454"/>
      <c r="D17" s="2454"/>
      <c r="E17" s="2454"/>
      <c r="F17" s="2455"/>
      <c r="G17" s="1192" t="s">
        <v>1184</v>
      </c>
      <c r="H17" s="1190"/>
      <c r="I17" s="1190"/>
      <c r="J17" s="1190"/>
      <c r="K17" s="1194" t="s">
        <v>1183</v>
      </c>
      <c r="L17" s="1187"/>
      <c r="M17" s="1180"/>
    </row>
    <row r="18" spans="1:13" ht="12.2" customHeight="1" x14ac:dyDescent="0.2">
      <c r="A18" s="2437"/>
      <c r="B18" s="2438"/>
      <c r="C18" s="2438"/>
      <c r="D18" s="2438"/>
      <c r="E18" s="2438"/>
      <c r="F18" s="2439"/>
      <c r="G18" s="2447" t="str">
        <f>COVER!T21</f>
        <v>309-685-7621</v>
      </c>
      <c r="H18" s="2448"/>
      <c r="I18" s="2448"/>
      <c r="J18" s="2448"/>
      <c r="K18" s="2447" t="str">
        <f>COVER!X21</f>
        <v>309-685-4758</v>
      </c>
      <c r="L18" s="245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69" t="str">
        <f>'Single Audit Cover'!A7</f>
        <v>Carbon Cliff Barstow SD 36</v>
      </c>
      <c r="B1" s="2446"/>
      <c r="C1" s="2446"/>
      <c r="D1" s="2446"/>
    </row>
    <row r="2" spans="1:11" s="1209" customFormat="1" ht="12.75" x14ac:dyDescent="0.2">
      <c r="A2" s="2470">
        <f>'Single Audit Cover'!E7</f>
        <v>49081036002</v>
      </c>
      <c r="B2" s="2471"/>
      <c r="C2" s="2471"/>
      <c r="D2" s="2471"/>
    </row>
    <row r="3" spans="1:11" s="1209" customFormat="1" ht="12.75" x14ac:dyDescent="0.2">
      <c r="A3" s="2469" t="s">
        <v>1513</v>
      </c>
      <c r="B3" s="2446"/>
      <c r="C3" s="2446"/>
      <c r="D3" s="2446"/>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3" t="str">
        <f>'Single Audit Cover'!A7</f>
        <v>Carbon Cliff Barstow SD 36</v>
      </c>
      <c r="B1" s="2473"/>
      <c r="C1" s="2473"/>
      <c r="D1" s="2473"/>
      <c r="E1" s="2473"/>
    </row>
    <row r="2" spans="1:5" x14ac:dyDescent="0.2">
      <c r="A2" s="2474">
        <f>'Single Audit Cover'!E7</f>
        <v>49081036002</v>
      </c>
      <c r="B2" s="2474"/>
      <c r="C2" s="2474"/>
      <c r="D2" s="2474"/>
      <c r="E2" s="2474"/>
    </row>
    <row r="3" spans="1:5" ht="4.5" customHeight="1" x14ac:dyDescent="0.2"/>
    <row r="4" spans="1:5" x14ac:dyDescent="0.2">
      <c r="A4" s="2473" t="s">
        <v>1245</v>
      </c>
      <c r="B4" s="2473"/>
      <c r="C4" s="2473"/>
      <c r="D4" s="2473"/>
      <c r="E4" s="2473"/>
    </row>
    <row r="5" spans="1:5" x14ac:dyDescent="0.2">
      <c r="A5" s="2476" t="str">
        <f>'Single Audit Cover'!A4</f>
        <v>Year Ending June 30, 2019</v>
      </c>
      <c r="B5" s="2476"/>
      <c r="C5" s="2476"/>
      <c r="D5" s="2476"/>
      <c r="E5" s="2476"/>
    </row>
    <row r="6" spans="1:5" x14ac:dyDescent="0.2">
      <c r="A6" s="2473" t="s">
        <v>1244</v>
      </c>
      <c r="B6" s="2473"/>
      <c r="C6" s="2473"/>
      <c r="D6" s="2473"/>
      <c r="E6" s="2473"/>
    </row>
    <row r="8" spans="1:5" x14ac:dyDescent="0.2">
      <c r="A8" s="1254" t="s">
        <v>1243</v>
      </c>
    </row>
    <row r="10" spans="1:5" x14ac:dyDescent="0.2">
      <c r="A10" s="1255" t="s">
        <v>1242</v>
      </c>
      <c r="B10" s="1256" t="s">
        <v>1241</v>
      </c>
      <c r="C10" s="1256"/>
      <c r="D10" s="1257">
        <f>SUM('Acct Summary 7-8'!C7:K7)</f>
        <v>556940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13842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-26739</v>
      </c>
    </row>
    <row r="19" spans="1:4" ht="13.5" thickBot="1" x14ac:dyDescent="0.25">
      <c r="A19" s="1259" t="s">
        <v>1235</v>
      </c>
      <c r="D19" s="1260">
        <f>SUM(D10:D17)</f>
        <v>544043</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5"/>
      <c r="B24" s="2475"/>
      <c r="D24" s="1262"/>
    </row>
    <row r="25" spans="1:4" x14ac:dyDescent="0.2">
      <c r="A25" s="2472"/>
      <c r="B25" s="2472"/>
      <c r="D25" s="1262"/>
    </row>
    <row r="26" spans="1:4" x14ac:dyDescent="0.2">
      <c r="A26" s="2472"/>
      <c r="B26" s="2472"/>
      <c r="D26" s="1262"/>
    </row>
    <row r="27" spans="1:4" x14ac:dyDescent="0.2">
      <c r="A27" s="2472"/>
      <c r="B27" s="2472"/>
      <c r="D27" s="1262"/>
    </row>
    <row r="28" spans="1:4" x14ac:dyDescent="0.2">
      <c r="A28" s="2472"/>
      <c r="B28" s="2472"/>
      <c r="D28" s="1262"/>
    </row>
    <row r="29" spans="1:4" x14ac:dyDescent="0.2">
      <c r="A29" s="2472"/>
      <c r="B29" s="2472"/>
      <c r="D29" s="1262"/>
    </row>
    <row r="30" spans="1:4" x14ac:dyDescent="0.2">
      <c r="A30" s="2472"/>
      <c r="B30" s="2472"/>
      <c r="D30" s="1262"/>
    </row>
    <row r="32" spans="1:4" x14ac:dyDescent="0.2">
      <c r="A32" s="1254" t="s">
        <v>1233</v>
      </c>
      <c r="D32" s="1257">
        <f>SUM(D19:D30)</f>
        <v>544043</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72"/>
      <c r="B40" s="2472"/>
      <c r="D40" s="1262"/>
    </row>
    <row r="41" spans="1:4" x14ac:dyDescent="0.2">
      <c r="A41" s="2472"/>
      <c r="B41" s="2472"/>
      <c r="D41" s="1265"/>
    </row>
    <row r="42" spans="1:4" x14ac:dyDescent="0.2">
      <c r="A42" s="2472"/>
      <c r="B42" s="2472"/>
      <c r="D42" s="1265"/>
    </row>
    <row r="43" spans="1:4" x14ac:dyDescent="0.2">
      <c r="A43" s="2472"/>
      <c r="B43" s="2472"/>
      <c r="D43" s="1265"/>
    </row>
    <row r="44" spans="1:4" x14ac:dyDescent="0.2">
      <c r="A44" s="2472"/>
      <c r="B44" s="2472"/>
      <c r="D44" s="1265"/>
    </row>
    <row r="45" spans="1:4" x14ac:dyDescent="0.2">
      <c r="A45" s="2472"/>
      <c r="B45" s="2472"/>
      <c r="D45" s="1265"/>
    </row>
    <row r="47" spans="1:4" x14ac:dyDescent="0.2">
      <c r="B47" s="1266" t="s">
        <v>1227</v>
      </c>
      <c r="C47" s="1266"/>
      <c r="D47" s="1267">
        <f>SUM(D35:D45)</f>
        <v>0</v>
      </c>
    </row>
    <row r="49" spans="2:4" x14ac:dyDescent="0.2">
      <c r="B49" s="1266" t="s">
        <v>1226</v>
      </c>
      <c r="C49" s="1266"/>
      <c r="D49" s="1267">
        <f>D32-D47</f>
        <v>544043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56" t="str">
        <f>'Single Audit Cover'!A7</f>
        <v>Carbon Cliff Barstow SD 36</v>
      </c>
      <c r="C1" s="2477"/>
      <c r="D1" s="2477"/>
      <c r="E1" s="2477"/>
      <c r="F1" s="2477"/>
      <c r="G1" s="2477"/>
      <c r="H1" s="2477"/>
      <c r="I1" s="2477"/>
      <c r="J1" s="2477"/>
      <c r="K1" s="2477"/>
      <c r="L1" s="2477"/>
      <c r="M1" s="2477"/>
    </row>
    <row r="2" spans="2:14" ht="15" x14ac:dyDescent="0.2">
      <c r="B2" s="2478">
        <f>'Single Audit Cover'!E7</f>
        <v>49081036002</v>
      </c>
      <c r="C2" s="2478"/>
      <c r="D2" s="2478"/>
      <c r="E2" s="2478"/>
      <c r="F2" s="2478"/>
      <c r="G2" s="2478"/>
      <c r="H2" s="2478"/>
      <c r="I2" s="2478"/>
      <c r="J2" s="2478"/>
      <c r="K2" s="2478"/>
      <c r="L2" s="2478"/>
      <c r="M2" s="2478"/>
      <c r="N2" s="1296"/>
    </row>
    <row r="3" spans="2:14" ht="15" x14ac:dyDescent="0.2">
      <c r="B3" s="2479" t="s">
        <v>1219</v>
      </c>
      <c r="C3" s="2479"/>
      <c r="D3" s="2479"/>
      <c r="E3" s="2479"/>
      <c r="F3" s="2479"/>
      <c r="G3" s="2479"/>
      <c r="H3" s="2479"/>
      <c r="I3" s="2479"/>
      <c r="J3" s="2479"/>
      <c r="K3" s="2479"/>
      <c r="L3" s="2479"/>
      <c r="M3" s="2479"/>
      <c r="N3" s="1296"/>
    </row>
    <row r="4" spans="2:14" ht="15" x14ac:dyDescent="0.2">
      <c r="B4" s="2480" t="str">
        <f>'Single Audit Cover'!A4</f>
        <v>Year Ending June 30, 2019</v>
      </c>
      <c r="C4" s="2480"/>
      <c r="D4" s="2480"/>
      <c r="E4" s="2480"/>
      <c r="F4" s="2480"/>
      <c r="G4" s="2480"/>
      <c r="H4" s="2480"/>
      <c r="I4" s="2480"/>
      <c r="J4" s="2480"/>
      <c r="K4" s="2480"/>
      <c r="L4" s="2480"/>
      <c r="M4" s="248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90" t="str">
        <f>'Single Audit Cover'!A7</f>
        <v>Carbon Cliff Barstow SD 36</v>
      </c>
      <c r="B1" s="2490"/>
      <c r="C1" s="2490"/>
      <c r="D1" s="2490"/>
      <c r="E1" s="2490"/>
      <c r="F1" s="2490"/>
    </row>
    <row r="2" spans="1:7" ht="13.5" customHeight="1" x14ac:dyDescent="0.2">
      <c r="A2" s="2478">
        <f>'Single Audit Cover'!E7</f>
        <v>49081036002</v>
      </c>
      <c r="B2" s="2478"/>
      <c r="C2" s="2478"/>
      <c r="D2" s="2478"/>
      <c r="E2" s="2478"/>
      <c r="F2" s="2478"/>
      <c r="G2" s="1269"/>
    </row>
    <row r="3" spans="1:7" ht="15.75" customHeight="1" x14ac:dyDescent="0.2">
      <c r="A3" s="2491" t="s">
        <v>1271</v>
      </c>
      <c r="B3" s="2491"/>
      <c r="C3" s="2491"/>
      <c r="D3" s="2491"/>
      <c r="E3" s="2491"/>
      <c r="F3" s="2491"/>
    </row>
    <row r="4" spans="1:7" ht="13.5" customHeight="1" x14ac:dyDescent="0.2">
      <c r="A4" s="2492" t="str">
        <f>'Single Audit Cover'!A4</f>
        <v>Year Ending June 30, 2019</v>
      </c>
      <c r="B4" s="2492"/>
      <c r="C4" s="2492"/>
      <c r="D4" s="2492"/>
      <c r="E4" s="2492"/>
      <c r="F4" s="2492"/>
    </row>
    <row r="5" spans="1:7" ht="8.25" customHeight="1" x14ac:dyDescent="0.2">
      <c r="C5" s="317"/>
      <c r="D5" s="317"/>
    </row>
    <row r="6" spans="1:7" ht="13.5" customHeight="1" x14ac:dyDescent="0.2">
      <c r="A6" s="1270" t="s">
        <v>1728</v>
      </c>
      <c r="C6" s="317"/>
      <c r="D6" s="317"/>
    </row>
    <row r="7" spans="1:7" ht="60.95" customHeight="1" x14ac:dyDescent="0.2">
      <c r="A7" s="2489" t="s">
        <v>1729</v>
      </c>
      <c r="B7" s="2489"/>
      <c r="C7" s="2489"/>
      <c r="D7" s="2489"/>
      <c r="E7" s="2489"/>
      <c r="F7" s="248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89" t="s">
        <v>1731</v>
      </c>
      <c r="B13" s="2489"/>
      <c r="C13" s="2489"/>
      <c r="D13" s="2489"/>
      <c r="E13" s="2489"/>
      <c r="F13" s="2489"/>
    </row>
    <row r="14" spans="1:7" ht="9.75" customHeight="1" x14ac:dyDescent="0.2">
      <c r="C14" s="1254"/>
      <c r="D14" s="1254"/>
    </row>
    <row r="15" spans="1:7" ht="13.5" customHeight="1" x14ac:dyDescent="0.2">
      <c r="C15" s="1843" t="s">
        <v>1270</v>
      </c>
      <c r="D15" s="2487" t="s">
        <v>1269</v>
      </c>
      <c r="E15" s="2487"/>
      <c r="F15" s="2487"/>
    </row>
    <row r="16" spans="1:7" ht="13.5" customHeight="1" x14ac:dyDescent="0.2">
      <c r="A16" s="1276"/>
      <c r="B16" s="1270" t="s">
        <v>1268</v>
      </c>
      <c r="C16" s="1843" t="s">
        <v>1267</v>
      </c>
      <c r="D16" s="2488" t="s">
        <v>1588</v>
      </c>
      <c r="E16" s="2488"/>
      <c r="F16" s="2488"/>
    </row>
    <row r="17" spans="1:6" ht="20.45" customHeight="1" x14ac:dyDescent="0.2">
      <c r="A17" s="1277"/>
      <c r="B17" s="1278"/>
      <c r="C17" s="1279"/>
      <c r="D17" s="2482"/>
      <c r="E17" s="2482"/>
      <c r="F17" s="2482"/>
    </row>
    <row r="18" spans="1:6" ht="20.65" customHeight="1" x14ac:dyDescent="0.2">
      <c r="A18" s="1277"/>
      <c r="B18" s="1278"/>
      <c r="C18" s="1279"/>
      <c r="D18" s="2482"/>
      <c r="E18" s="2482"/>
      <c r="F18" s="2482"/>
    </row>
    <row r="19" spans="1:6" ht="20.65" customHeight="1" x14ac:dyDescent="0.2">
      <c r="A19" s="1277"/>
      <c r="B19" s="1278"/>
      <c r="C19" s="1279"/>
      <c r="D19" s="2482"/>
      <c r="E19" s="2482"/>
      <c r="F19" s="2482"/>
    </row>
    <row r="20" spans="1:6" ht="20.65" customHeight="1" x14ac:dyDescent="0.2">
      <c r="A20" s="1277"/>
      <c r="B20" s="1278"/>
      <c r="C20" s="1279"/>
      <c r="D20" s="2482"/>
      <c r="E20" s="2482"/>
      <c r="F20" s="2482"/>
    </row>
    <row r="21" spans="1:6" ht="20.65" customHeight="1" x14ac:dyDescent="0.2">
      <c r="A21" s="1277"/>
      <c r="B21" s="1278"/>
      <c r="C21" s="1279"/>
      <c r="D21" s="2482"/>
      <c r="E21" s="2482"/>
      <c r="F21" s="2482"/>
    </row>
    <row r="22" spans="1:6" ht="20.65" customHeight="1" x14ac:dyDescent="0.2">
      <c r="A22" s="1277"/>
      <c r="B22" s="1278"/>
      <c r="C22" s="1279"/>
      <c r="D22" s="2482"/>
      <c r="E22" s="2482"/>
      <c r="F22" s="2482"/>
    </row>
    <row r="23" spans="1:6" ht="20.65" customHeight="1" x14ac:dyDescent="0.2">
      <c r="A23" s="1277"/>
      <c r="B23" s="1278"/>
      <c r="C23" s="1279"/>
      <c r="D23" s="2482"/>
      <c r="E23" s="2482"/>
      <c r="F23" s="2482"/>
    </row>
    <row r="24" spans="1:6" ht="20.65" customHeight="1" x14ac:dyDescent="0.2">
      <c r="A24" s="1277"/>
      <c r="B24" s="1278"/>
      <c r="C24" s="1279"/>
      <c r="D24" s="2482"/>
      <c r="E24" s="2482"/>
      <c r="F24" s="2482"/>
    </row>
    <row r="25" spans="1:6" ht="20.65" customHeight="1" x14ac:dyDescent="0.2">
      <c r="A25" s="1277"/>
      <c r="B25" s="1278"/>
      <c r="C25" s="1279"/>
      <c r="D25" s="2482"/>
      <c r="E25" s="2482"/>
      <c r="F25" s="2482"/>
    </row>
    <row r="26" spans="1:6" ht="20.65" customHeight="1" x14ac:dyDescent="0.2">
      <c r="A26" s="1277"/>
      <c r="B26" s="1278"/>
      <c r="C26" s="1279"/>
      <c r="D26" s="2482"/>
      <c r="E26" s="2482"/>
      <c r="F26" s="2482"/>
    </row>
    <row r="27" spans="1:6" ht="20.65" customHeight="1" x14ac:dyDescent="0.2">
      <c r="A27" s="1277"/>
      <c r="B27" s="1278"/>
      <c r="C27" s="1279"/>
      <c r="D27" s="2482"/>
      <c r="E27" s="2482"/>
      <c r="F27" s="2482"/>
    </row>
    <row r="28" spans="1:6" ht="20.65" customHeight="1" x14ac:dyDescent="0.2">
      <c r="A28" s="1277"/>
      <c r="B28" s="1278"/>
      <c r="C28" s="1279"/>
      <c r="D28" s="2482"/>
      <c r="E28" s="2482"/>
      <c r="F28" s="2482"/>
    </row>
    <row r="29" spans="1:6" ht="20.65" customHeight="1" x14ac:dyDescent="0.2">
      <c r="A29" s="1277"/>
      <c r="B29" s="1278"/>
      <c r="C29" s="1279"/>
      <c r="D29" s="2482"/>
      <c r="E29" s="2482"/>
      <c r="F29" s="2482"/>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83" t="s">
        <v>1732</v>
      </c>
      <c r="B32" s="2483"/>
      <c r="C32" s="2483"/>
      <c r="D32" s="2483"/>
      <c r="E32" s="2483"/>
      <c r="F32" s="248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84">
        <f>+C33+C34</f>
        <v>0</v>
      </c>
      <c r="F34" s="248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86" t="s">
        <v>1590</v>
      </c>
      <c r="C49" s="2486"/>
      <c r="D49" s="2486"/>
      <c r="E49" s="1393"/>
    </row>
    <row r="50" spans="1:5" s="1294" customFormat="1" ht="3.75" customHeight="1" x14ac:dyDescent="0.2">
      <c r="A50" s="1293"/>
      <c r="B50" s="1842"/>
      <c r="C50" s="1842"/>
      <c r="D50" s="1842"/>
      <c r="E50" s="1393"/>
    </row>
    <row r="51" spans="1:5" s="1294" customFormat="1" ht="20.25" customHeight="1" x14ac:dyDescent="0.2">
      <c r="A51" s="1295">
        <v>6</v>
      </c>
      <c r="B51" s="2481" t="s">
        <v>1551</v>
      </c>
      <c r="C51" s="2481"/>
      <c r="D51" s="2481"/>
    </row>
    <row r="52" spans="1:5" ht="14.25" customHeight="1" x14ac:dyDescent="0.2">
      <c r="A52" s="1295"/>
      <c r="B52" s="2481"/>
      <c r="C52" s="2481"/>
      <c r="D52" s="248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8" t="s">
        <v>1168</v>
      </c>
      <c r="B2" s="2098"/>
      <c r="C2" s="2098"/>
      <c r="D2" s="2098"/>
      <c r="E2" s="2098"/>
      <c r="F2" s="2098"/>
      <c r="G2" s="2098"/>
      <c r="H2" s="2098"/>
      <c r="I2" s="2098"/>
      <c r="J2" s="209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2070</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2" t="s">
        <v>1633</v>
      </c>
      <c r="B35" s="2113"/>
      <c r="C35" s="2113"/>
      <c r="D35" s="2113"/>
      <c r="E35" s="2114"/>
      <c r="F35" s="2114"/>
      <c r="G35" s="2114"/>
      <c r="H35" s="2114"/>
      <c r="I35" s="211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2" t="s">
        <v>313</v>
      </c>
      <c r="B47" s="2115"/>
      <c r="C47" s="2115"/>
      <c r="D47" s="2115"/>
      <c r="E47" s="2116"/>
      <c r="F47" s="2116"/>
      <c r="G47" s="2116"/>
      <c r="H47" s="2116"/>
      <c r="I47" s="211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9"/>
      <c r="C57" s="2120"/>
      <c r="D57" s="2120"/>
      <c r="E57" s="2120"/>
      <c r="F57" s="2120"/>
      <c r="G57" s="2120"/>
      <c r="H57" s="2120"/>
      <c r="I57" s="2120"/>
      <c r="J57" s="2121"/>
    </row>
    <row r="58" spans="1:10" s="181" customFormat="1" x14ac:dyDescent="0.2">
      <c r="A58" s="253"/>
      <c r="B58" s="2122"/>
      <c r="C58" s="2123"/>
      <c r="D58" s="2123"/>
      <c r="E58" s="2123"/>
      <c r="F58" s="2123"/>
      <c r="G58" s="2123"/>
      <c r="H58" s="2123"/>
      <c r="I58" s="2123"/>
      <c r="J58" s="2124"/>
    </row>
    <row r="59" spans="1:10" s="181" customFormat="1" x14ac:dyDescent="0.2">
      <c r="A59" s="253"/>
      <c r="B59" s="2122"/>
      <c r="C59" s="2123"/>
      <c r="D59" s="2123"/>
      <c r="E59" s="2123"/>
      <c r="F59" s="2123"/>
      <c r="G59" s="2123"/>
      <c r="H59" s="2123"/>
      <c r="I59" s="2123"/>
      <c r="J59" s="2124"/>
    </row>
    <row r="60" spans="1:10" s="181" customFormat="1" x14ac:dyDescent="0.2">
      <c r="A60" s="253"/>
      <c r="B60" s="2122"/>
      <c r="C60" s="2123"/>
      <c r="D60" s="2123"/>
      <c r="E60" s="2123"/>
      <c r="F60" s="2123"/>
      <c r="G60" s="2123"/>
      <c r="H60" s="2123"/>
      <c r="I60" s="2123"/>
      <c r="J60" s="2124"/>
    </row>
    <row r="61" spans="1:10" s="181" customFormat="1" x14ac:dyDescent="0.2">
      <c r="A61" s="253"/>
      <c r="B61" s="2122"/>
      <c r="C61" s="2123"/>
      <c r="D61" s="2123"/>
      <c r="E61" s="2123"/>
      <c r="F61" s="2123"/>
      <c r="G61" s="2123"/>
      <c r="H61" s="2123"/>
      <c r="I61" s="2123"/>
      <c r="J61" s="2124"/>
    </row>
    <row r="62" spans="1:10" s="181" customFormat="1" x14ac:dyDescent="0.2">
      <c r="A62" s="253"/>
      <c r="B62" s="2122"/>
      <c r="C62" s="2123"/>
      <c r="D62" s="2123"/>
      <c r="E62" s="2123"/>
      <c r="F62" s="2123"/>
      <c r="G62" s="2123"/>
      <c r="H62" s="2123"/>
      <c r="I62" s="2123"/>
      <c r="J62" s="2124"/>
    </row>
    <row r="63" spans="1:10" s="181" customFormat="1" x14ac:dyDescent="0.2">
      <c r="A63" s="253"/>
      <c r="B63" s="2122"/>
      <c r="C63" s="2123"/>
      <c r="D63" s="2123"/>
      <c r="E63" s="2123"/>
      <c r="F63" s="2123"/>
      <c r="G63" s="2123"/>
      <c r="H63" s="2123"/>
      <c r="I63" s="2123"/>
      <c r="J63" s="2124"/>
    </row>
    <row r="64" spans="1:10" s="181" customFormat="1" x14ac:dyDescent="0.2">
      <c r="A64" s="253"/>
      <c r="B64" s="2122"/>
      <c r="C64" s="2123"/>
      <c r="D64" s="2123"/>
      <c r="E64" s="2123"/>
      <c r="F64" s="2123"/>
      <c r="G64" s="2123"/>
      <c r="H64" s="2123"/>
      <c r="I64" s="2123"/>
      <c r="J64" s="2124"/>
    </row>
    <row r="65" spans="1:10" s="181" customFormat="1" x14ac:dyDescent="0.2">
      <c r="A65" s="253"/>
      <c r="B65" s="2122"/>
      <c r="C65" s="2123"/>
      <c r="D65" s="2123"/>
      <c r="E65" s="2123"/>
      <c r="F65" s="2123"/>
      <c r="G65" s="2123"/>
      <c r="H65" s="2123"/>
      <c r="I65" s="2123"/>
      <c r="J65" s="2124"/>
    </row>
    <row r="66" spans="1:10" s="181" customFormat="1" x14ac:dyDescent="0.2">
      <c r="A66" s="253"/>
      <c r="B66" s="2122"/>
      <c r="C66" s="2123"/>
      <c r="D66" s="2123"/>
      <c r="E66" s="2123"/>
      <c r="F66" s="2123"/>
      <c r="G66" s="2123"/>
      <c r="H66" s="2123"/>
      <c r="I66" s="2123"/>
      <c r="J66" s="2124"/>
    </row>
    <row r="67" spans="1:10" s="181" customFormat="1" ht="9" customHeight="1" x14ac:dyDescent="0.2">
      <c r="A67" s="254"/>
      <c r="B67" s="2125"/>
      <c r="C67" s="2126"/>
      <c r="D67" s="2126"/>
      <c r="E67" s="2126"/>
      <c r="F67" s="2126"/>
      <c r="G67" s="2126"/>
      <c r="H67" s="2126"/>
      <c r="I67" s="2126"/>
      <c r="J67" s="212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2" t="s">
        <v>1323</v>
      </c>
      <c r="B70" s="2115"/>
      <c r="C70" s="2115"/>
      <c r="D70" s="2115"/>
      <c r="E70" s="2116"/>
      <c r="F70" s="2116"/>
      <c r="G70" s="2116"/>
      <c r="H70" s="2116"/>
      <c r="I70" s="211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7" t="s">
        <v>1320</v>
      </c>
      <c r="B83" s="2117"/>
      <c r="C83" s="2117"/>
      <c r="D83" s="211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9" t="s">
        <v>2117</v>
      </c>
      <c r="C102" s="2100"/>
      <c r="D102" s="2100"/>
      <c r="E102" s="2100"/>
      <c r="F102" s="2100"/>
      <c r="G102" s="2100"/>
      <c r="H102" s="2100"/>
      <c r="I102" s="2101"/>
    </row>
    <row r="103" spans="1:9" s="181" customFormat="1" ht="11.25" customHeight="1" x14ac:dyDescent="0.2">
      <c r="A103" s="316"/>
      <c r="B103" s="2102"/>
      <c r="C103" s="2103"/>
      <c r="D103" s="2103"/>
      <c r="E103" s="2103"/>
      <c r="F103" s="2103"/>
      <c r="G103" s="2103"/>
      <c r="H103" s="2103"/>
      <c r="I103" s="2104"/>
    </row>
    <row r="104" spans="1:9" s="181" customFormat="1" ht="11.25" customHeight="1" x14ac:dyDescent="0.2">
      <c r="A104" s="316"/>
      <c r="B104" s="2102"/>
      <c r="C104" s="2103"/>
      <c r="D104" s="2103"/>
      <c r="E104" s="2103"/>
      <c r="F104" s="2103"/>
      <c r="G104" s="2103"/>
      <c r="H104" s="2103"/>
      <c r="I104" s="2104"/>
    </row>
    <row r="105" spans="1:9" s="181" customFormat="1" x14ac:dyDescent="0.2">
      <c r="A105" s="316"/>
      <c r="B105" s="2102"/>
      <c r="C105" s="2103"/>
      <c r="D105" s="2103"/>
      <c r="E105" s="2103"/>
      <c r="F105" s="2103"/>
      <c r="G105" s="2103"/>
      <c r="H105" s="2103"/>
      <c r="I105" s="2104"/>
    </row>
    <row r="106" spans="1:9" s="181" customFormat="1" ht="11.25" customHeight="1" x14ac:dyDescent="0.2">
      <c r="A106" s="316"/>
      <c r="B106" s="2102"/>
      <c r="C106" s="2103"/>
      <c r="D106" s="2103"/>
      <c r="E106" s="2103"/>
      <c r="F106" s="2103"/>
      <c r="G106" s="2103"/>
      <c r="H106" s="2103"/>
      <c r="I106" s="2104"/>
    </row>
    <row r="107" spans="1:9" s="181" customFormat="1" ht="11.25" customHeight="1" x14ac:dyDescent="0.2">
      <c r="A107" s="316"/>
      <c r="B107" s="2102"/>
      <c r="C107" s="2103"/>
      <c r="D107" s="2103"/>
      <c r="E107" s="2103"/>
      <c r="F107" s="2103"/>
      <c r="G107" s="2103"/>
      <c r="H107" s="2103"/>
      <c r="I107" s="2104"/>
    </row>
    <row r="108" spans="1:9" s="181" customFormat="1" ht="11.25" customHeight="1" x14ac:dyDescent="0.2">
      <c r="A108" s="316"/>
      <c r="B108" s="2102"/>
      <c r="C108" s="2103"/>
      <c r="D108" s="2103"/>
      <c r="E108" s="2103"/>
      <c r="F108" s="2103"/>
      <c r="G108" s="2103"/>
      <c r="H108" s="2103"/>
      <c r="I108" s="2104"/>
    </row>
    <row r="109" spans="1:9" s="181" customFormat="1" ht="11.25" customHeight="1" x14ac:dyDescent="0.2">
      <c r="A109" s="316"/>
      <c r="B109" s="2102"/>
      <c r="C109" s="2103"/>
      <c r="D109" s="2103"/>
      <c r="E109" s="2103"/>
      <c r="F109" s="2103"/>
      <c r="G109" s="2103"/>
      <c r="H109" s="2103"/>
      <c r="I109" s="2104"/>
    </row>
    <row r="110" spans="1:9" s="181" customFormat="1" ht="11.25" customHeight="1" x14ac:dyDescent="0.2">
      <c r="A110" s="316"/>
      <c r="B110" s="2102"/>
      <c r="C110" s="2103"/>
      <c r="D110" s="2103"/>
      <c r="E110" s="2103"/>
      <c r="F110" s="2103"/>
      <c r="G110" s="2103"/>
      <c r="H110" s="2103"/>
      <c r="I110" s="2104"/>
    </row>
    <row r="111" spans="1:9" s="181" customFormat="1" ht="11.25" customHeight="1" x14ac:dyDescent="0.2">
      <c r="A111" s="316"/>
      <c r="B111" s="2102"/>
      <c r="C111" s="2103"/>
      <c r="D111" s="2103"/>
      <c r="E111" s="2103"/>
      <c r="F111" s="2103"/>
      <c r="G111" s="2103"/>
      <c r="H111" s="2103"/>
      <c r="I111" s="2104"/>
    </row>
    <row r="112" spans="1:9" s="181" customFormat="1" ht="11.25" customHeight="1" x14ac:dyDescent="0.2">
      <c r="A112" s="316"/>
      <c r="B112" s="2105"/>
      <c r="C112" s="2106"/>
      <c r="D112" s="2106"/>
      <c r="E112" s="2106"/>
      <c r="F112" s="2106"/>
      <c r="G112" s="2106"/>
      <c r="H112" s="2106"/>
      <c r="I112" s="210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8" t="s">
        <v>2072</v>
      </c>
      <c r="D114" s="210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9" t="s">
        <v>1330</v>
      </c>
      <c r="D117" s="2110"/>
      <c r="E117" s="2111"/>
      <c r="F117" s="2111"/>
      <c r="G117" s="2111"/>
      <c r="H117" s="2111"/>
      <c r="I117" s="304"/>
    </row>
    <row r="118" spans="1:9" s="181" customFormat="1" ht="24" customHeight="1" x14ac:dyDescent="0.2">
      <c r="A118" s="316"/>
      <c r="B118" s="316"/>
      <c r="C118" s="316"/>
      <c r="D118" s="323" t="s">
        <v>2136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4" t="str">
        <f>'Single Audit Cover'!A7</f>
        <v>Carbon Cliff Barstow SD 36</v>
      </c>
      <c r="C1" s="2505"/>
      <c r="D1" s="2505"/>
      <c r="E1" s="2505"/>
      <c r="F1" s="2505"/>
      <c r="G1" s="2505"/>
      <c r="H1" s="2505"/>
      <c r="I1" s="2505"/>
      <c r="J1" s="1403"/>
    </row>
    <row r="2" spans="2:10" s="317" customFormat="1" ht="12.75" customHeight="1" x14ac:dyDescent="0.2">
      <c r="B2" s="2506">
        <f>'Single Audit Cover'!E7</f>
        <v>49081036002</v>
      </c>
      <c r="C2" s="2507"/>
      <c r="D2" s="2507"/>
      <c r="E2" s="2507"/>
      <c r="F2" s="2507"/>
      <c r="G2" s="2507"/>
      <c r="H2" s="2507"/>
      <c r="I2" s="2507"/>
      <c r="J2" s="1403"/>
    </row>
    <row r="3" spans="2:10" s="317" customFormat="1" ht="12.75" customHeight="1" x14ac:dyDescent="0.2">
      <c r="B3" s="2508" t="s">
        <v>1285</v>
      </c>
      <c r="C3" s="2509"/>
      <c r="D3" s="2509"/>
      <c r="E3" s="2509"/>
      <c r="F3" s="2509"/>
      <c r="G3" s="2509"/>
      <c r="H3" s="2509"/>
      <c r="I3" s="2509"/>
      <c r="J3" s="1404"/>
    </row>
    <row r="4" spans="2:10" s="317" customFormat="1" ht="12.75" customHeight="1" x14ac:dyDescent="0.2">
      <c r="B4" s="2508" t="str">
        <f>'Single Audit Cover'!A4</f>
        <v>Year Ending June 30, 2019</v>
      </c>
      <c r="C4" s="2509"/>
      <c r="D4" s="2509"/>
      <c r="E4" s="2509"/>
      <c r="F4" s="2509"/>
      <c r="G4" s="2509"/>
      <c r="H4" s="2509"/>
      <c r="I4" s="2509"/>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08" t="s">
        <v>1284</v>
      </c>
      <c r="C7" s="2509"/>
      <c r="D7" s="2509"/>
      <c r="E7" s="2509"/>
      <c r="F7" s="2509"/>
      <c r="G7" s="2509"/>
      <c r="H7" s="2509"/>
      <c r="I7" s="250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10"/>
      <c r="D11" s="2510"/>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11"/>
      <c r="E29" s="2511"/>
      <c r="F29" s="2511"/>
      <c r="G29" s="2511"/>
      <c r="H29" s="2511"/>
      <c r="I29" s="2511"/>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12" t="s">
        <v>1751</v>
      </c>
      <c r="D37" s="2513"/>
      <c r="E37" s="2513"/>
      <c r="F37" s="2514"/>
      <c r="G37" s="2512" t="s">
        <v>1592</v>
      </c>
      <c r="H37" s="2513"/>
      <c r="I37" s="2514"/>
    </row>
    <row r="38" spans="2:9" ht="16.5" customHeight="1" x14ac:dyDescent="0.2">
      <c r="B38" s="1425"/>
      <c r="C38" s="2500"/>
      <c r="D38" s="2501"/>
      <c r="E38" s="2501"/>
      <c r="F38" s="2502"/>
      <c r="G38" s="2515"/>
      <c r="H38" s="2516"/>
      <c r="I38" s="2517"/>
    </row>
    <row r="39" spans="2:9" ht="16.5" customHeight="1" x14ac:dyDescent="0.2">
      <c r="B39" s="1425"/>
      <c r="C39" s="2500"/>
      <c r="D39" s="2501"/>
      <c r="E39" s="2501"/>
      <c r="F39" s="2502"/>
      <c r="G39" s="2503"/>
      <c r="H39" s="2503"/>
      <c r="I39" s="2503"/>
    </row>
    <row r="40" spans="2:9" ht="16.5" customHeight="1" x14ac:dyDescent="0.2">
      <c r="B40" s="1425"/>
      <c r="C40" s="2500"/>
      <c r="D40" s="2501"/>
      <c r="E40" s="2501"/>
      <c r="F40" s="2502"/>
      <c r="G40" s="2503"/>
      <c r="H40" s="2503"/>
      <c r="I40" s="2503"/>
    </row>
    <row r="41" spans="2:9" ht="16.5" customHeight="1" x14ac:dyDescent="0.2">
      <c r="B41" s="1425"/>
      <c r="C41" s="2500"/>
      <c r="D41" s="2501"/>
      <c r="E41" s="2501"/>
      <c r="F41" s="2502"/>
      <c r="G41" s="2503"/>
      <c r="H41" s="2503"/>
      <c r="I41" s="2503"/>
    </row>
    <row r="42" spans="2:9" ht="16.5" customHeight="1" x14ac:dyDescent="0.2">
      <c r="B42" s="1425"/>
      <c r="C42" s="2500"/>
      <c r="D42" s="2501"/>
      <c r="E42" s="2501"/>
      <c r="F42" s="2502"/>
      <c r="G42" s="2503"/>
      <c r="H42" s="2503"/>
      <c r="I42" s="2503"/>
    </row>
    <row r="43" spans="2:9" ht="16.5" customHeight="1" x14ac:dyDescent="0.2">
      <c r="B43" s="1425"/>
      <c r="C43" s="2493" t="s">
        <v>1593</v>
      </c>
      <c r="D43" s="2494"/>
      <c r="E43" s="2494"/>
      <c r="F43" s="2495"/>
      <c r="G43" s="2496">
        <f>SUM(G38:I42)</f>
        <v>0</v>
      </c>
      <c r="H43" s="2496"/>
      <c r="I43" s="2496"/>
    </row>
    <row r="44" spans="2:9" ht="12.75" customHeight="1" x14ac:dyDescent="0.2"/>
    <row r="45" spans="2:9" ht="12.75" customHeight="1" x14ac:dyDescent="0.2">
      <c r="B45" s="1416" t="s">
        <v>1841</v>
      </c>
      <c r="D45" s="2497">
        <v>0</v>
      </c>
      <c r="E45" s="249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9"/>
      <c r="F49" s="2499"/>
      <c r="G49" s="249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4" t="str">
        <f>'Single Audit Cover'!A7</f>
        <v>Carbon Cliff Barstow SD 36</v>
      </c>
      <c r="C1" s="2504"/>
      <c r="D1" s="2504"/>
      <c r="E1" s="2504"/>
      <c r="F1" s="2504"/>
      <c r="G1" s="2504"/>
      <c r="H1" s="2504"/>
      <c r="I1" s="2504"/>
      <c r="J1" s="2504"/>
      <c r="K1" s="2504"/>
      <c r="L1" s="1368"/>
      <c r="M1" s="1368"/>
    </row>
    <row r="2" spans="1:13" ht="12" customHeight="1" x14ac:dyDescent="0.2">
      <c r="B2" s="2506">
        <f>'Single Audit Cover'!E7</f>
        <v>49081036002</v>
      </c>
      <c r="C2" s="2506"/>
      <c r="D2" s="2506"/>
      <c r="E2" s="2506"/>
      <c r="F2" s="2506"/>
      <c r="G2" s="2506"/>
      <c r="H2" s="2506"/>
      <c r="I2" s="2506"/>
      <c r="J2" s="2506"/>
      <c r="K2" s="2506"/>
      <c r="L2" s="1369"/>
      <c r="M2" s="1370"/>
    </row>
    <row r="3" spans="1:13" ht="10.35" customHeight="1" x14ac:dyDescent="0.2">
      <c r="B3" s="2520" t="s">
        <v>1285</v>
      </c>
      <c r="C3" s="2520"/>
      <c r="D3" s="2520"/>
      <c r="E3" s="2520"/>
      <c r="F3" s="2520"/>
      <c r="G3" s="2520"/>
      <c r="H3" s="2520"/>
      <c r="I3" s="2520"/>
      <c r="J3" s="2520"/>
      <c r="K3" s="2520"/>
      <c r="L3" s="1371"/>
      <c r="M3" s="1371"/>
    </row>
    <row r="4" spans="1:13" ht="14.25" customHeight="1" x14ac:dyDescent="0.2">
      <c r="B4" s="2521" t="str">
        <f>'Single Audit Cover'!A4</f>
        <v>Year Ending June 30, 2019</v>
      </c>
      <c r="C4" s="2521"/>
      <c r="D4" s="2521"/>
      <c r="E4" s="2521"/>
      <c r="F4" s="2521"/>
      <c r="G4" s="2521"/>
      <c r="H4" s="2521"/>
      <c r="I4" s="2521"/>
      <c r="J4" s="2521"/>
      <c r="K4" s="252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21" t="s">
        <v>1296</v>
      </c>
      <c r="C7" s="2521"/>
      <c r="D7" s="2522"/>
      <c r="E7" s="2522"/>
      <c r="F7" s="2522"/>
      <c r="G7" s="2522"/>
      <c r="H7" s="2522"/>
      <c r="I7" s="2522"/>
      <c r="J7" s="2522"/>
      <c r="K7" s="252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2007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19" t="s">
        <v>2105</v>
      </c>
      <c r="C14" s="2519"/>
      <c r="D14" s="2519"/>
      <c r="E14" s="2519"/>
      <c r="F14" s="2519"/>
      <c r="G14" s="2519"/>
      <c r="H14" s="2519"/>
      <c r="I14" s="2519"/>
      <c r="J14" s="2519"/>
      <c r="K14" s="251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19" t="s">
        <v>2106</v>
      </c>
      <c r="C17" s="2519"/>
      <c r="D17" s="2519"/>
      <c r="E17" s="2519"/>
      <c r="F17" s="2519"/>
      <c r="G17" s="2519"/>
      <c r="H17" s="2519"/>
      <c r="I17" s="2519"/>
      <c r="J17" s="2519"/>
      <c r="K17" s="251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23" t="s">
        <v>2107</v>
      </c>
      <c r="C20" s="2523"/>
      <c r="D20" s="2519"/>
      <c r="E20" s="2519"/>
      <c r="F20" s="2519"/>
      <c r="G20" s="2519"/>
      <c r="H20" s="2519"/>
      <c r="I20" s="2519"/>
      <c r="J20" s="2519"/>
      <c r="K20" s="251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19" t="s">
        <v>2108</v>
      </c>
      <c r="C23" s="2519"/>
      <c r="D23" s="2519"/>
      <c r="E23" s="2519"/>
      <c r="F23" s="2519"/>
      <c r="G23" s="2519"/>
      <c r="H23" s="2519"/>
      <c r="I23" s="2519"/>
      <c r="J23" s="2519"/>
      <c r="K23" s="251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19" t="s">
        <v>2110</v>
      </c>
      <c r="C26" s="2519"/>
      <c r="D26" s="2519"/>
      <c r="E26" s="2519"/>
      <c r="F26" s="2519"/>
      <c r="G26" s="2519"/>
      <c r="H26" s="2519"/>
      <c r="I26" s="2519"/>
      <c r="J26" s="2519"/>
      <c r="K26" s="251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18" t="s">
        <v>2109</v>
      </c>
      <c r="C29" s="2518"/>
      <c r="D29" s="2519"/>
      <c r="E29" s="2519"/>
      <c r="F29" s="2519"/>
      <c r="G29" s="2519"/>
      <c r="H29" s="2519"/>
      <c r="I29" s="2519"/>
      <c r="J29" s="2519"/>
      <c r="K29" s="251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18" t="s">
        <v>2111</v>
      </c>
      <c r="C32" s="2518"/>
      <c r="D32" s="2519"/>
      <c r="E32" s="2519"/>
      <c r="F32" s="2519"/>
      <c r="G32" s="2519"/>
      <c r="H32" s="2519"/>
      <c r="I32" s="2519"/>
      <c r="J32" s="2519"/>
      <c r="K32" s="251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5" customWidth="1"/>
    <col min="8" max="8" width="10.5703125" style="316" customWidth="1"/>
    <col min="9" max="9" width="3.42578125" style="1965"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4" t="s">
        <v>2075</v>
      </c>
      <c r="C1" s="2524"/>
      <c r="D1" s="2524"/>
      <c r="E1" s="2524"/>
      <c r="F1" s="2524"/>
      <c r="G1" s="2524"/>
      <c r="H1" s="2524"/>
      <c r="I1" s="2524"/>
      <c r="J1" s="2524"/>
      <c r="K1" s="2524"/>
      <c r="L1" s="1961"/>
      <c r="M1" s="1961"/>
    </row>
    <row r="2" spans="1:13" ht="12" customHeight="1" x14ac:dyDescent="0.2">
      <c r="B2" s="2525" t="s">
        <v>2073</v>
      </c>
      <c r="C2" s="2525"/>
      <c r="D2" s="2525"/>
      <c r="E2" s="2525"/>
      <c r="F2" s="2525"/>
      <c r="G2" s="2525"/>
      <c r="H2" s="2525"/>
      <c r="I2" s="2525"/>
      <c r="J2" s="2525"/>
      <c r="K2" s="2525"/>
      <c r="L2" s="1962"/>
      <c r="M2" s="1963"/>
    </row>
    <row r="3" spans="1:13" ht="10.35" customHeight="1" x14ac:dyDescent="0.2">
      <c r="B3" s="2526" t="s">
        <v>1285</v>
      </c>
      <c r="C3" s="2526"/>
      <c r="D3" s="2526"/>
      <c r="E3" s="2526"/>
      <c r="F3" s="2526"/>
      <c r="G3" s="2526"/>
      <c r="H3" s="2526"/>
      <c r="I3" s="2526"/>
      <c r="J3" s="2526"/>
      <c r="K3" s="2526"/>
      <c r="L3" s="1960"/>
      <c r="M3" s="1960"/>
    </row>
    <row r="4" spans="1:13" ht="14.25" customHeight="1" x14ac:dyDescent="0.2">
      <c r="B4" s="2526" t="str">
        <f>'Single Audit Cover'!A4</f>
        <v>Year Ending June 30, 2019</v>
      </c>
      <c r="C4" s="2526"/>
      <c r="D4" s="2526"/>
      <c r="E4" s="2526"/>
      <c r="F4" s="2526"/>
      <c r="G4" s="2526"/>
      <c r="H4" s="2526"/>
      <c r="I4" s="2526"/>
      <c r="J4" s="2526"/>
      <c r="K4" s="2526"/>
      <c r="L4" s="1960"/>
      <c r="M4" s="1960"/>
    </row>
    <row r="5" spans="1:13" ht="7.5" customHeight="1" x14ac:dyDescent="0.2">
      <c r="B5" s="1964" t="s">
        <v>1169</v>
      </c>
      <c r="C5" s="1964"/>
    </row>
    <row r="6" spans="1:13" ht="7.5" customHeight="1" x14ac:dyDescent="0.2">
      <c r="B6" s="1966"/>
      <c r="C6" s="1966"/>
      <c r="D6" s="1967"/>
      <c r="E6" s="1967"/>
      <c r="F6" s="1967"/>
      <c r="G6" s="1968"/>
      <c r="H6" s="1967"/>
      <c r="I6" s="1968"/>
      <c r="J6" s="1967"/>
      <c r="K6" s="1967"/>
    </row>
    <row r="7" spans="1:13" ht="12.75" customHeight="1" x14ac:dyDescent="0.2">
      <c r="A7" s="1209"/>
      <c r="B7" s="2526" t="s">
        <v>1296</v>
      </c>
      <c r="C7" s="2526"/>
      <c r="D7" s="2507"/>
      <c r="E7" s="2507"/>
      <c r="F7" s="2507"/>
      <c r="G7" s="2507"/>
      <c r="H7" s="2507"/>
      <c r="I7" s="2507"/>
      <c r="J7" s="2507"/>
      <c r="K7" s="2507"/>
      <c r="L7" s="1969"/>
    </row>
    <row r="8" spans="1:13" ht="7.5" customHeight="1" x14ac:dyDescent="0.2"/>
    <row r="9" spans="1:13" ht="9.6" customHeight="1" x14ac:dyDescent="0.2">
      <c r="B9" s="1967"/>
      <c r="C9" s="1967"/>
      <c r="D9" s="1967"/>
      <c r="E9" s="1967"/>
      <c r="F9" s="1967"/>
      <c r="G9" s="1968"/>
      <c r="H9" s="1967"/>
      <c r="I9" s="1968"/>
      <c r="J9" s="1967"/>
      <c r="K9" s="1967"/>
    </row>
    <row r="10" spans="1:13" ht="16.5" customHeight="1" x14ac:dyDescent="0.2">
      <c r="B10" s="1213" t="s">
        <v>1742</v>
      </c>
      <c r="C10" s="1970" t="s">
        <v>1991</v>
      </c>
      <c r="D10" s="1380">
        <v>2</v>
      </c>
      <c r="F10" s="1213" t="s">
        <v>1295</v>
      </c>
      <c r="G10" s="1382"/>
      <c r="H10" s="1971" t="s">
        <v>1294</v>
      </c>
      <c r="I10" s="1382" t="s">
        <v>2070</v>
      </c>
      <c r="J10" s="1972" t="s">
        <v>1293</v>
      </c>
    </row>
    <row r="11" spans="1:13" ht="13.5" customHeight="1" x14ac:dyDescent="0.2">
      <c r="I11" s="1973" t="s">
        <v>1292</v>
      </c>
      <c r="K11" s="1386">
        <v>2018</v>
      </c>
    </row>
    <row r="12" spans="1:13" ht="13.5" customHeight="1" x14ac:dyDescent="0.2">
      <c r="B12" s="1964"/>
      <c r="C12" s="1964"/>
    </row>
    <row r="13" spans="1:13" s="1209" customFormat="1" ht="13.5" customHeight="1" x14ac:dyDescent="0.2">
      <c r="B13" s="1974" t="s">
        <v>1291</v>
      </c>
      <c r="C13" s="1974"/>
      <c r="D13" s="1975"/>
      <c r="E13" s="1975"/>
      <c r="F13" s="1975"/>
      <c r="G13" s="1976"/>
      <c r="H13" s="1975"/>
      <c r="I13" s="1976"/>
      <c r="J13" s="1975"/>
      <c r="K13" s="1975"/>
    </row>
    <row r="14" spans="1:13" ht="45.75" customHeight="1" x14ac:dyDescent="0.2">
      <c r="B14" s="2519" t="s">
        <v>2113</v>
      </c>
      <c r="C14" s="2527"/>
      <c r="D14" s="2527"/>
      <c r="E14" s="2527"/>
      <c r="F14" s="2527"/>
      <c r="G14" s="2527"/>
      <c r="H14" s="2527"/>
      <c r="I14" s="2527"/>
      <c r="J14" s="2527"/>
      <c r="K14" s="2527"/>
    </row>
    <row r="15" spans="1:13" ht="4.5" customHeight="1" x14ac:dyDescent="0.2">
      <c r="B15" s="1083"/>
      <c r="C15" s="1083"/>
    </row>
    <row r="16" spans="1:13" s="1209" customFormat="1" ht="13.5" customHeight="1" x14ac:dyDescent="0.2">
      <c r="B16" s="1974" t="s">
        <v>1290</v>
      </c>
      <c r="C16" s="1974"/>
      <c r="D16" s="1975"/>
      <c r="E16" s="1975"/>
      <c r="F16" s="1975"/>
      <c r="G16" s="1976"/>
      <c r="H16" s="1975"/>
      <c r="I16" s="1976"/>
      <c r="J16" s="1975"/>
      <c r="K16" s="1975"/>
    </row>
    <row r="17" spans="2:11" ht="45.75" customHeight="1" x14ac:dyDescent="0.2">
      <c r="B17" s="2519" t="s">
        <v>2123</v>
      </c>
      <c r="C17" s="2527"/>
      <c r="D17" s="2527"/>
      <c r="E17" s="2527"/>
      <c r="F17" s="2527"/>
      <c r="G17" s="2527"/>
      <c r="H17" s="2527"/>
      <c r="I17" s="2527"/>
      <c r="J17" s="2527"/>
      <c r="K17" s="2527"/>
    </row>
    <row r="18" spans="2:11" ht="4.5" customHeight="1" x14ac:dyDescent="0.2">
      <c r="B18" s="1083"/>
      <c r="C18" s="1083"/>
    </row>
    <row r="19" spans="2:11" s="1209" customFormat="1" ht="13.5" customHeight="1" x14ac:dyDescent="0.2">
      <c r="B19" s="1974" t="s">
        <v>1743</v>
      </c>
      <c r="C19" s="1974"/>
      <c r="D19" s="1975"/>
      <c r="E19" s="1975"/>
      <c r="F19" s="1975"/>
      <c r="G19" s="1976"/>
      <c r="H19" s="1975"/>
      <c r="I19" s="1976"/>
      <c r="J19" s="1975"/>
      <c r="K19" s="1975"/>
    </row>
    <row r="20" spans="2:11" ht="45.75" customHeight="1" x14ac:dyDescent="0.2">
      <c r="B20" s="2519" t="s">
        <v>2114</v>
      </c>
      <c r="C20" s="2519"/>
      <c r="D20" s="2519"/>
      <c r="E20" s="2519"/>
      <c r="F20" s="2519"/>
      <c r="G20" s="2519"/>
      <c r="H20" s="2519"/>
      <c r="I20" s="2519"/>
      <c r="J20" s="2519"/>
      <c r="K20" s="2519"/>
    </row>
    <row r="21" spans="2:11" ht="4.5" customHeight="1" x14ac:dyDescent="0.2">
      <c r="B21" s="1977"/>
      <c r="C21" s="1977"/>
    </row>
    <row r="22" spans="2:11" ht="13.5" customHeight="1" x14ac:dyDescent="0.2">
      <c r="B22" s="1974" t="s">
        <v>1289</v>
      </c>
      <c r="C22" s="1974"/>
      <c r="D22" s="1967"/>
      <c r="E22" s="1967"/>
      <c r="F22" s="1967"/>
      <c r="G22" s="1968"/>
      <c r="H22" s="1967"/>
      <c r="I22" s="1968"/>
      <c r="J22" s="1967"/>
      <c r="K22" s="1967"/>
    </row>
    <row r="23" spans="2:11" ht="45" customHeight="1" x14ac:dyDescent="0.2">
      <c r="B23" s="2519" t="s">
        <v>2115</v>
      </c>
      <c r="C23" s="2519"/>
      <c r="D23" s="2519"/>
      <c r="E23" s="2519"/>
      <c r="F23" s="2519"/>
      <c r="G23" s="2519"/>
      <c r="H23" s="2519"/>
      <c r="I23" s="2519"/>
      <c r="J23" s="2519"/>
      <c r="K23" s="2519"/>
    </row>
    <row r="24" spans="2:11" ht="4.5" customHeight="1" x14ac:dyDescent="0.2">
      <c r="B24" s="1083"/>
      <c r="C24" s="1083"/>
    </row>
    <row r="25" spans="2:11" ht="13.5" customHeight="1" x14ac:dyDescent="0.2">
      <c r="B25" s="1974" t="s">
        <v>1288</v>
      </c>
      <c r="C25" s="1974"/>
      <c r="D25" s="1967"/>
      <c r="E25" s="1967"/>
      <c r="F25" s="1967"/>
      <c r="G25" s="1968"/>
      <c r="H25" s="1967"/>
      <c r="I25" s="1968"/>
      <c r="J25" s="1967"/>
      <c r="K25" s="1967"/>
    </row>
    <row r="26" spans="2:11" ht="45.75" customHeight="1" x14ac:dyDescent="0.2">
      <c r="B26" s="2519" t="s">
        <v>2130</v>
      </c>
      <c r="C26" s="2519"/>
      <c r="D26" s="2519"/>
      <c r="E26" s="2519"/>
      <c r="F26" s="2519"/>
      <c r="G26" s="2519"/>
      <c r="H26" s="2519"/>
      <c r="I26" s="2519"/>
      <c r="J26" s="2519"/>
      <c r="K26" s="2519"/>
    </row>
    <row r="27" spans="2:11" ht="4.5" customHeight="1" x14ac:dyDescent="0.2">
      <c r="B27" s="1083"/>
      <c r="C27" s="1083"/>
    </row>
    <row r="28" spans="2:11" ht="13.5" customHeight="1" x14ac:dyDescent="0.2">
      <c r="B28" s="1978" t="s">
        <v>1287</v>
      </c>
      <c r="C28" s="1978"/>
      <c r="D28" s="1967"/>
      <c r="E28" s="1967"/>
      <c r="F28" s="1967"/>
      <c r="G28" s="1968"/>
      <c r="H28" s="1967"/>
      <c r="I28" s="1968"/>
      <c r="J28" s="1967"/>
      <c r="K28" s="1967"/>
    </row>
    <row r="29" spans="2:11" ht="45.75" customHeight="1" x14ac:dyDescent="0.2">
      <c r="B29" s="2519" t="s">
        <v>2133</v>
      </c>
      <c r="C29" s="2519"/>
      <c r="D29" s="2519"/>
      <c r="E29" s="2519"/>
      <c r="F29" s="2519"/>
      <c r="G29" s="2519"/>
      <c r="H29" s="2519"/>
      <c r="I29" s="2519"/>
      <c r="J29" s="2519"/>
      <c r="K29" s="2519"/>
    </row>
    <row r="30" spans="2:11" ht="4.5" customHeight="1" x14ac:dyDescent="0.2">
      <c r="B30" s="1083"/>
      <c r="C30" s="1083"/>
    </row>
    <row r="31" spans="2:11" ht="13.5" customHeight="1" x14ac:dyDescent="0.2">
      <c r="B31" s="1979" t="s">
        <v>1744</v>
      </c>
      <c r="C31" s="1979"/>
      <c r="D31" s="1966"/>
      <c r="E31" s="1967"/>
      <c r="F31" s="1967"/>
      <c r="G31" s="1968"/>
      <c r="H31" s="1967"/>
      <c r="I31" s="1968"/>
      <c r="J31" s="1967"/>
      <c r="K31" s="1967"/>
    </row>
    <row r="32" spans="2:11" ht="44.25" customHeight="1" x14ac:dyDescent="0.2">
      <c r="B32" s="2519" t="s">
        <v>2131</v>
      </c>
      <c r="C32" s="2519"/>
      <c r="D32" s="2519"/>
      <c r="E32" s="2519"/>
      <c r="F32" s="2519"/>
      <c r="G32" s="2519"/>
      <c r="H32" s="2519"/>
      <c r="I32" s="2519"/>
      <c r="J32" s="2519"/>
      <c r="K32" s="2519"/>
    </row>
    <row r="33" spans="1:13" ht="4.5" customHeight="1" x14ac:dyDescent="0.2">
      <c r="B33" s="1083"/>
      <c r="C33" s="1083"/>
    </row>
    <row r="34" spans="1:13" x14ac:dyDescent="0.2">
      <c r="A34" s="1980"/>
      <c r="B34" s="1980"/>
      <c r="C34" s="1980"/>
      <c r="D34" s="1980"/>
      <c r="E34" s="1980"/>
      <c r="F34" s="1980"/>
      <c r="G34" s="1981"/>
      <c r="H34" s="1980"/>
      <c r="I34" s="1981"/>
      <c r="J34" s="1980"/>
      <c r="K34" s="1980"/>
    </row>
    <row r="35" spans="1:13" ht="11.85" customHeight="1" x14ac:dyDescent="0.2">
      <c r="B35" s="1982" t="s">
        <v>1745</v>
      </c>
      <c r="C35" s="1982"/>
    </row>
    <row r="36" spans="1:13" ht="9.6" customHeight="1" x14ac:dyDescent="0.2">
      <c r="B36" s="1216" t="s">
        <v>1842</v>
      </c>
      <c r="C36" s="1216"/>
    </row>
    <row r="37" spans="1:13" ht="9.6" customHeight="1" x14ac:dyDescent="0.2">
      <c r="B37" s="1216" t="s">
        <v>1843</v>
      </c>
      <c r="C37" s="1216"/>
    </row>
    <row r="38" spans="1:13" ht="11.85" customHeight="1" x14ac:dyDescent="0.2">
      <c r="B38" s="1982" t="s">
        <v>1746</v>
      </c>
      <c r="C38" s="1982"/>
    </row>
    <row r="39" spans="1:13" ht="9.6" customHeight="1" x14ac:dyDescent="0.2">
      <c r="B39" s="1216" t="s">
        <v>1286</v>
      </c>
      <c r="C39" s="1216"/>
      <c r="M39" s="1983"/>
    </row>
    <row r="40" spans="1:13" ht="12.6" customHeight="1" x14ac:dyDescent="0.2">
      <c r="B40" s="1982" t="s">
        <v>1747</v>
      </c>
      <c r="C40" s="1982"/>
      <c r="M40" s="1983"/>
    </row>
    <row r="41" spans="1:13" ht="9.6" customHeight="1" x14ac:dyDescent="0.2">
      <c r="B41" s="1216"/>
      <c r="C41" s="1216"/>
      <c r="M41" s="198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Carbon Cliff Barstow SD 36</v>
      </c>
      <c r="C1" s="2531"/>
      <c r="D1" s="2531"/>
      <c r="E1" s="2531"/>
      <c r="F1" s="2531"/>
      <c r="G1" s="2531"/>
      <c r="H1" s="2531"/>
      <c r="I1" s="2531"/>
      <c r="J1" s="2531"/>
      <c r="K1" s="2531"/>
      <c r="L1" s="1446"/>
    </row>
    <row r="2" spans="1:12" ht="12.75" customHeight="1" x14ac:dyDescent="0.2">
      <c r="B2" s="2532">
        <f>'Single Audit Cover'!E7</f>
        <v>49081036002</v>
      </c>
      <c r="C2" s="2532"/>
      <c r="D2" s="2532"/>
      <c r="E2" s="2532"/>
      <c r="F2" s="2532"/>
      <c r="G2" s="2532"/>
      <c r="H2" s="2532"/>
      <c r="I2" s="2532"/>
      <c r="J2" s="2532"/>
      <c r="K2" s="2532"/>
      <c r="L2" s="1447"/>
    </row>
    <row r="3" spans="1:12" ht="12.75" customHeight="1" x14ac:dyDescent="0.2">
      <c r="B3" s="2520" t="s">
        <v>1285</v>
      </c>
      <c r="C3" s="2520"/>
      <c r="D3" s="2520"/>
      <c r="E3" s="2520"/>
      <c r="F3" s="2520"/>
      <c r="G3" s="2520"/>
      <c r="H3" s="2520"/>
      <c r="I3" s="2520"/>
      <c r="J3" s="2520"/>
      <c r="K3" s="2520"/>
      <c r="L3" s="1371"/>
    </row>
    <row r="4" spans="1:12" ht="12.75" customHeight="1" x14ac:dyDescent="0.2">
      <c r="B4" s="2520" t="str">
        <f>'Single Audit Cover'!A4</f>
        <v>Year Ending June 30, 2019</v>
      </c>
      <c r="C4" s="2520"/>
      <c r="D4" s="2520"/>
      <c r="E4" s="2520"/>
      <c r="F4" s="2520"/>
      <c r="G4" s="2520"/>
      <c r="H4" s="2520"/>
      <c r="I4" s="2520"/>
      <c r="J4" s="2520"/>
      <c r="K4" s="2520"/>
      <c r="L4" s="1371"/>
    </row>
    <row r="5" spans="1:12" ht="5.25" customHeight="1" x14ac:dyDescent="0.2">
      <c r="B5" s="1254" t="s">
        <v>1169</v>
      </c>
      <c r="C5" s="1254"/>
      <c r="L5" s="322"/>
    </row>
    <row r="6" spans="1:12" ht="30.75" customHeight="1" x14ac:dyDescent="0.2">
      <c r="A6" s="322"/>
      <c r="B6" s="2533" t="s">
        <v>1308</v>
      </c>
      <c r="C6" s="2533"/>
      <c r="D6" s="2533"/>
      <c r="E6" s="2533"/>
      <c r="F6" s="2533"/>
      <c r="G6" s="2533"/>
      <c r="H6" s="2533"/>
      <c r="I6" s="2533"/>
      <c r="J6" s="2533"/>
      <c r="K6" s="2533"/>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11"/>
      <c r="G12" s="2511"/>
      <c r="H12" s="2511"/>
      <c r="I12" s="2511"/>
      <c r="J12" s="2511"/>
      <c r="K12" s="251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28"/>
      <c r="E14" s="2528"/>
      <c r="F14" s="2528"/>
      <c r="H14" s="1456" t="s">
        <v>1303</v>
      </c>
      <c r="I14" s="2529"/>
      <c r="J14" s="2529"/>
      <c r="K14" s="252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29"/>
      <c r="E16" s="2529"/>
      <c r="F16" s="2529"/>
      <c r="G16" s="2529"/>
      <c r="H16" s="2529"/>
      <c r="I16" s="2529"/>
      <c r="J16" s="2529"/>
      <c r="K16" s="2529"/>
      <c r="L16" s="322"/>
    </row>
    <row r="17" spans="2:12" ht="13.5" customHeight="1" x14ac:dyDescent="0.2">
      <c r="B17" s="1381" t="s">
        <v>1301</v>
      </c>
      <c r="C17" s="1381"/>
      <c r="D17" s="2530"/>
      <c r="E17" s="2530"/>
      <c r="F17" s="2530"/>
      <c r="G17" s="2530"/>
      <c r="H17" s="2530"/>
      <c r="I17" s="2530"/>
      <c r="J17" s="2530"/>
      <c r="K17" s="253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19"/>
      <c r="C20" s="2519"/>
      <c r="D20" s="2519"/>
      <c r="E20" s="2519"/>
      <c r="F20" s="2519"/>
      <c r="G20" s="2519"/>
      <c r="H20" s="2519"/>
      <c r="I20" s="2519"/>
      <c r="J20" s="2519"/>
      <c r="K20" s="251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19"/>
      <c r="C23" s="2519"/>
      <c r="D23" s="2519"/>
      <c r="E23" s="2519"/>
      <c r="F23" s="2519"/>
      <c r="G23" s="2519"/>
      <c r="H23" s="2519"/>
      <c r="I23" s="2519"/>
      <c r="J23" s="2519"/>
      <c r="K23" s="251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19"/>
      <c r="C26" s="2519"/>
      <c r="D26" s="2519"/>
      <c r="E26" s="2519"/>
      <c r="F26" s="2519"/>
      <c r="G26" s="2519"/>
      <c r="H26" s="2519"/>
      <c r="I26" s="2519"/>
      <c r="J26" s="2519"/>
      <c r="K26" s="251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19"/>
      <c r="C29" s="2519"/>
      <c r="D29" s="2519"/>
      <c r="E29" s="2519"/>
      <c r="F29" s="2519"/>
      <c r="G29" s="2519"/>
      <c r="H29" s="2519"/>
      <c r="I29" s="2519"/>
      <c r="J29" s="2519"/>
      <c r="K29" s="251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19"/>
      <c r="C32" s="2519"/>
      <c r="D32" s="2519"/>
      <c r="E32" s="2519"/>
      <c r="F32" s="2519"/>
      <c r="G32" s="2519"/>
      <c r="H32" s="2519"/>
      <c r="I32" s="2519"/>
      <c r="J32" s="2519"/>
      <c r="K32" s="251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19"/>
      <c r="C35" s="2519"/>
      <c r="D35" s="2519"/>
      <c r="E35" s="2519"/>
      <c r="F35" s="2519"/>
      <c r="G35" s="2519"/>
      <c r="H35" s="2519"/>
      <c r="I35" s="2519"/>
      <c r="J35" s="2519"/>
      <c r="K35" s="251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19"/>
      <c r="C38" s="2519"/>
      <c r="D38" s="2519"/>
      <c r="E38" s="2519"/>
      <c r="F38" s="2519"/>
      <c r="G38" s="2519"/>
      <c r="H38" s="2519"/>
      <c r="I38" s="2519"/>
      <c r="J38" s="2519"/>
      <c r="K38" s="251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19"/>
      <c r="C41" s="2519"/>
      <c r="D41" s="2519"/>
      <c r="E41" s="2519"/>
      <c r="F41" s="2519"/>
      <c r="G41" s="2519"/>
      <c r="H41" s="2519"/>
      <c r="I41" s="2519"/>
      <c r="J41" s="2519"/>
      <c r="K41" s="251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04" t="str">
        <f>'Single Audit Cover'!A7</f>
        <v>Carbon Cliff Barstow SD 36</v>
      </c>
      <c r="C1" s="2504"/>
      <c r="D1" s="2504"/>
      <c r="E1" s="1466"/>
    </row>
    <row r="2" spans="2:5" s="1276" customFormat="1" ht="12.75" customHeight="1" x14ac:dyDescent="0.2">
      <c r="B2" s="2506">
        <f>'Single Audit Cover'!E7</f>
        <v>49081036002</v>
      </c>
      <c r="C2" s="2506"/>
      <c r="D2" s="2506"/>
      <c r="E2" s="1467"/>
    </row>
    <row r="3" spans="2:5" ht="12.75" customHeight="1" x14ac:dyDescent="0.2">
      <c r="B3" s="2520" t="s">
        <v>1766</v>
      </c>
      <c r="C3" s="2520"/>
      <c r="D3" s="2520"/>
      <c r="E3" s="1268"/>
    </row>
    <row r="4" spans="2:5" s="1276" customFormat="1" ht="12.75" customHeight="1" x14ac:dyDescent="0.2">
      <c r="B4" s="2534" t="str">
        <f>'Single Audit Cover'!A4</f>
        <v>Year Ending June 30, 2019</v>
      </c>
      <c r="C4" s="2534"/>
      <c r="D4" s="253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2089</v>
      </c>
      <c r="C7" s="324" t="s">
        <v>2128</v>
      </c>
      <c r="D7" s="324" t="s">
        <v>2104</v>
      </c>
      <c r="E7" s="324"/>
    </row>
    <row r="8" spans="2:5" ht="13.5" customHeight="1" x14ac:dyDescent="0.2">
      <c r="B8" s="1471" t="s">
        <v>2103</v>
      </c>
      <c r="C8" s="324" t="s">
        <v>2129</v>
      </c>
      <c r="D8" s="324" t="s">
        <v>2112</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36" t="str">
        <f>'Single Audit Cover'!A7</f>
        <v>Carbon Cliff Barstow SD 36</v>
      </c>
      <c r="C1" s="2536"/>
      <c r="D1" s="2536"/>
      <c r="E1" s="2536"/>
      <c r="F1" s="1937"/>
      <c r="G1" s="1937"/>
      <c r="H1" s="1937"/>
      <c r="I1" s="1937"/>
      <c r="J1" s="1937"/>
      <c r="K1" s="1937"/>
      <c r="L1" s="1937"/>
    </row>
    <row r="2" spans="2:12" ht="13.5" customHeight="1" x14ac:dyDescent="0.2">
      <c r="B2" s="2537">
        <f>'Single Audit Cover'!E7</f>
        <v>49081036002</v>
      </c>
      <c r="C2" s="2537"/>
      <c r="D2" s="2537"/>
      <c r="E2" s="2537"/>
      <c r="F2" s="1939"/>
      <c r="G2" s="1939"/>
      <c r="H2" s="1939"/>
      <c r="I2" s="1939"/>
      <c r="J2" s="1939"/>
      <c r="K2" s="1939"/>
      <c r="L2" s="1939"/>
    </row>
    <row r="3" spans="2:12" ht="13.5" customHeight="1" x14ac:dyDescent="0.2">
      <c r="B3" s="2538" t="s">
        <v>2090</v>
      </c>
      <c r="C3" s="2538"/>
      <c r="D3" s="2538"/>
      <c r="E3" s="2538"/>
      <c r="F3" s="1940"/>
      <c r="G3" s="1940"/>
      <c r="H3" s="1940"/>
      <c r="I3" s="1940"/>
      <c r="J3" s="1940"/>
      <c r="K3" s="1940"/>
      <c r="L3" s="1940"/>
    </row>
    <row r="4" spans="2:12" ht="13.5" customHeight="1" x14ac:dyDescent="0.2">
      <c r="B4" s="2539" t="s">
        <v>1989</v>
      </c>
      <c r="C4" s="2539"/>
      <c r="D4" s="2539"/>
      <c r="E4" s="2539"/>
      <c r="F4" s="1941"/>
      <c r="G4" s="1941"/>
      <c r="H4" s="1941"/>
      <c r="I4" s="1941"/>
      <c r="J4" s="1941"/>
      <c r="K4" s="1941"/>
      <c r="L4" s="1941"/>
    </row>
    <row r="5" spans="2:12" ht="29.85" customHeight="1" x14ac:dyDescent="0.2"/>
    <row r="6" spans="2:12" ht="13.5" customHeight="1" x14ac:dyDescent="0.2">
      <c r="B6" s="1942" t="s">
        <v>2091</v>
      </c>
      <c r="C6" s="1942"/>
      <c r="D6" s="1943"/>
      <c r="E6" s="1944"/>
      <c r="F6" s="1944"/>
      <c r="G6" s="1945"/>
      <c r="H6" s="1945"/>
      <c r="I6" s="1945"/>
    </row>
    <row r="7" spans="2:12" ht="13.5" customHeight="1" x14ac:dyDescent="0.2">
      <c r="B7" s="1938" t="s">
        <v>1169</v>
      </c>
    </row>
    <row r="8" spans="2:12" ht="13.5" customHeight="1" x14ac:dyDescent="0.2">
      <c r="B8" s="1946" t="s">
        <v>2092</v>
      </c>
      <c r="C8" s="1947" t="s">
        <v>1991</v>
      </c>
      <c r="D8" s="1948">
        <v>1</v>
      </c>
    </row>
    <row r="9" spans="2:12" ht="13.5" customHeight="1" x14ac:dyDescent="0.2">
      <c r="B9" s="1949"/>
      <c r="C9" s="1949"/>
      <c r="D9" s="1949"/>
    </row>
    <row r="10" spans="2:12" ht="13.5" customHeight="1" x14ac:dyDescent="0.2">
      <c r="B10" s="1946" t="s">
        <v>2093</v>
      </c>
      <c r="C10" s="1946"/>
    </row>
    <row r="11" spans="2:12" ht="66.75" customHeight="1" x14ac:dyDescent="0.2">
      <c r="B11" s="2535" t="s">
        <v>2116</v>
      </c>
      <c r="C11" s="2535"/>
      <c r="D11" s="2535"/>
      <c r="E11" s="2535"/>
    </row>
    <row r="12" spans="2:12" ht="13.5" customHeight="1" x14ac:dyDescent="0.2"/>
    <row r="13" spans="2:12" ht="13.5" customHeight="1" x14ac:dyDescent="0.2">
      <c r="B13" s="1946" t="s">
        <v>2094</v>
      </c>
      <c r="C13" s="1946"/>
    </row>
    <row r="14" spans="2:12" ht="76.5" customHeight="1" x14ac:dyDescent="0.2">
      <c r="B14" s="2535" t="s">
        <v>2132</v>
      </c>
      <c r="C14" s="2535"/>
      <c r="D14" s="2535"/>
      <c r="E14" s="2535"/>
    </row>
    <row r="15" spans="2:12" ht="13.5" customHeight="1" x14ac:dyDescent="0.2"/>
    <row r="16" spans="2:12" ht="13.5" customHeight="1" x14ac:dyDescent="0.2">
      <c r="B16" s="1946" t="s">
        <v>2095</v>
      </c>
      <c r="C16" s="1946"/>
      <c r="E16" s="1950" t="s">
        <v>2096</v>
      </c>
    </row>
    <row r="17" spans="2:5" ht="13.5" customHeight="1" x14ac:dyDescent="0.2"/>
    <row r="18" spans="2:5" ht="13.5" customHeight="1" x14ac:dyDescent="0.2">
      <c r="B18" s="1946" t="s">
        <v>2097</v>
      </c>
      <c r="C18" s="1946"/>
      <c r="E18" s="1959" t="s">
        <v>2102</v>
      </c>
    </row>
    <row r="19" spans="2:5" ht="13.5" customHeight="1" x14ac:dyDescent="0.2"/>
    <row r="20" spans="2:5" ht="13.5" customHeight="1" x14ac:dyDescent="0.2">
      <c r="B20" s="1946" t="s">
        <v>2098</v>
      </c>
      <c r="C20" s="1946"/>
      <c r="E20" s="1951" t="s">
        <v>2099</v>
      </c>
    </row>
    <row r="21" spans="2:5" ht="13.5" customHeight="1" x14ac:dyDescent="0.2">
      <c r="E21" s="1951" t="s">
        <v>2100</v>
      </c>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2101</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36" t="str">
        <f>'Single Audit Cover'!A7</f>
        <v>Carbon Cliff Barstow SD 36</v>
      </c>
      <c r="C1" s="2536"/>
      <c r="D1" s="2536"/>
      <c r="E1" s="2536"/>
      <c r="F1" s="1937"/>
      <c r="G1" s="1937"/>
      <c r="H1" s="1937"/>
      <c r="I1" s="1937"/>
      <c r="J1" s="1937"/>
      <c r="K1" s="1937"/>
      <c r="L1" s="1937"/>
    </row>
    <row r="2" spans="2:12" ht="13.5" customHeight="1" x14ac:dyDescent="0.2">
      <c r="B2" s="2537">
        <f>'Single Audit Cover'!E7</f>
        <v>49081036002</v>
      </c>
      <c r="C2" s="2537"/>
      <c r="D2" s="2537"/>
      <c r="E2" s="2537"/>
      <c r="F2" s="1939"/>
      <c r="G2" s="1939"/>
      <c r="H2" s="1939"/>
      <c r="I2" s="1939"/>
      <c r="J2" s="1939"/>
      <c r="K2" s="1939"/>
      <c r="L2" s="1939"/>
    </row>
    <row r="3" spans="2:12" ht="13.5" customHeight="1" x14ac:dyDescent="0.2">
      <c r="B3" s="2538" t="s">
        <v>2090</v>
      </c>
      <c r="C3" s="2538"/>
      <c r="D3" s="2538"/>
      <c r="E3" s="2538"/>
      <c r="F3" s="1940"/>
      <c r="G3" s="1940"/>
      <c r="H3" s="1940"/>
      <c r="I3" s="1940"/>
      <c r="J3" s="1940"/>
      <c r="K3" s="1940"/>
      <c r="L3" s="1940"/>
    </row>
    <row r="4" spans="2:12" ht="13.5" customHeight="1" x14ac:dyDescent="0.2">
      <c r="B4" s="2539" t="s">
        <v>1989</v>
      </c>
      <c r="C4" s="2539"/>
      <c r="D4" s="2539"/>
      <c r="E4" s="2539"/>
      <c r="F4" s="1941"/>
      <c r="G4" s="1941"/>
      <c r="H4" s="1941"/>
      <c r="I4" s="1941"/>
      <c r="J4" s="1941"/>
      <c r="K4" s="1941"/>
      <c r="L4" s="1941"/>
    </row>
    <row r="5" spans="2:12" ht="29.85" customHeight="1" x14ac:dyDescent="0.2"/>
    <row r="6" spans="2:12" ht="13.5" customHeight="1" x14ac:dyDescent="0.2">
      <c r="B6" s="1942" t="s">
        <v>2091</v>
      </c>
      <c r="C6" s="1942"/>
      <c r="D6" s="1943"/>
      <c r="E6" s="1944"/>
      <c r="F6" s="1944"/>
      <c r="G6" s="1945"/>
      <c r="H6" s="1945"/>
      <c r="I6" s="1945"/>
    </row>
    <row r="7" spans="2:12" ht="13.5" customHeight="1" x14ac:dyDescent="0.2">
      <c r="B7" s="1938" t="s">
        <v>1169</v>
      </c>
    </row>
    <row r="8" spans="2:12" ht="13.5" customHeight="1" x14ac:dyDescent="0.2">
      <c r="B8" s="1946" t="s">
        <v>2092</v>
      </c>
      <c r="C8" s="1947" t="s">
        <v>1991</v>
      </c>
      <c r="D8" s="1948">
        <v>2</v>
      </c>
    </row>
    <row r="9" spans="2:12" ht="13.5" customHeight="1" x14ac:dyDescent="0.2">
      <c r="B9" s="1949"/>
      <c r="C9" s="1949"/>
      <c r="D9" s="1949"/>
    </row>
    <row r="10" spans="2:12" ht="13.5" customHeight="1" x14ac:dyDescent="0.2">
      <c r="B10" s="1946" t="s">
        <v>2093</v>
      </c>
      <c r="C10" s="1946"/>
    </row>
    <row r="11" spans="2:12" ht="66.75" customHeight="1" x14ac:dyDescent="0.2">
      <c r="B11" s="2535" t="s">
        <v>2124</v>
      </c>
      <c r="C11" s="2535"/>
      <c r="D11" s="2535"/>
      <c r="E11" s="2535"/>
    </row>
    <row r="12" spans="2:12" ht="13.5" customHeight="1" x14ac:dyDescent="0.2"/>
    <row r="13" spans="2:12" ht="13.5" customHeight="1" x14ac:dyDescent="0.2">
      <c r="B13" s="1946" t="s">
        <v>2094</v>
      </c>
      <c r="C13" s="1946"/>
    </row>
    <row r="14" spans="2:12" ht="76.5" customHeight="1" x14ac:dyDescent="0.2">
      <c r="B14" s="2535" t="s">
        <v>2134</v>
      </c>
      <c r="C14" s="2535"/>
      <c r="D14" s="2535"/>
      <c r="E14" s="2535"/>
    </row>
    <row r="15" spans="2:12" ht="13.5" customHeight="1" x14ac:dyDescent="0.2"/>
    <row r="16" spans="2:12" ht="13.5" customHeight="1" x14ac:dyDescent="0.2">
      <c r="B16" s="1946" t="s">
        <v>2095</v>
      </c>
      <c r="C16" s="1946"/>
      <c r="E16" s="1950" t="s">
        <v>2096</v>
      </c>
    </row>
    <row r="17" spans="2:5" ht="13.5" customHeight="1" x14ac:dyDescent="0.2"/>
    <row r="18" spans="2:5" ht="13.5" customHeight="1" x14ac:dyDescent="0.2">
      <c r="B18" s="1946" t="s">
        <v>2097</v>
      </c>
      <c r="C18" s="1946"/>
      <c r="E18" s="1959" t="s">
        <v>2102</v>
      </c>
    </row>
    <row r="19" spans="2:5" ht="13.5" customHeight="1" x14ac:dyDescent="0.2"/>
    <row r="20" spans="2:5" ht="13.5" customHeight="1" x14ac:dyDescent="0.2">
      <c r="B20" s="1946" t="s">
        <v>2098</v>
      </c>
      <c r="C20" s="1946"/>
      <c r="E20" s="1951" t="s">
        <v>2135</v>
      </c>
    </row>
    <row r="21" spans="2:5" ht="13.5" customHeight="1" x14ac:dyDescent="0.2">
      <c r="E21" s="1951"/>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2101</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8" t="s">
        <v>386</v>
      </c>
      <c r="B1" s="2128"/>
      <c r="C1" s="2128"/>
      <c r="D1" s="2128"/>
      <c r="E1" s="2128"/>
      <c r="F1" s="2128"/>
      <c r="G1" s="2128"/>
      <c r="H1" s="2128"/>
      <c r="I1" s="2128"/>
      <c r="J1" s="2128"/>
      <c r="K1" s="2128"/>
      <c r="L1" s="2128"/>
      <c r="M1" s="212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27758630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1.8149999999999999E-2</v>
      </c>
      <c r="E10" s="356" t="s">
        <v>1005</v>
      </c>
      <c r="F10" s="355">
        <v>2.604E-3</v>
      </c>
      <c r="G10" s="356" t="s">
        <v>1005</v>
      </c>
      <c r="H10" s="355">
        <v>1.116E-3</v>
      </c>
      <c r="I10" s="356" t="s">
        <v>1006</v>
      </c>
      <c r="J10" s="1729">
        <f>ROUND(D10+F10+H10,5)</f>
        <v>2.1870000000000001E-2</v>
      </c>
      <c r="K10" s="222"/>
      <c r="L10" s="355">
        <v>0</v>
      </c>
      <c r="M10" s="222"/>
    </row>
    <row r="11" spans="1:14" ht="7.5" customHeight="1" x14ac:dyDescent="0.2">
      <c r="B11" s="222"/>
      <c r="C11" s="222"/>
      <c r="D11" s="2138" t="str">
        <f>IF(SUM(J10)&lt;=0.0999999,"","Enter the Tax Rates by moving the decimal two places to the left.")</f>
        <v/>
      </c>
      <c r="E11" s="2139"/>
      <c r="F11" s="2139"/>
      <c r="G11" s="2139"/>
      <c r="H11" s="2139"/>
      <c r="I11" s="2139"/>
      <c r="J11" s="213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3391053</v>
      </c>
      <c r="E16" s="356"/>
      <c r="F16" s="1730">
        <f>SUM('Acct Summary 7-8'!C17,'Acct Summary 7-8'!D17,'Acct Summary 7-8'!F17)</f>
        <v>3598281</v>
      </c>
      <c r="G16" s="356"/>
      <c r="H16" s="1730">
        <f>SUM(D16-F16)</f>
        <v>-207228</v>
      </c>
      <c r="I16" s="222"/>
      <c r="J16" s="1730">
        <f>SUM('Acct Summary 7-8'!C81,'Acct Summary 7-8'!D81,'Acct Summary 7-8'!F81,'Acct Summary 7-8'!I81)</f>
        <v>730670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1915345.4700000002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220259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9"/>
      <c r="C54" s="2130"/>
      <c r="D54" s="2130"/>
      <c r="E54" s="2130"/>
      <c r="F54" s="2130"/>
      <c r="G54" s="2130"/>
      <c r="H54" s="2130"/>
      <c r="I54" s="2130"/>
      <c r="J54" s="2130"/>
      <c r="K54" s="2130"/>
      <c r="L54" s="2131"/>
      <c r="M54" s="380"/>
    </row>
    <row r="55" spans="1:13" ht="12.75" customHeight="1" x14ac:dyDescent="0.2">
      <c r="B55" s="2132"/>
      <c r="C55" s="2133"/>
      <c r="D55" s="2133"/>
      <c r="E55" s="2133"/>
      <c r="F55" s="2133"/>
      <c r="G55" s="2133"/>
      <c r="H55" s="2133"/>
      <c r="I55" s="2133"/>
      <c r="J55" s="2133"/>
      <c r="K55" s="2133"/>
      <c r="L55" s="2134"/>
      <c r="M55" s="380"/>
    </row>
    <row r="56" spans="1:13" ht="12.75" customHeight="1" x14ac:dyDescent="0.2">
      <c r="B56" s="2132"/>
      <c r="C56" s="2133"/>
      <c r="D56" s="2133"/>
      <c r="E56" s="2133"/>
      <c r="F56" s="2133"/>
      <c r="G56" s="2133"/>
      <c r="H56" s="2133"/>
      <c r="I56" s="2133"/>
      <c r="J56" s="2133"/>
      <c r="K56" s="2133"/>
      <c r="L56" s="2134"/>
      <c r="M56" s="222"/>
    </row>
    <row r="57" spans="1:13" ht="12.75" customHeight="1" x14ac:dyDescent="0.2">
      <c r="B57" s="2132"/>
      <c r="C57" s="2133"/>
      <c r="D57" s="2133"/>
      <c r="E57" s="2133"/>
      <c r="F57" s="2133"/>
      <c r="G57" s="2133"/>
      <c r="H57" s="2133"/>
      <c r="I57" s="2133"/>
      <c r="J57" s="2133"/>
      <c r="K57" s="2133"/>
      <c r="L57" s="2134"/>
      <c r="M57" s="222"/>
    </row>
    <row r="58" spans="1:13" x14ac:dyDescent="0.2">
      <c r="B58" s="2135"/>
      <c r="C58" s="2136"/>
      <c r="D58" s="2136"/>
      <c r="E58" s="2136"/>
      <c r="F58" s="2136"/>
      <c r="G58" s="2136"/>
      <c r="H58" s="2136"/>
      <c r="I58" s="2136"/>
      <c r="J58" s="2136"/>
      <c r="K58" s="2136"/>
      <c r="L58" s="213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0"/>
      <c r="D61" s="214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3"/>
      <c r="B1" s="2144"/>
      <c r="C1" s="2144"/>
      <c r="D1" s="384"/>
      <c r="E1" s="384"/>
      <c r="F1" s="384"/>
      <c r="G1" s="384"/>
      <c r="H1" s="384"/>
      <c r="I1" s="384"/>
      <c r="J1" s="384"/>
      <c r="K1" s="384"/>
      <c r="L1" s="384"/>
      <c r="M1" s="384"/>
      <c r="N1" s="384"/>
      <c r="O1" s="2143"/>
      <c r="P1" s="2144"/>
      <c r="Q1" s="2144"/>
    </row>
    <row r="2" spans="1:18" ht="15" x14ac:dyDescent="0.2">
      <c r="A2" s="2147" t="s">
        <v>556</v>
      </c>
      <c r="B2" s="2147"/>
      <c r="C2" s="2147"/>
      <c r="D2" s="2147"/>
      <c r="E2" s="2147"/>
      <c r="F2" s="2147"/>
      <c r="G2" s="2147"/>
      <c r="H2" s="2147"/>
      <c r="I2" s="2147"/>
      <c r="J2" s="2147"/>
      <c r="K2" s="2147"/>
      <c r="L2" s="2147"/>
      <c r="M2" s="2147"/>
      <c r="N2" s="2147"/>
      <c r="O2" s="2147"/>
      <c r="P2" s="2147"/>
      <c r="Q2" s="2147"/>
      <c r="R2" s="2147"/>
    </row>
    <row r="3" spans="1:18" ht="12.75" x14ac:dyDescent="0.2">
      <c r="A3" s="2148" t="s">
        <v>1413</v>
      </c>
      <c r="B3" s="2148"/>
      <c r="C3" s="2148"/>
      <c r="D3" s="2148"/>
      <c r="E3" s="2148"/>
      <c r="F3" s="2148"/>
      <c r="G3" s="2148"/>
      <c r="H3" s="2148"/>
      <c r="I3" s="2148"/>
      <c r="J3" s="2148"/>
      <c r="K3" s="2148"/>
      <c r="L3" s="2148"/>
      <c r="M3" s="2148"/>
      <c r="N3" s="2148"/>
      <c r="O3" s="2148"/>
      <c r="P3" s="2148"/>
      <c r="Q3" s="2148"/>
      <c r="R3" s="2148"/>
    </row>
    <row r="4" spans="1:18" x14ac:dyDescent="0.2">
      <c r="A4" s="2149" t="s">
        <v>1554</v>
      </c>
      <c r="B4" s="2149"/>
      <c r="C4" s="2149"/>
      <c r="D4" s="2149"/>
      <c r="E4" s="2149"/>
      <c r="F4" s="2149"/>
      <c r="G4" s="2149"/>
      <c r="H4" s="2149"/>
      <c r="I4" s="2149"/>
      <c r="J4" s="2149"/>
      <c r="K4" s="2149"/>
      <c r="L4" s="2149"/>
      <c r="M4" s="2149"/>
      <c r="N4" s="2149"/>
      <c r="O4" s="2149"/>
      <c r="P4" s="2149"/>
      <c r="Q4" s="2149"/>
      <c r="R4" s="214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Carbon Cliff Barstow SD 36</v>
      </c>
      <c r="E7" s="391"/>
      <c r="G7" s="252"/>
      <c r="H7" s="387"/>
      <c r="I7" s="387"/>
      <c r="J7" s="387"/>
      <c r="K7" s="387"/>
      <c r="L7" s="329"/>
      <c r="M7" s="329"/>
      <c r="N7" s="329"/>
      <c r="O7" s="329"/>
      <c r="P7" s="329"/>
    </row>
    <row r="8" spans="1:18" ht="12.75" x14ac:dyDescent="0.2">
      <c r="A8" s="329"/>
      <c r="B8" s="329"/>
      <c r="C8" s="389" t="s">
        <v>1125</v>
      </c>
      <c r="D8" s="392">
        <f>COVER!A13</f>
        <v>49081036002</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730670</v>
      </c>
      <c r="I12" s="404"/>
      <c r="J12" s="404"/>
      <c r="K12" s="405">
        <f>TRUNC((H12/H13*100000),5)/100000</f>
        <v>0.21546994389999999</v>
      </c>
      <c r="L12" s="406"/>
      <c r="M12" s="360" t="s">
        <v>1144</v>
      </c>
      <c r="N12" s="360"/>
      <c r="O12" s="407">
        <v>0.35</v>
      </c>
      <c r="P12" s="218"/>
      <c r="Q12" s="218"/>
    </row>
    <row r="13" spans="1:18" s="408" customFormat="1" ht="12.75" x14ac:dyDescent="0.2">
      <c r="A13" s="218"/>
      <c r="B13" s="401"/>
      <c r="C13" s="2145" t="s">
        <v>1324</v>
      </c>
      <c r="D13" s="2146"/>
      <c r="E13" s="218"/>
      <c r="F13" s="409" t="s">
        <v>793</v>
      </c>
      <c r="G13" s="402"/>
      <c r="H13" s="403">
        <f>SUM('Acct Summary 7-8'!C8+'Acct Summary 7-8'!D8+'Acct Summary 7-8'!F8+'Acct Summary 7-8'!I8)+H14</f>
        <v>3391053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3598281</v>
      </c>
      <c r="I17" s="404"/>
      <c r="J17" s="416"/>
      <c r="K17" s="405">
        <f>TRUNC((H17/H18*100000),5)/100000</f>
        <v>1.0611102215000001</v>
      </c>
      <c r="L17" s="406"/>
      <c r="M17" s="417" t="s">
        <v>1171</v>
      </c>
      <c r="O17" s="418" t="str">
        <f>IF(AND(O16="2", J20 &gt; 2),"1",IF(AND(O16 = "1", J20 &gt; 2),"2",IF(AND(O16="1", J20 &gt;1),"1","0")))</f>
        <v>0</v>
      </c>
      <c r="P17" s="218"/>
    </row>
    <row r="18" spans="1:18" s="408" customFormat="1" ht="11.25" x14ac:dyDescent="0.2">
      <c r="A18" s="218"/>
      <c r="B18" s="401"/>
      <c r="C18" s="2145" t="s">
        <v>1317</v>
      </c>
      <c r="D18" s="2146"/>
      <c r="E18" s="218"/>
      <c r="F18" s="419" t="s">
        <v>794</v>
      </c>
      <c r="G18" s="402"/>
      <c r="H18" s="403">
        <f>SUM('Acct Summary 7-8'!C8+'Acct Summary 7-8'!D8+'Acct Summary 7-8'!F8+'Acct Summary 7-8'!I8)+H19</f>
        <v>3391053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1.8895356000000001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42" t="s">
        <v>1412</v>
      </c>
      <c r="D24" s="2142"/>
      <c r="E24" s="218"/>
      <c r="F24" s="218" t="s">
        <v>445</v>
      </c>
      <c r="G24" s="402"/>
      <c r="H24" s="403">
        <f>SUM('Assets-Liab 5-6'!C4+'Assets-Liab 5-6'!D4+'Assets-Liab 5-6'!F4+'Assets-Liab 5-6'!I4+'Assets-Liab 5-6'!C5+'Assets-Liab 5-6'!D5+'Assets-Liab 5-6'!F5+'Assets-Liab 5-6'!I5)</f>
        <v>730670</v>
      </c>
      <c r="I24" s="422"/>
      <c r="J24" s="422"/>
      <c r="K24" s="423">
        <f>TRUNC(((H24/H25*100000)/100000),2)</f>
        <v>73.099999999999994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9995.2250000000004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516019.05239000003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220259</v>
      </c>
      <c r="I32" s="420"/>
      <c r="J32" s="420"/>
      <c r="K32" s="423">
        <f>TRUNC(100-((((H32/H33*100))*100)/100),2)</f>
        <v>88.5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1915345.4700000002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5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5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2" t="s">
        <v>973</v>
      </c>
      <c r="B3" s="2153"/>
      <c r="C3" s="1556"/>
      <c r="D3" s="1557"/>
      <c r="E3" s="1557"/>
      <c r="F3" s="1557"/>
      <c r="G3" s="1557"/>
      <c r="H3" s="1557"/>
      <c r="I3" s="1557"/>
      <c r="J3" s="1557"/>
      <c r="K3" s="1557"/>
      <c r="L3" s="1557"/>
      <c r="M3" s="1558"/>
      <c r="N3" s="1559"/>
    </row>
    <row r="4" spans="1:14" ht="13.5" customHeight="1" x14ac:dyDescent="0.2">
      <c r="A4" s="463" t="s">
        <v>1651</v>
      </c>
      <c r="B4" s="464"/>
      <c r="C4" s="465">
        <v>132847</v>
      </c>
      <c r="D4" s="465">
        <v>931</v>
      </c>
      <c r="E4" s="465">
        <v>61929</v>
      </c>
      <c r="F4" s="465">
        <v>122554</v>
      </c>
      <c r="G4" s="465">
        <v>92357</v>
      </c>
      <c r="H4" s="465">
        <v>49768</v>
      </c>
      <c r="I4" s="465">
        <v>9737</v>
      </c>
      <c r="J4" s="465">
        <v>24097</v>
      </c>
      <c r="K4" s="465">
        <v>260</v>
      </c>
      <c r="L4" s="465">
        <v>18228</v>
      </c>
      <c r="M4" s="468"/>
      <c r="N4" s="469"/>
    </row>
    <row r="5" spans="1:14" x14ac:dyDescent="0.2">
      <c r="A5" s="463" t="s">
        <v>992</v>
      </c>
      <c r="B5" s="470">
        <v>120</v>
      </c>
      <c r="C5" s="465">
        <v>434221</v>
      </c>
      <c r="D5" s="465">
        <v>3534</v>
      </c>
      <c r="E5" s="465">
        <v>0</v>
      </c>
      <c r="F5" s="465">
        <v>497</v>
      </c>
      <c r="G5" s="465">
        <v>16630</v>
      </c>
      <c r="H5" s="465">
        <v>0</v>
      </c>
      <c r="I5" s="465">
        <v>26349</v>
      </c>
      <c r="J5" s="465">
        <v>0</v>
      </c>
      <c r="K5" s="465">
        <v>9484</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567068</v>
      </c>
      <c r="D13" s="1734">
        <f t="shared" ref="D13:L13" si="0">SUM(D4:D12)</f>
        <v>4465</v>
      </c>
      <c r="E13" s="1734">
        <f t="shared" si="0"/>
        <v>61929</v>
      </c>
      <c r="F13" s="1734">
        <f t="shared" si="0"/>
        <v>123051</v>
      </c>
      <c r="G13" s="1734">
        <f t="shared" si="0"/>
        <v>108987</v>
      </c>
      <c r="H13" s="1734">
        <f t="shared" si="0"/>
        <v>49768</v>
      </c>
      <c r="I13" s="1734">
        <f t="shared" si="0"/>
        <v>36086</v>
      </c>
      <c r="J13" s="1734">
        <f t="shared" si="0"/>
        <v>24097</v>
      </c>
      <c r="K13" s="1734">
        <f t="shared" si="0"/>
        <v>9744</v>
      </c>
      <c r="L13" s="1734">
        <f t="shared" si="0"/>
        <v>18228</v>
      </c>
      <c r="M13" s="468"/>
      <c r="N13" s="469"/>
    </row>
    <row r="14" spans="1:14" ht="18" customHeight="1" thickTop="1" x14ac:dyDescent="0.2">
      <c r="A14" s="2154" t="s">
        <v>147</v>
      </c>
      <c r="B14" s="215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713769</v>
      </c>
      <c r="N16" s="482"/>
    </row>
    <row r="17" spans="1:14" s="483" customFormat="1" ht="12.75" customHeight="1" x14ac:dyDescent="0.2">
      <c r="A17" s="480" t="s">
        <v>1403</v>
      </c>
      <c r="B17" s="481">
        <v>230</v>
      </c>
      <c r="C17" s="475"/>
      <c r="D17" s="475"/>
      <c r="E17" s="475"/>
      <c r="F17" s="475"/>
      <c r="G17" s="475"/>
      <c r="H17" s="475"/>
      <c r="I17" s="475"/>
      <c r="J17" s="475"/>
      <c r="K17" s="475"/>
      <c r="L17" s="475"/>
      <c r="M17" s="465">
        <v>6482579</v>
      </c>
      <c r="N17" s="482"/>
    </row>
    <row r="18" spans="1:14" s="483" customFormat="1" ht="12.75" customHeight="1" x14ac:dyDescent="0.2">
      <c r="A18" s="480" t="s">
        <v>1404</v>
      </c>
      <c r="B18" s="481">
        <v>240</v>
      </c>
      <c r="C18" s="475"/>
      <c r="D18" s="475"/>
      <c r="E18" s="475"/>
      <c r="F18" s="475"/>
      <c r="G18" s="475"/>
      <c r="H18" s="475"/>
      <c r="I18" s="475"/>
      <c r="J18" s="475"/>
      <c r="K18" s="475"/>
      <c r="L18" s="475"/>
      <c r="M18" s="465">
        <v>264124</v>
      </c>
      <c r="N18" s="482"/>
    </row>
    <row r="19" spans="1:14" s="483" customFormat="1" ht="12.75" customHeight="1" x14ac:dyDescent="0.2">
      <c r="A19" s="480" t="s">
        <v>1405</v>
      </c>
      <c r="B19" s="481">
        <v>250</v>
      </c>
      <c r="C19" s="475"/>
      <c r="D19" s="475"/>
      <c r="E19" s="475"/>
      <c r="F19" s="475"/>
      <c r="G19" s="475"/>
      <c r="H19" s="475"/>
      <c r="I19" s="475"/>
      <c r="J19" s="475"/>
      <c r="K19" s="475"/>
      <c r="L19" s="475"/>
      <c r="M19" s="465">
        <v>767818</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61929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158330</v>
      </c>
    </row>
    <row r="23" spans="1:14" ht="13.5" customHeight="1" thickBot="1" x14ac:dyDescent="0.25">
      <c r="A23" s="1733" t="s">
        <v>643</v>
      </c>
      <c r="B23" s="1738"/>
      <c r="C23" s="468"/>
      <c r="D23" s="468"/>
      <c r="E23" s="468"/>
      <c r="F23" s="468"/>
      <c r="G23" s="468"/>
      <c r="H23" s="468"/>
      <c r="I23" s="468"/>
      <c r="J23" s="468"/>
      <c r="K23" s="468"/>
      <c r="L23" s="468"/>
      <c r="M23" s="1685">
        <f>SUM(M15:M22)</f>
        <v>8228290</v>
      </c>
      <c r="N23" s="1685">
        <f>SUM(N21:N22)</f>
        <v>220259</v>
      </c>
    </row>
    <row r="24" spans="1:14" ht="18" customHeight="1" thickTop="1" x14ac:dyDescent="0.2">
      <c r="A24" s="2156" t="s">
        <v>598</v>
      </c>
      <c r="B24" s="215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9465</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9465</v>
      </c>
      <c r="M34" s="468"/>
      <c r="N34" s="478"/>
    </row>
    <row r="35" spans="1:14" ht="18" customHeight="1" thickTop="1" x14ac:dyDescent="0.2">
      <c r="A35" s="2158" t="s">
        <v>529</v>
      </c>
      <c r="B35" s="215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220259</v>
      </c>
    </row>
    <row r="37" spans="1:14" ht="13.5" thickBot="1" x14ac:dyDescent="0.25">
      <c r="A37" s="1733" t="s">
        <v>653</v>
      </c>
      <c r="B37" s="1738"/>
      <c r="C37" s="475"/>
      <c r="D37" s="475"/>
      <c r="E37" s="475"/>
      <c r="F37" s="475"/>
      <c r="G37" s="475"/>
      <c r="H37" s="475"/>
      <c r="I37" s="475"/>
      <c r="J37" s="475"/>
      <c r="K37" s="475"/>
      <c r="L37" s="478"/>
      <c r="M37" s="468"/>
      <c r="N37" s="1685">
        <f>SUM(N36:N36)</f>
        <v>220259</v>
      </c>
    </row>
    <row r="38" spans="1:14" s="329" customFormat="1" ht="13.5" customHeight="1" thickTop="1" x14ac:dyDescent="0.2">
      <c r="A38" s="493" t="s">
        <v>420</v>
      </c>
      <c r="B38" s="481">
        <v>714</v>
      </c>
      <c r="C38" s="465">
        <v>0</v>
      </c>
      <c r="D38" s="465">
        <v>0</v>
      </c>
      <c r="E38" s="465">
        <v>0</v>
      </c>
      <c r="F38" s="465">
        <v>0</v>
      </c>
      <c r="G38" s="465">
        <v>18734</v>
      </c>
      <c r="H38" s="465">
        <v>49768</v>
      </c>
      <c r="I38" s="465">
        <v>0</v>
      </c>
      <c r="J38" s="465">
        <v>0</v>
      </c>
      <c r="K38" s="465">
        <v>0</v>
      </c>
      <c r="L38" s="465">
        <v>8763</v>
      </c>
      <c r="M38" s="494"/>
      <c r="N38" s="494"/>
    </row>
    <row r="39" spans="1:14" s="329" customFormat="1" ht="13.5" customHeight="1" x14ac:dyDescent="0.2">
      <c r="A39" s="493" t="s">
        <v>342</v>
      </c>
      <c r="B39" s="481">
        <v>730</v>
      </c>
      <c r="C39" s="465">
        <v>567068</v>
      </c>
      <c r="D39" s="465">
        <v>4465</v>
      </c>
      <c r="E39" s="465">
        <v>61929</v>
      </c>
      <c r="F39" s="465">
        <v>123051</v>
      </c>
      <c r="G39" s="465">
        <v>90253</v>
      </c>
      <c r="H39" s="465">
        <v>0</v>
      </c>
      <c r="I39" s="465">
        <v>36086</v>
      </c>
      <c r="J39" s="465">
        <v>24097</v>
      </c>
      <c r="K39" s="465">
        <v>9744</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8228290</v>
      </c>
      <c r="N40" s="494"/>
    </row>
    <row r="41" spans="1:14" ht="13.5" customHeight="1" thickBot="1" x14ac:dyDescent="0.25">
      <c r="A41" s="1733" t="s">
        <v>655</v>
      </c>
      <c r="B41" s="1703"/>
      <c r="C41" s="1685">
        <f>(SUM(C34,C37,C38,C39))</f>
        <v>567068</v>
      </c>
      <c r="D41" s="1685">
        <f t="shared" ref="D41:L41" si="2">SUM(D34,D37,D38:D39)</f>
        <v>4465</v>
      </c>
      <c r="E41" s="1685">
        <f t="shared" si="2"/>
        <v>61929</v>
      </c>
      <c r="F41" s="1685">
        <f t="shared" si="2"/>
        <v>123051</v>
      </c>
      <c r="G41" s="1685">
        <f t="shared" si="2"/>
        <v>108987</v>
      </c>
      <c r="H41" s="1685">
        <f t="shared" si="2"/>
        <v>49768</v>
      </c>
      <c r="I41" s="1685">
        <f t="shared" si="2"/>
        <v>36086</v>
      </c>
      <c r="J41" s="1685">
        <f t="shared" si="2"/>
        <v>24097</v>
      </c>
      <c r="K41" s="1685">
        <f t="shared" si="2"/>
        <v>9744</v>
      </c>
      <c r="L41" s="1685">
        <f t="shared" si="2"/>
        <v>18228</v>
      </c>
      <c r="M41" s="1685">
        <f>SUM(M40)</f>
        <v>8228290</v>
      </c>
      <c r="N41" s="1685">
        <f>SUM(N37)</f>
        <v>220259</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6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6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80" t="s">
        <v>1175</v>
      </c>
      <c r="B3" s="2181"/>
      <c r="C3" s="1570"/>
      <c r="D3" s="1571"/>
      <c r="E3" s="1571"/>
      <c r="F3" s="1571"/>
      <c r="G3" s="1571"/>
      <c r="H3" s="1571"/>
      <c r="I3" s="1571"/>
      <c r="J3" s="1571"/>
      <c r="K3" s="1572"/>
      <c r="L3" s="503"/>
    </row>
    <row r="4" spans="1:13" ht="15.75" customHeight="1" x14ac:dyDescent="0.2">
      <c r="A4" s="1925" t="s">
        <v>1499</v>
      </c>
      <c r="B4" s="1926">
        <v>1000</v>
      </c>
      <c r="C4" s="1739">
        <f>'Revenues 9-14'!C109</f>
        <v>560405</v>
      </c>
      <c r="D4" s="1739">
        <f>'Revenues 9-14'!D109</f>
        <v>75279</v>
      </c>
      <c r="E4" s="1739">
        <f>'Revenues 9-14'!E109</f>
        <v>180155</v>
      </c>
      <c r="F4" s="1739">
        <f>'Revenues 9-14'!F109</f>
        <v>29655</v>
      </c>
      <c r="G4" s="1739">
        <f>'Revenues 9-14'!G109</f>
        <v>54660</v>
      </c>
      <c r="H4" s="1739">
        <f>'Revenues 9-14'!H109</f>
        <v>147655</v>
      </c>
      <c r="I4" s="1739">
        <f>'Revenues 9-14'!I109</f>
        <v>596</v>
      </c>
      <c r="J4" s="1739">
        <f>'Revenues 9-14'!J109</f>
        <v>8311</v>
      </c>
      <c r="K4" s="1739">
        <f>'Revenues 9-14'!K109</f>
        <v>596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1937745</v>
      </c>
      <c r="D6" s="1740">
        <f>'Revenues 9-14'!D170</f>
        <v>103653</v>
      </c>
      <c r="E6" s="1740">
        <f>'Revenues 9-14'!E170</f>
        <v>0</v>
      </c>
      <c r="F6" s="1740">
        <f>'Revenues 9-14'!F170</f>
        <v>135350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543162</v>
      </c>
      <c r="D7" s="1740">
        <f>'Revenues 9-14'!D267</f>
        <v>0</v>
      </c>
      <c r="E7" s="1740">
        <f>'Revenues 9-14'!E267</f>
        <v>0</v>
      </c>
      <c r="F7" s="1740">
        <f>'Revenues 9-14'!F267</f>
        <v>5208</v>
      </c>
      <c r="G7" s="1740">
        <f>'Revenues 9-14'!G267</f>
        <v>8570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3041312</v>
      </c>
      <c r="D8" s="1685">
        <f t="shared" ref="D8:K8" si="0">SUM(D4:D7)</f>
        <v>178932</v>
      </c>
      <c r="E8" s="1685">
        <f t="shared" si="0"/>
        <v>180155</v>
      </c>
      <c r="F8" s="1685">
        <f t="shared" si="0"/>
        <v>170213</v>
      </c>
      <c r="G8" s="1685">
        <f t="shared" si="0"/>
        <v>63230</v>
      </c>
      <c r="H8" s="1685">
        <f t="shared" si="0"/>
        <v>147655</v>
      </c>
      <c r="I8" s="1685">
        <f t="shared" si="0"/>
        <v>596</v>
      </c>
      <c r="J8" s="1685">
        <f t="shared" si="0"/>
        <v>8311</v>
      </c>
      <c r="K8" s="1685">
        <f t="shared" si="0"/>
        <v>596</v>
      </c>
      <c r="L8" s="347"/>
    </row>
    <row r="9" spans="1:13" ht="15.75" thickTop="1" x14ac:dyDescent="0.2">
      <c r="A9" s="511" t="s">
        <v>1653</v>
      </c>
      <c r="B9" s="512">
        <v>3998</v>
      </c>
      <c r="C9" s="465">
        <v>1177544</v>
      </c>
      <c r="D9" s="513"/>
      <c r="E9" s="479"/>
      <c r="F9" s="479"/>
      <c r="G9" s="514"/>
      <c r="H9" s="479"/>
      <c r="I9" s="506" t="s">
        <v>1169</v>
      </c>
      <c r="J9" s="476"/>
      <c r="K9" s="479"/>
      <c r="L9" s="347"/>
    </row>
    <row r="10" spans="1:13" s="516" customFormat="1" ht="13.5" thickBot="1" x14ac:dyDescent="0.25">
      <c r="A10" s="1733" t="s">
        <v>1173</v>
      </c>
      <c r="B10" s="1706"/>
      <c r="C10" s="1685">
        <f>SUM(C8:C9)</f>
        <v>4218856</v>
      </c>
      <c r="D10" s="1685">
        <f t="shared" ref="D10:K10" si="1">SUM(D8:D9)</f>
        <v>178932</v>
      </c>
      <c r="E10" s="1685">
        <f t="shared" si="1"/>
        <v>180155</v>
      </c>
      <c r="F10" s="1685">
        <f t="shared" si="1"/>
        <v>170213</v>
      </c>
      <c r="G10" s="1685">
        <f t="shared" si="1"/>
        <v>63230</v>
      </c>
      <c r="H10" s="1685">
        <f t="shared" si="1"/>
        <v>147655</v>
      </c>
      <c r="I10" s="1685">
        <f t="shared" si="1"/>
        <v>596</v>
      </c>
      <c r="J10" s="1685">
        <f t="shared" si="1"/>
        <v>8311</v>
      </c>
      <c r="K10" s="1685">
        <f t="shared" si="1"/>
        <v>596</v>
      </c>
      <c r="L10" s="515"/>
    </row>
    <row r="11" spans="1:13" s="516" customFormat="1" ht="16.7" customHeight="1" thickTop="1" x14ac:dyDescent="0.2">
      <c r="A11" s="2154" t="s">
        <v>1176</v>
      </c>
      <c r="B11" s="2155"/>
      <c r="C11" s="1567"/>
      <c r="D11" s="1568"/>
      <c r="E11" s="1568"/>
      <c r="F11" s="1568"/>
      <c r="G11" s="1568"/>
      <c r="H11" s="1568"/>
      <c r="I11" s="1568"/>
      <c r="J11" s="1568"/>
      <c r="K11" s="1569"/>
      <c r="L11" s="515"/>
    </row>
    <row r="12" spans="1:13" ht="15.75" customHeight="1" x14ac:dyDescent="0.2">
      <c r="A12" s="1573" t="s">
        <v>456</v>
      </c>
      <c r="B12" s="1575">
        <v>1000</v>
      </c>
      <c r="C12" s="1739">
        <f>'Expenditures 15-22'!K33</f>
        <v>2122381</v>
      </c>
      <c r="D12" s="517" t="s">
        <v>1169</v>
      </c>
      <c r="E12" s="468" t="s">
        <v>1169</v>
      </c>
      <c r="F12" s="468" t="s">
        <v>1169</v>
      </c>
      <c r="G12" s="1739">
        <f>'Expenditures 15-22'!K229</f>
        <v>51758</v>
      </c>
      <c r="H12" s="518"/>
      <c r="I12" s="468" t="s">
        <v>1169</v>
      </c>
      <c r="J12" s="468" t="s">
        <v>1169</v>
      </c>
      <c r="K12" s="518" t="s">
        <v>1169</v>
      </c>
      <c r="L12" s="347"/>
    </row>
    <row r="13" spans="1:13" ht="15.75" customHeight="1" x14ac:dyDescent="0.2">
      <c r="A13" s="1573" t="s">
        <v>457</v>
      </c>
      <c r="B13" s="1575">
        <v>2000</v>
      </c>
      <c r="C13" s="1740">
        <f>'Expenditures 15-22'!K74</f>
        <v>953400</v>
      </c>
      <c r="D13" s="1740">
        <f>'Expenditures 15-22'!K129</f>
        <v>275273</v>
      </c>
      <c r="E13" s="469" t="s">
        <v>1169</v>
      </c>
      <c r="F13" s="1740">
        <f>'Expenditures 15-22'!K184</f>
        <v>88532</v>
      </c>
      <c r="G13" s="1740">
        <f>'Expenditures 15-22'!K279</f>
        <v>52153</v>
      </c>
      <c r="H13" s="1740">
        <f>'Expenditures 15-22'!K303</f>
        <v>120049</v>
      </c>
      <c r="I13" s="468" t="s">
        <v>1169</v>
      </c>
      <c r="J13" s="1740">
        <f>'Expenditures 15-22'!K330</f>
        <v>36124</v>
      </c>
      <c r="K13" s="1744">
        <f>'Expenditures 15-22'!K352</f>
        <v>0</v>
      </c>
      <c r="L13" s="347"/>
    </row>
    <row r="14" spans="1:13" ht="15.75" customHeight="1" x14ac:dyDescent="0.2">
      <c r="A14" s="1573" t="s">
        <v>449</v>
      </c>
      <c r="B14" s="1575">
        <v>3000</v>
      </c>
      <c r="C14" s="1740">
        <f>'Expenditures 15-22'!K75</f>
        <v>122</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154440</v>
      </c>
      <c r="D15" s="1740">
        <f>'Expenditures 15-22'!K139</f>
        <v>0</v>
      </c>
      <c r="E15" s="1740">
        <f>'Expenditures 15-22'!K160</f>
        <v>0</v>
      </c>
      <c r="F15" s="1740">
        <f>'Expenditures 15-22'!K196</f>
        <v>4133</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190910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3230343</v>
      </c>
      <c r="D17" s="1685">
        <f t="shared" si="2"/>
        <v>275273</v>
      </c>
      <c r="E17" s="1685">
        <f t="shared" si="2"/>
        <v>190910</v>
      </c>
      <c r="F17" s="1685">
        <f t="shared" si="2"/>
        <v>92665</v>
      </c>
      <c r="G17" s="1685">
        <f t="shared" si="2"/>
        <v>103911</v>
      </c>
      <c r="H17" s="1685">
        <f t="shared" si="2"/>
        <v>120049</v>
      </c>
      <c r="I17" s="468"/>
      <c r="J17" s="1685">
        <f>SUM(J12:J16)</f>
        <v>36124</v>
      </c>
      <c r="K17" s="1685">
        <f>SUM(K12:K16)</f>
        <v>0</v>
      </c>
      <c r="L17" s="347"/>
    </row>
    <row r="18" spans="1:12" ht="15" customHeight="1" thickTop="1" x14ac:dyDescent="0.2">
      <c r="A18" s="1741" t="s">
        <v>1654</v>
      </c>
      <c r="B18" s="1742">
        <v>4180</v>
      </c>
      <c r="C18" s="1739">
        <f t="shared" ref="C18:H18" si="3">C9</f>
        <v>1177544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4407887</v>
      </c>
      <c r="D19" s="1685">
        <f t="shared" si="4"/>
        <v>275273</v>
      </c>
      <c r="E19" s="1685">
        <f t="shared" si="4"/>
        <v>190910</v>
      </c>
      <c r="F19" s="1685">
        <f t="shared" si="4"/>
        <v>92665</v>
      </c>
      <c r="G19" s="1685">
        <f t="shared" si="4"/>
        <v>103911</v>
      </c>
      <c r="H19" s="1685">
        <f t="shared" si="4"/>
        <v>120049</v>
      </c>
      <c r="I19" s="468"/>
      <c r="J19" s="1685">
        <f>SUM(J17:J18)</f>
        <v>36124</v>
      </c>
      <c r="K19" s="1685">
        <f>SUM(K17:K18)</f>
        <v>0</v>
      </c>
      <c r="L19" s="347"/>
    </row>
    <row r="20" spans="1:12" ht="16.5" thickTop="1" thickBot="1" x14ac:dyDescent="0.25">
      <c r="A20" s="2170" t="s">
        <v>1655</v>
      </c>
      <c r="B20" s="2171"/>
      <c r="C20" s="1743">
        <f>C8-C17</f>
        <v>-189031</v>
      </c>
      <c r="D20" s="1743">
        <f t="shared" ref="D20:K20" si="5">D8-D17</f>
        <v>-96341</v>
      </c>
      <c r="E20" s="1743">
        <f t="shared" si="5"/>
        <v>-10755</v>
      </c>
      <c r="F20" s="1743">
        <f t="shared" si="5"/>
        <v>77548</v>
      </c>
      <c r="G20" s="1743">
        <f t="shared" si="5"/>
        <v>-40681</v>
      </c>
      <c r="H20" s="1743">
        <f t="shared" si="5"/>
        <v>27606</v>
      </c>
      <c r="I20" s="1743">
        <f t="shared" si="5"/>
        <v>596</v>
      </c>
      <c r="J20" s="1743">
        <f t="shared" si="5"/>
        <v>-27813</v>
      </c>
      <c r="K20" s="1743">
        <f t="shared" si="5"/>
        <v>596</v>
      </c>
      <c r="L20" s="347"/>
    </row>
    <row r="21" spans="1:12" ht="16.7" customHeight="1" thickTop="1" x14ac:dyDescent="0.2">
      <c r="A21" s="2182" t="s">
        <v>595</v>
      </c>
      <c r="B21" s="2183"/>
      <c r="C21" s="1567"/>
      <c r="D21" s="1568"/>
      <c r="E21" s="1568"/>
      <c r="F21" s="1568"/>
      <c r="G21" s="1568"/>
      <c r="H21" s="1568"/>
      <c r="I21" s="1568"/>
      <c r="J21" s="1568"/>
      <c r="K21" s="1569"/>
      <c r="L21" s="521"/>
    </row>
    <row r="22" spans="1:12" ht="15.75" customHeight="1" collapsed="1" x14ac:dyDescent="0.2">
      <c r="A22" s="2178" t="s">
        <v>596</v>
      </c>
      <c r="B22" s="2179"/>
      <c r="C22" s="475"/>
      <c r="D22" s="475"/>
      <c r="E22" s="475"/>
      <c r="F22" s="475"/>
      <c r="G22" s="475"/>
      <c r="H22" s="475"/>
      <c r="I22" s="475"/>
      <c r="J22" s="475"/>
      <c r="K22" s="475"/>
      <c r="L22" s="347"/>
    </row>
    <row r="23" spans="1:12" s="483" customFormat="1" ht="15.75" customHeight="1" x14ac:dyDescent="0.2">
      <c r="A23" s="2174" t="s">
        <v>293</v>
      </c>
      <c r="B23" s="217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36000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6" t="s">
        <v>981</v>
      </c>
      <c r="B32" s="217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84" t="s">
        <v>374</v>
      </c>
      <c r="B44" s="2185"/>
      <c r="C44" s="1700">
        <f>SUM(C24:C43)</f>
        <v>0</v>
      </c>
      <c r="D44" s="1700">
        <f t="shared" ref="D44:K44" si="6">SUM(D24:D43)</f>
        <v>36000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78" t="s">
        <v>108</v>
      </c>
      <c r="B45" s="2179"/>
      <c r="C45" s="525"/>
      <c r="D45" s="525"/>
      <c r="E45" s="525"/>
      <c r="F45" s="525"/>
      <c r="G45" s="525"/>
      <c r="H45" s="525"/>
      <c r="I45" s="525"/>
      <c r="J45" s="525"/>
      <c r="K45" s="525"/>
      <c r="L45" s="347"/>
    </row>
    <row r="46" spans="1:12" s="483" customFormat="1" ht="15.75" customHeight="1" x14ac:dyDescent="0.2">
      <c r="A46" s="2186" t="s">
        <v>109</v>
      </c>
      <c r="B46" s="218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36000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60" t="s">
        <v>440</v>
      </c>
      <c r="B76" s="2161"/>
      <c r="C76" s="1700">
        <f t="shared" ref="C76:K76" si="7">SUM(C47:C75)</f>
        <v>0</v>
      </c>
      <c r="D76" s="1700">
        <f t="shared" si="7"/>
        <v>0</v>
      </c>
      <c r="E76" s="1700">
        <f t="shared" si="7"/>
        <v>0</v>
      </c>
      <c r="F76" s="1700">
        <f t="shared" si="7"/>
        <v>36000</v>
      </c>
      <c r="G76" s="1700">
        <f t="shared" si="7"/>
        <v>0</v>
      </c>
      <c r="H76" s="1700">
        <f t="shared" si="7"/>
        <v>0</v>
      </c>
      <c r="I76" s="1700">
        <f t="shared" si="7"/>
        <v>0</v>
      </c>
      <c r="J76" s="1700">
        <f t="shared" si="7"/>
        <v>0</v>
      </c>
      <c r="K76" s="1700">
        <f t="shared" si="7"/>
        <v>0</v>
      </c>
      <c r="L76" s="521"/>
    </row>
    <row r="77" spans="1:12" ht="14.25" thickTop="1" thickBot="1" x14ac:dyDescent="0.25">
      <c r="A77" s="2162" t="s">
        <v>1177</v>
      </c>
      <c r="B77" s="2163"/>
      <c r="C77" s="1700">
        <f t="shared" ref="C77:K77" si="8">C44-C76</f>
        <v>0</v>
      </c>
      <c r="D77" s="1700">
        <f t="shared" si="8"/>
        <v>36000</v>
      </c>
      <c r="E77" s="1700">
        <f t="shared" si="8"/>
        <v>0</v>
      </c>
      <c r="F77" s="1700">
        <f t="shared" si="8"/>
        <v>-36000</v>
      </c>
      <c r="G77" s="1700">
        <f t="shared" si="8"/>
        <v>0</v>
      </c>
      <c r="H77" s="1700">
        <f t="shared" si="8"/>
        <v>0</v>
      </c>
      <c r="I77" s="1700">
        <f t="shared" si="8"/>
        <v>0</v>
      </c>
      <c r="J77" s="1700">
        <f t="shared" si="8"/>
        <v>0</v>
      </c>
      <c r="K77" s="1700">
        <f t="shared" si="8"/>
        <v>0</v>
      </c>
      <c r="L77" s="347"/>
    </row>
    <row r="78" spans="1:12" ht="21.75" customHeight="1" thickTop="1" thickBot="1" x14ac:dyDescent="0.25">
      <c r="A78" s="2166" t="s">
        <v>597</v>
      </c>
      <c r="B78" s="2167"/>
      <c r="C78" s="1699">
        <f t="shared" ref="C78:K78" si="9">C20+C77</f>
        <v>-189031</v>
      </c>
      <c r="D78" s="1699">
        <f t="shared" si="9"/>
        <v>-60341</v>
      </c>
      <c r="E78" s="1699">
        <f t="shared" si="9"/>
        <v>-10755</v>
      </c>
      <c r="F78" s="1699">
        <f t="shared" si="9"/>
        <v>41548</v>
      </c>
      <c r="G78" s="1699">
        <f t="shared" si="9"/>
        <v>-40681</v>
      </c>
      <c r="H78" s="1699">
        <f t="shared" si="9"/>
        <v>27606</v>
      </c>
      <c r="I78" s="1699">
        <f t="shared" si="9"/>
        <v>596</v>
      </c>
      <c r="J78" s="1699">
        <f t="shared" si="9"/>
        <v>-27813</v>
      </c>
      <c r="K78" s="1699">
        <f t="shared" si="9"/>
        <v>596</v>
      </c>
      <c r="L78" s="530"/>
    </row>
    <row r="79" spans="1:12" ht="13.5" thickTop="1" x14ac:dyDescent="0.2">
      <c r="A79" s="1491" t="s">
        <v>1949</v>
      </c>
      <c r="B79" s="531"/>
      <c r="C79" s="476">
        <v>756099</v>
      </c>
      <c r="D79" s="476">
        <v>64806</v>
      </c>
      <c r="E79" s="476">
        <v>72684</v>
      </c>
      <c r="F79" s="476">
        <v>81503</v>
      </c>
      <c r="G79" s="476">
        <v>149668</v>
      </c>
      <c r="H79" s="476">
        <v>22162</v>
      </c>
      <c r="I79" s="476">
        <v>35490</v>
      </c>
      <c r="J79" s="476">
        <v>51910</v>
      </c>
      <c r="K79" s="476">
        <v>9148</v>
      </c>
      <c r="L79" s="347"/>
    </row>
    <row r="80" spans="1:12" x14ac:dyDescent="0.2">
      <c r="A80" s="2172" t="s">
        <v>1795</v>
      </c>
      <c r="B80" s="2173"/>
      <c r="C80" s="467">
        <v>0</v>
      </c>
      <c r="D80" s="467">
        <v>0</v>
      </c>
      <c r="E80" s="467">
        <v>0</v>
      </c>
      <c r="F80" s="467">
        <v>0</v>
      </c>
      <c r="G80" s="467">
        <v>0</v>
      </c>
      <c r="H80" s="467">
        <v>0</v>
      </c>
      <c r="I80" s="467">
        <v>0</v>
      </c>
      <c r="J80" s="467">
        <v>0</v>
      </c>
      <c r="K80" s="467">
        <v>0</v>
      </c>
      <c r="L80" s="347"/>
    </row>
    <row r="81" spans="1:12" ht="13.5" thickBot="1" x14ac:dyDescent="0.25">
      <c r="A81" s="2164" t="s">
        <v>1950</v>
      </c>
      <c r="B81" s="2165"/>
      <c r="C81" s="1685">
        <f>(SUM(C78:C80))</f>
        <v>567068</v>
      </c>
      <c r="D81" s="1685">
        <f>SUM(D78:D80)</f>
        <v>4465</v>
      </c>
      <c r="E81" s="1685">
        <f t="shared" ref="E81:K81" si="10">SUM(E78:E80)</f>
        <v>61929</v>
      </c>
      <c r="F81" s="1685">
        <f t="shared" si="10"/>
        <v>123051</v>
      </c>
      <c r="G81" s="1685">
        <f t="shared" si="10"/>
        <v>108987</v>
      </c>
      <c r="H81" s="1685">
        <f t="shared" si="10"/>
        <v>49768</v>
      </c>
      <c r="I81" s="1685">
        <f t="shared" si="10"/>
        <v>36086</v>
      </c>
      <c r="J81" s="1685">
        <f t="shared" si="10"/>
        <v>24097</v>
      </c>
      <c r="K81" s="1685">
        <f t="shared" si="10"/>
        <v>9744</v>
      </c>
      <c r="L81" s="347"/>
    </row>
    <row r="82" spans="1:12" ht="0.75" customHeight="1" thickTop="1" thickBot="1" x14ac:dyDescent="0.25">
      <c r="A82" s="533" t="s">
        <v>343</v>
      </c>
      <c r="B82" s="534"/>
      <c r="C82" s="535">
        <f>(C81-C79)</f>
        <v>-189031</v>
      </c>
      <c r="D82" s="535">
        <f t="shared" ref="D82:K82" si="11">(D81-D79)</f>
        <v>-60341</v>
      </c>
      <c r="E82" s="535">
        <f t="shared" si="11"/>
        <v>-10755</v>
      </c>
      <c r="F82" s="535">
        <f t="shared" si="11"/>
        <v>41548</v>
      </c>
      <c r="G82" s="535">
        <f t="shared" si="11"/>
        <v>-40681</v>
      </c>
      <c r="H82" s="535">
        <f t="shared" si="11"/>
        <v>27606</v>
      </c>
      <c r="I82" s="535">
        <f t="shared" si="11"/>
        <v>596</v>
      </c>
      <c r="J82" s="535">
        <f t="shared" si="11"/>
        <v>-27813</v>
      </c>
      <c r="K82" s="535">
        <f t="shared" si="11"/>
        <v>596</v>
      </c>
    </row>
    <row r="83" spans="1:12" ht="14.25" hidden="1" thickTop="1" thickBot="1" x14ac:dyDescent="0.25">
      <c r="A83" s="536" t="s">
        <v>344</v>
      </c>
      <c r="B83" s="464"/>
      <c r="C83" s="537">
        <f>C82/C81</f>
        <v>-0.3333480288078326</v>
      </c>
      <c r="D83" s="537">
        <f t="shared" ref="D83:K83" si="12">D82/D81</f>
        <v>-13.514221724524075</v>
      </c>
      <c r="E83" s="537">
        <f t="shared" si="12"/>
        <v>-0.17366661822409535</v>
      </c>
      <c r="F83" s="537">
        <f t="shared" si="12"/>
        <v>0.33764861724000617</v>
      </c>
      <c r="G83" s="537">
        <f t="shared" si="12"/>
        <v>-0.37326470129464984</v>
      </c>
      <c r="H83" s="537">
        <f t="shared" si="12"/>
        <v>0.55469377913518725</v>
      </c>
      <c r="I83" s="537">
        <f t="shared" si="12"/>
        <v>1.6516100426758301E-2</v>
      </c>
      <c r="J83" s="537">
        <f t="shared" si="12"/>
        <v>-1.1542100676432752</v>
      </c>
      <c r="K83" s="537">
        <f t="shared" si="12"/>
        <v>6.1165845648604271E-2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7" sqref="A17:H17"/>
      <selection pane="bottomLeft" activeCell="C16" sqref="C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68" t="s">
        <v>1802</v>
      </c>
      <c r="B1" s="452"/>
      <c r="C1" s="453" t="s">
        <v>425</v>
      </c>
      <c r="D1" s="453" t="s">
        <v>426</v>
      </c>
      <c r="E1" s="453" t="s">
        <v>427</v>
      </c>
      <c r="F1" s="453" t="s">
        <v>428</v>
      </c>
      <c r="G1" s="453" t="s">
        <v>429</v>
      </c>
      <c r="H1" s="453" t="s">
        <v>430</v>
      </c>
      <c r="I1" s="453" t="s">
        <v>431</v>
      </c>
      <c r="J1" s="453" t="s">
        <v>432</v>
      </c>
      <c r="K1" s="453" t="s">
        <v>756</v>
      </c>
    </row>
    <row r="2" spans="1:12" ht="36" x14ac:dyDescent="0.2">
      <c r="A2" s="216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472570</v>
      </c>
      <c r="D5" s="479">
        <v>71270</v>
      </c>
      <c r="E5" s="466">
        <v>179352</v>
      </c>
      <c r="F5" s="545">
        <v>29098</v>
      </c>
      <c r="G5" s="466">
        <v>24260</v>
      </c>
      <c r="H5" s="466">
        <v>0</v>
      </c>
      <c r="I5" s="466">
        <v>0</v>
      </c>
      <c r="J5" s="467">
        <v>7869</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3436</v>
      </c>
      <c r="D7" s="466">
        <v>0</v>
      </c>
      <c r="E7" s="468"/>
      <c r="F7" s="467">
        <v>0</v>
      </c>
      <c r="G7" s="467">
        <v>0</v>
      </c>
      <c r="H7" s="467">
        <v>0</v>
      </c>
      <c r="I7" s="468"/>
      <c r="J7" s="468"/>
      <c r="K7" s="468"/>
    </row>
    <row r="8" spans="1:12" x14ac:dyDescent="0.2">
      <c r="A8" s="463" t="s">
        <v>413</v>
      </c>
      <c r="B8" s="470">
        <v>1150</v>
      </c>
      <c r="C8" s="474"/>
      <c r="D8" s="474"/>
      <c r="E8" s="475"/>
      <c r="F8" s="475"/>
      <c r="G8" s="479">
        <v>12153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476006</v>
      </c>
      <c r="D12" s="1704">
        <f t="shared" si="0"/>
        <v>71270</v>
      </c>
      <c r="E12" s="1704">
        <f t="shared" si="0"/>
        <v>179352</v>
      </c>
      <c r="F12" s="1704">
        <f t="shared" si="0"/>
        <v>29098</v>
      </c>
      <c r="G12" s="1704">
        <f t="shared" si="0"/>
        <v>36413</v>
      </c>
      <c r="H12" s="1704">
        <f t="shared" si="0"/>
        <v>0</v>
      </c>
      <c r="I12" s="1704">
        <f t="shared" si="0"/>
        <v>0</v>
      </c>
      <c r="J12" s="1704">
        <f t="shared" si="0"/>
        <v>7869</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63424</v>
      </c>
      <c r="D16" s="466">
        <v>0</v>
      </c>
      <c r="E16" s="466">
        <v>0</v>
      </c>
      <c r="F16" s="466">
        <v>0</v>
      </c>
      <c r="G16" s="466">
        <v>17450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63424</v>
      </c>
      <c r="D18" s="1707">
        <f t="shared" ref="D18:K18" si="1">SUM(D14:D17)</f>
        <v>0</v>
      </c>
      <c r="E18" s="1707">
        <f t="shared" si="1"/>
        <v>0</v>
      </c>
      <c r="F18" s="1707">
        <f t="shared" si="1"/>
        <v>0</v>
      </c>
      <c r="G18" s="1707">
        <f t="shared" si="1"/>
        <v>17450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3459</v>
      </c>
      <c r="D65" s="466">
        <v>770</v>
      </c>
      <c r="E65" s="466">
        <v>803</v>
      </c>
      <c r="F65" s="467">
        <v>557</v>
      </c>
      <c r="G65" s="466">
        <v>797</v>
      </c>
      <c r="H65" s="466">
        <v>0</v>
      </c>
      <c r="I65" s="466">
        <v>596</v>
      </c>
      <c r="J65" s="467">
        <v>442</v>
      </c>
      <c r="K65" s="466">
        <v>596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3459</v>
      </c>
      <c r="D67" s="1685">
        <f t="shared" ref="D67:K67" si="2">SUM(D65:D66)</f>
        <v>770</v>
      </c>
      <c r="E67" s="1685">
        <f t="shared" si="2"/>
        <v>803</v>
      </c>
      <c r="F67" s="1685">
        <f t="shared" si="2"/>
        <v>557</v>
      </c>
      <c r="G67" s="1685">
        <f t="shared" si="2"/>
        <v>797</v>
      </c>
      <c r="H67" s="1685">
        <f t="shared" si="2"/>
        <v>0</v>
      </c>
      <c r="I67" s="1685">
        <f t="shared" si="2"/>
        <v>596</v>
      </c>
      <c r="J67" s="1685">
        <f t="shared" si="2"/>
        <v>442</v>
      </c>
      <c r="K67" s="1685">
        <f t="shared" si="2"/>
        <v>596</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2917</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2917</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1825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1825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3043</v>
      </c>
      <c r="D95" s="548">
        <v>0</v>
      </c>
      <c r="E95" s="518"/>
      <c r="F95" s="518"/>
      <c r="G95" s="518"/>
      <c r="H95" s="518"/>
      <c r="I95" s="518"/>
      <c r="J95" s="518"/>
      <c r="K95" s="518"/>
    </row>
    <row r="96" spans="1:11" ht="12.75" customHeight="1" x14ac:dyDescent="0.2">
      <c r="A96" s="463" t="s">
        <v>391</v>
      </c>
      <c r="B96" s="470">
        <v>1920</v>
      </c>
      <c r="C96" s="548">
        <v>650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3239</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147655</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9081</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12774</v>
      </c>
      <c r="D108" s="1704">
        <f t="shared" ref="D108:K108" si="3">SUM(D95:D107)</f>
        <v>3239</v>
      </c>
      <c r="E108" s="1704">
        <f t="shared" si="3"/>
        <v>0</v>
      </c>
      <c r="F108" s="1704">
        <f t="shared" si="3"/>
        <v>0</v>
      </c>
      <c r="G108" s="1704">
        <f t="shared" si="3"/>
        <v>0</v>
      </c>
      <c r="H108" s="1704">
        <f t="shared" si="3"/>
        <v>147655</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560405</v>
      </c>
      <c r="D109" s="1712">
        <f t="shared" si="4"/>
        <v>75279</v>
      </c>
      <c r="E109" s="1712">
        <f t="shared" si="4"/>
        <v>180155</v>
      </c>
      <c r="F109" s="1712">
        <f t="shared" si="4"/>
        <v>29655</v>
      </c>
      <c r="G109" s="1712">
        <f t="shared" si="4"/>
        <v>54660</v>
      </c>
      <c r="H109" s="1712">
        <f t="shared" si="4"/>
        <v>147655</v>
      </c>
      <c r="I109" s="1712">
        <f t="shared" si="4"/>
        <v>596</v>
      </c>
      <c r="J109" s="1712">
        <f t="shared" si="4"/>
        <v>8311</v>
      </c>
      <c r="K109" s="1699">
        <f t="shared" si="4"/>
        <v>596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1907382</v>
      </c>
      <c r="D117" s="479">
        <v>103653</v>
      </c>
      <c r="E117" s="466">
        <v>0</v>
      </c>
      <c r="F117" s="479">
        <v>62192</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1907382</v>
      </c>
      <c r="D122" s="1704">
        <f t="shared" si="5"/>
        <v>103653</v>
      </c>
      <c r="E122" s="1704">
        <f t="shared" si="5"/>
        <v>0</v>
      </c>
      <c r="F122" s="1704">
        <f t="shared" si="5"/>
        <v>62192</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23948</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2733</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26681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3682</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48323</v>
      </c>
      <c r="G152" s="467">
        <v>0</v>
      </c>
      <c r="H152" s="468"/>
      <c r="I152" s="468"/>
      <c r="J152" s="468"/>
      <c r="K152" s="468"/>
    </row>
    <row r="153" spans="1:11" ht="12.75" customHeight="1" x14ac:dyDescent="0.2">
      <c r="A153" s="463" t="s">
        <v>1057</v>
      </c>
      <c r="B153" s="559">
        <v>3510</v>
      </c>
      <c r="C153" s="548">
        <v>0</v>
      </c>
      <c r="D153" s="466">
        <v>0</v>
      </c>
      <c r="E153" s="558"/>
      <c r="F153" s="466">
        <v>24835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73158</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88" t="s">
        <v>398</v>
      </c>
      <c r="B169" s="2189"/>
      <c r="C169" s="1719">
        <f t="shared" ref="C169:K169" si="6">SUM(C132,C141,C145,C146:C150,C155,C156:C167,C168)</f>
        <v>30363</v>
      </c>
      <c r="D169" s="1719">
        <f t="shared" si="6"/>
        <v>0</v>
      </c>
      <c r="E169" s="1719">
        <f t="shared" si="6"/>
        <v>0</v>
      </c>
      <c r="F169" s="1719">
        <f t="shared" si="6"/>
        <v>73158</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1937745</v>
      </c>
      <c r="D170" s="1712">
        <f t="shared" si="7"/>
        <v>103653</v>
      </c>
      <c r="E170" s="1712">
        <f t="shared" si="7"/>
        <v>0</v>
      </c>
      <c r="F170" s="1712">
        <f t="shared" si="7"/>
        <v>135350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90" t="s">
        <v>1492</v>
      </c>
      <c r="B172" s="219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4" t="s">
        <v>1665</v>
      </c>
      <c r="B175" s="219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98" t="s">
        <v>1664</v>
      </c>
      <c r="B176" s="219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96" t="s">
        <v>785</v>
      </c>
      <c r="B181" s="219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92" t="s">
        <v>1803</v>
      </c>
      <c r="B182" s="219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127423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55614</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183037</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186704</v>
      </c>
      <c r="D200" s="466">
        <v>0</v>
      </c>
      <c r="E200" s="468"/>
      <c r="F200" s="466">
        <v>0</v>
      </c>
      <c r="G200" s="466">
        <v>8053</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186704</v>
      </c>
      <c r="D204" s="1704">
        <f>SUM(D200:D203)</f>
        <v>0</v>
      </c>
      <c r="E204" s="468"/>
      <c r="F204" s="1704">
        <f>SUM(F200:F203)</f>
        <v>0</v>
      </c>
      <c r="G204" s="1704">
        <f>SUM(G200:G203)</f>
        <v>8053</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20000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20000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112729</v>
      </c>
      <c r="D213" s="466">
        <v>0</v>
      </c>
      <c r="E213" s="468"/>
      <c r="F213" s="466">
        <v>5208</v>
      </c>
      <c r="G213" s="466">
        <v>517</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112729</v>
      </c>
      <c r="D217" s="1704">
        <f>SUM(D211:D216)</f>
        <v>0</v>
      </c>
      <c r="E217" s="468"/>
      <c r="F217" s="1704">
        <f>SUM(F211:F216)</f>
        <v>5208</v>
      </c>
      <c r="G217" s="1704">
        <f>SUM(G211:G216)</f>
        <v>517</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5056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8897</v>
      </c>
      <c r="D263" s="573">
        <v>0</v>
      </c>
      <c r="E263" s="468"/>
      <c r="F263" s="573">
        <v>0</v>
      </c>
      <c r="G263" s="573">
        <v>0</v>
      </c>
      <c r="H263" s="468"/>
      <c r="I263" s="468"/>
      <c r="J263" s="468"/>
      <c r="K263" s="468"/>
    </row>
    <row r="264" spans="1:11" ht="12.75" customHeight="1" thickTop="1" thickBot="1" x14ac:dyDescent="0.25">
      <c r="A264" s="463" t="s">
        <v>377</v>
      </c>
      <c r="B264" s="470">
        <v>4992</v>
      </c>
      <c r="C264" s="572">
        <v>26739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543162</v>
      </c>
      <c r="D266" s="1712">
        <f t="shared" si="10"/>
        <v>0</v>
      </c>
      <c r="E266" s="1712">
        <f t="shared" si="10"/>
        <v>0</v>
      </c>
      <c r="F266" s="1712">
        <f t="shared" si="10"/>
        <v>5208</v>
      </c>
      <c r="G266" s="1712">
        <f t="shared" si="10"/>
        <v>8570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543162</v>
      </c>
      <c r="D267" s="1712">
        <f>SUM(D175,D181,D266)</f>
        <v>0</v>
      </c>
      <c r="E267" s="1712">
        <f>SUM(E175,E266)</f>
        <v>0</v>
      </c>
      <c r="F267" s="1712">
        <f t="shared" ref="F267:K267" si="11">SUM(F175,F181,F266)</f>
        <v>5208</v>
      </c>
      <c r="G267" s="1712">
        <f t="shared" si="11"/>
        <v>8570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3041312</v>
      </c>
      <c r="D268" s="1712">
        <f t="shared" si="12"/>
        <v>178932</v>
      </c>
      <c r="E268" s="1712">
        <f t="shared" si="12"/>
        <v>180155</v>
      </c>
      <c r="F268" s="1712">
        <f t="shared" si="12"/>
        <v>170213</v>
      </c>
      <c r="G268" s="1712">
        <f t="shared" si="12"/>
        <v>63230</v>
      </c>
      <c r="H268" s="1712">
        <f t="shared" si="12"/>
        <v>147655</v>
      </c>
      <c r="I268" s="1712">
        <f t="shared" si="12"/>
        <v>596</v>
      </c>
      <c r="J268" s="1712">
        <f t="shared" si="12"/>
        <v>8311</v>
      </c>
      <c r="K268" s="1699">
        <f t="shared" si="12"/>
        <v>596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6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0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06" t="s">
        <v>297</v>
      </c>
      <c r="B3" s="2207"/>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1031096</v>
      </c>
      <c r="D5" s="466">
        <v>271054</v>
      </c>
      <c r="E5" s="466">
        <v>20852</v>
      </c>
      <c r="F5" s="466">
        <v>37804</v>
      </c>
      <c r="G5" s="466">
        <v>0</v>
      </c>
      <c r="H5" s="466">
        <v>0</v>
      </c>
      <c r="I5" s="467">
        <v>0</v>
      </c>
      <c r="J5" s="467">
        <v>0</v>
      </c>
      <c r="K5" s="1668">
        <f>SUM(C5:J5)</f>
        <v>1360806</v>
      </c>
      <c r="L5" s="471">
        <v>1330152</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86235</v>
      </c>
      <c r="D7" s="467">
        <v>21536</v>
      </c>
      <c r="E7" s="467">
        <v>0</v>
      </c>
      <c r="F7" s="467">
        <v>22819</v>
      </c>
      <c r="G7" s="467">
        <v>0</v>
      </c>
      <c r="H7" s="467">
        <v>0</v>
      </c>
      <c r="I7" s="467">
        <v>0</v>
      </c>
      <c r="J7" s="467">
        <v>0</v>
      </c>
      <c r="K7" s="1668">
        <f t="shared" ref="K7:K32" si="0">SUM(C7:J7)</f>
        <v>130590</v>
      </c>
      <c r="L7" s="471">
        <v>101208</v>
      </c>
    </row>
    <row r="8" spans="1:14" x14ac:dyDescent="0.2">
      <c r="A8" s="1501" t="s">
        <v>164</v>
      </c>
      <c r="B8" s="611">
        <v>1200</v>
      </c>
      <c r="C8" s="466">
        <v>244168</v>
      </c>
      <c r="D8" s="466">
        <v>43187</v>
      </c>
      <c r="E8" s="466">
        <v>0</v>
      </c>
      <c r="F8" s="466">
        <v>163</v>
      </c>
      <c r="G8" s="466">
        <v>0</v>
      </c>
      <c r="H8" s="466">
        <v>0</v>
      </c>
      <c r="I8" s="467">
        <v>0</v>
      </c>
      <c r="J8" s="467">
        <v>0</v>
      </c>
      <c r="K8" s="1668">
        <f t="shared" si="0"/>
        <v>287518</v>
      </c>
      <c r="L8" s="471">
        <v>341379</v>
      </c>
    </row>
    <row r="9" spans="1:14" x14ac:dyDescent="0.2">
      <c r="A9" s="1501" t="s">
        <v>721</v>
      </c>
      <c r="B9" s="611" t="s">
        <v>968</v>
      </c>
      <c r="C9" s="467">
        <v>33089</v>
      </c>
      <c r="D9" s="467">
        <v>750</v>
      </c>
      <c r="E9" s="467">
        <v>0</v>
      </c>
      <c r="F9" s="467">
        <v>123</v>
      </c>
      <c r="G9" s="467">
        <v>0</v>
      </c>
      <c r="H9" s="467">
        <v>0</v>
      </c>
      <c r="I9" s="467">
        <v>0</v>
      </c>
      <c r="J9" s="467">
        <v>0</v>
      </c>
      <c r="K9" s="1668">
        <f t="shared" si="0"/>
        <v>33962</v>
      </c>
      <c r="L9" s="471">
        <v>0</v>
      </c>
    </row>
    <row r="10" spans="1:14" x14ac:dyDescent="0.2">
      <c r="A10" s="1501" t="s">
        <v>722</v>
      </c>
      <c r="B10" s="611">
        <v>1250</v>
      </c>
      <c r="C10" s="466">
        <v>187898</v>
      </c>
      <c r="D10" s="466">
        <v>23593</v>
      </c>
      <c r="E10" s="466">
        <v>583</v>
      </c>
      <c r="F10" s="466">
        <v>1269</v>
      </c>
      <c r="G10" s="466">
        <v>0</v>
      </c>
      <c r="H10" s="466">
        <v>0</v>
      </c>
      <c r="I10" s="467">
        <v>0</v>
      </c>
      <c r="J10" s="467">
        <v>0</v>
      </c>
      <c r="K10" s="1668">
        <f t="shared" si="0"/>
        <v>213343</v>
      </c>
      <c r="L10" s="471">
        <v>334643</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5000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25525</v>
      </c>
      <c r="D14" s="466">
        <v>2993</v>
      </c>
      <c r="E14" s="466">
        <v>1361</v>
      </c>
      <c r="F14" s="466">
        <v>0</v>
      </c>
      <c r="G14" s="466">
        <v>0</v>
      </c>
      <c r="H14" s="466">
        <v>0</v>
      </c>
      <c r="I14" s="467">
        <v>0</v>
      </c>
      <c r="J14" s="467">
        <v>0</v>
      </c>
      <c r="K14" s="1668">
        <f t="shared" si="0"/>
        <v>29879</v>
      </c>
      <c r="L14" s="471">
        <v>36128</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66283</v>
      </c>
      <c r="I22" s="613"/>
      <c r="J22" s="475"/>
      <c r="K22" s="1668">
        <f t="shared" si="0"/>
        <v>66283</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1608011</v>
      </c>
      <c r="D33" s="1667">
        <f t="shared" ref="D33:L33" si="1">SUM(D5:D32)</f>
        <v>363113</v>
      </c>
      <c r="E33" s="1667">
        <f t="shared" si="1"/>
        <v>22796</v>
      </c>
      <c r="F33" s="1667">
        <f t="shared" si="1"/>
        <v>62178</v>
      </c>
      <c r="G33" s="1667">
        <f t="shared" si="1"/>
        <v>0</v>
      </c>
      <c r="H33" s="1667">
        <f t="shared" si="1"/>
        <v>66283</v>
      </c>
      <c r="I33" s="1667">
        <f t="shared" si="1"/>
        <v>0</v>
      </c>
      <c r="J33" s="1667">
        <f t="shared" si="1"/>
        <v>0</v>
      </c>
      <c r="K33" s="1667">
        <f t="shared" si="1"/>
        <v>2122381</v>
      </c>
      <c r="L33" s="1667">
        <f t="shared" si="1"/>
        <v>2148510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36816</v>
      </c>
      <c r="D37" s="466">
        <v>12262</v>
      </c>
      <c r="E37" s="466">
        <v>0</v>
      </c>
      <c r="F37" s="466">
        <v>1137</v>
      </c>
      <c r="G37" s="466">
        <v>0</v>
      </c>
      <c r="H37" s="466">
        <v>0</v>
      </c>
      <c r="I37" s="467">
        <v>0</v>
      </c>
      <c r="J37" s="467">
        <v>0</v>
      </c>
      <c r="K37" s="1668">
        <f t="shared" si="2"/>
        <v>50215</v>
      </c>
      <c r="L37" s="466">
        <v>54631</v>
      </c>
    </row>
    <row r="38" spans="1:14" x14ac:dyDescent="0.2">
      <c r="A38" s="1501" t="s">
        <v>198</v>
      </c>
      <c r="B38" s="611">
        <v>2130</v>
      </c>
      <c r="C38" s="466">
        <v>544</v>
      </c>
      <c r="D38" s="466">
        <v>0</v>
      </c>
      <c r="E38" s="466">
        <v>25</v>
      </c>
      <c r="F38" s="466">
        <v>722</v>
      </c>
      <c r="G38" s="466">
        <v>0</v>
      </c>
      <c r="H38" s="466">
        <v>0</v>
      </c>
      <c r="I38" s="467">
        <v>0</v>
      </c>
      <c r="J38" s="467">
        <v>0</v>
      </c>
      <c r="K38" s="1668">
        <f t="shared" si="2"/>
        <v>1291</v>
      </c>
      <c r="L38" s="466">
        <v>450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41282</v>
      </c>
      <c r="D40" s="466">
        <v>12443</v>
      </c>
      <c r="E40" s="466">
        <v>0</v>
      </c>
      <c r="F40" s="466">
        <v>133</v>
      </c>
      <c r="G40" s="466">
        <v>0</v>
      </c>
      <c r="H40" s="466">
        <v>0</v>
      </c>
      <c r="I40" s="467">
        <v>0</v>
      </c>
      <c r="J40" s="467">
        <v>0</v>
      </c>
      <c r="K40" s="1668">
        <f t="shared" si="2"/>
        <v>53858</v>
      </c>
      <c r="L40" s="466">
        <v>54077</v>
      </c>
    </row>
    <row r="41" spans="1:14" x14ac:dyDescent="0.2">
      <c r="A41" s="1501" t="s">
        <v>1669</v>
      </c>
      <c r="B41" s="611">
        <v>2190</v>
      </c>
      <c r="C41" s="466">
        <v>4871</v>
      </c>
      <c r="D41" s="466">
        <v>0</v>
      </c>
      <c r="E41" s="466">
        <v>0</v>
      </c>
      <c r="F41" s="466">
        <v>0</v>
      </c>
      <c r="G41" s="466">
        <v>0</v>
      </c>
      <c r="H41" s="466">
        <v>0</v>
      </c>
      <c r="I41" s="467">
        <v>0</v>
      </c>
      <c r="J41" s="467">
        <v>0</v>
      </c>
      <c r="K41" s="1668">
        <f t="shared" si="2"/>
        <v>4871</v>
      </c>
      <c r="L41" s="466">
        <v>16200</v>
      </c>
    </row>
    <row r="42" spans="1:14" ht="12.75" customHeight="1" thickBot="1" x14ac:dyDescent="0.25">
      <c r="A42" s="1665" t="s">
        <v>560</v>
      </c>
      <c r="B42" s="1666" t="s">
        <v>716</v>
      </c>
      <c r="C42" s="1667">
        <f>SUM(C36:C41)</f>
        <v>83513</v>
      </c>
      <c r="D42" s="1667">
        <f t="shared" ref="D42:L42" si="3">SUM(D36:D41)</f>
        <v>24705</v>
      </c>
      <c r="E42" s="1667">
        <f t="shared" si="3"/>
        <v>25</v>
      </c>
      <c r="F42" s="1667">
        <f t="shared" si="3"/>
        <v>1992</v>
      </c>
      <c r="G42" s="1667">
        <f t="shared" si="3"/>
        <v>0</v>
      </c>
      <c r="H42" s="1667">
        <f t="shared" si="3"/>
        <v>0</v>
      </c>
      <c r="I42" s="1667">
        <f t="shared" si="3"/>
        <v>0</v>
      </c>
      <c r="J42" s="1667">
        <f t="shared" si="3"/>
        <v>0</v>
      </c>
      <c r="K42" s="1667">
        <f t="shared" si="3"/>
        <v>110235</v>
      </c>
      <c r="L42" s="1667">
        <f t="shared" si="3"/>
        <v>125358</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15136</v>
      </c>
      <c r="D44" s="479">
        <v>3175</v>
      </c>
      <c r="E44" s="479">
        <v>837</v>
      </c>
      <c r="F44" s="479">
        <v>111</v>
      </c>
      <c r="G44" s="479">
        <v>0</v>
      </c>
      <c r="H44" s="479">
        <v>0</v>
      </c>
      <c r="I44" s="467">
        <v>0</v>
      </c>
      <c r="J44" s="467">
        <v>0</v>
      </c>
      <c r="K44" s="1669">
        <f>SUM(C44:J44)</f>
        <v>19259</v>
      </c>
      <c r="L44" s="479">
        <v>14000</v>
      </c>
    </row>
    <row r="45" spans="1:14" x14ac:dyDescent="0.2">
      <c r="A45" s="1501" t="s">
        <v>815</v>
      </c>
      <c r="B45" s="611">
        <v>2220</v>
      </c>
      <c r="C45" s="466">
        <v>56401</v>
      </c>
      <c r="D45" s="466">
        <v>14431</v>
      </c>
      <c r="E45" s="466">
        <v>4945</v>
      </c>
      <c r="F45" s="466">
        <v>27888</v>
      </c>
      <c r="G45" s="466">
        <v>0</v>
      </c>
      <c r="H45" s="466">
        <v>0</v>
      </c>
      <c r="I45" s="467">
        <v>0</v>
      </c>
      <c r="J45" s="467">
        <v>0</v>
      </c>
      <c r="K45" s="1669">
        <f>SUM(C45:J45)</f>
        <v>103665</v>
      </c>
      <c r="L45" s="466">
        <v>115709</v>
      </c>
    </row>
    <row r="46" spans="1:14" x14ac:dyDescent="0.2">
      <c r="A46" s="1501" t="s">
        <v>816</v>
      </c>
      <c r="B46" s="611">
        <v>2230</v>
      </c>
      <c r="C46" s="466">
        <v>0</v>
      </c>
      <c r="D46" s="466">
        <v>0</v>
      </c>
      <c r="E46" s="466">
        <v>0</v>
      </c>
      <c r="F46" s="466">
        <v>12293</v>
      </c>
      <c r="G46" s="466">
        <v>0</v>
      </c>
      <c r="H46" s="466">
        <v>0</v>
      </c>
      <c r="I46" s="467">
        <v>0</v>
      </c>
      <c r="J46" s="467">
        <v>0</v>
      </c>
      <c r="K46" s="1669">
        <f>SUM(C46:J46)</f>
        <v>12293</v>
      </c>
      <c r="L46" s="466">
        <v>5500</v>
      </c>
    </row>
    <row r="47" spans="1:14" ht="12.75" customHeight="1" thickBot="1" x14ac:dyDescent="0.25">
      <c r="A47" s="1665" t="s">
        <v>561</v>
      </c>
      <c r="B47" s="1666" t="s">
        <v>32</v>
      </c>
      <c r="C47" s="1667">
        <f>SUM(C44:C46)</f>
        <v>71537</v>
      </c>
      <c r="D47" s="1667">
        <f t="shared" ref="D47:K47" si="4">SUM(D44:D46)</f>
        <v>17606</v>
      </c>
      <c r="E47" s="1667">
        <f t="shared" si="4"/>
        <v>5782</v>
      </c>
      <c r="F47" s="1667">
        <f t="shared" si="4"/>
        <v>40292</v>
      </c>
      <c r="G47" s="1667">
        <f t="shared" si="4"/>
        <v>0</v>
      </c>
      <c r="H47" s="1667">
        <f t="shared" si="4"/>
        <v>0</v>
      </c>
      <c r="I47" s="1667">
        <f t="shared" si="4"/>
        <v>0</v>
      </c>
      <c r="J47" s="1667">
        <f t="shared" si="4"/>
        <v>0</v>
      </c>
      <c r="K47" s="1667">
        <f t="shared" si="4"/>
        <v>135217</v>
      </c>
      <c r="L47" s="1667">
        <f>SUM(L44:L46)</f>
        <v>135209</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47901</v>
      </c>
      <c r="F49" s="479">
        <v>18118</v>
      </c>
      <c r="G49" s="479">
        <v>0</v>
      </c>
      <c r="H49" s="479">
        <v>6546</v>
      </c>
      <c r="I49" s="467">
        <v>0</v>
      </c>
      <c r="J49" s="467">
        <v>0</v>
      </c>
      <c r="K49" s="1669">
        <f>SUM(C49:J49)</f>
        <v>72565</v>
      </c>
      <c r="L49" s="479">
        <v>87560</v>
      </c>
    </row>
    <row r="50" spans="1:14" x14ac:dyDescent="0.2">
      <c r="A50" s="1501" t="s">
        <v>818</v>
      </c>
      <c r="B50" s="611">
        <v>2320</v>
      </c>
      <c r="C50" s="467">
        <v>159259</v>
      </c>
      <c r="D50" s="466">
        <v>29948</v>
      </c>
      <c r="E50" s="466">
        <v>0</v>
      </c>
      <c r="F50" s="466">
        <v>194</v>
      </c>
      <c r="G50" s="466">
        <v>0</v>
      </c>
      <c r="H50" s="466">
        <v>5993</v>
      </c>
      <c r="I50" s="467">
        <v>0</v>
      </c>
      <c r="J50" s="467">
        <v>0</v>
      </c>
      <c r="K50" s="1669">
        <f>SUM(C50:J50)</f>
        <v>195394</v>
      </c>
      <c r="L50" s="466">
        <v>177327</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159259</v>
      </c>
      <c r="D53" s="1667">
        <f t="shared" ref="D53:L53" si="5">SUM(D49:D52)</f>
        <v>29948</v>
      </c>
      <c r="E53" s="1667">
        <f t="shared" si="5"/>
        <v>47901</v>
      </c>
      <c r="F53" s="1667">
        <f t="shared" si="5"/>
        <v>18312</v>
      </c>
      <c r="G53" s="1667">
        <f t="shared" si="5"/>
        <v>0</v>
      </c>
      <c r="H53" s="1667">
        <f t="shared" si="5"/>
        <v>12539</v>
      </c>
      <c r="I53" s="1667">
        <f t="shared" si="5"/>
        <v>0</v>
      </c>
      <c r="J53" s="1667">
        <f t="shared" si="5"/>
        <v>0</v>
      </c>
      <c r="K53" s="1667">
        <f t="shared" si="5"/>
        <v>267959</v>
      </c>
      <c r="L53" s="1667">
        <f t="shared" si="5"/>
        <v>264887</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183064</v>
      </c>
      <c r="D55" s="479">
        <v>37555</v>
      </c>
      <c r="E55" s="479">
        <v>1705</v>
      </c>
      <c r="F55" s="479">
        <v>1954</v>
      </c>
      <c r="G55" s="479">
        <v>0</v>
      </c>
      <c r="H55" s="479">
        <v>0</v>
      </c>
      <c r="I55" s="467">
        <v>0</v>
      </c>
      <c r="J55" s="467">
        <v>0</v>
      </c>
      <c r="K55" s="1669">
        <f>SUM(C55:J55)</f>
        <v>224278</v>
      </c>
      <c r="L55" s="479">
        <v>252811</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183064</v>
      </c>
      <c r="D57" s="1671">
        <f t="shared" ref="D57:K57" si="6">SUM(D55:D56)</f>
        <v>37555</v>
      </c>
      <c r="E57" s="1671">
        <f t="shared" si="6"/>
        <v>1705</v>
      </c>
      <c r="F57" s="1671">
        <f t="shared" si="6"/>
        <v>1954</v>
      </c>
      <c r="G57" s="1671">
        <f t="shared" si="6"/>
        <v>0</v>
      </c>
      <c r="H57" s="1671">
        <f t="shared" si="6"/>
        <v>0</v>
      </c>
      <c r="I57" s="1671">
        <f t="shared" si="6"/>
        <v>0</v>
      </c>
      <c r="J57" s="1671">
        <f t="shared" si="6"/>
        <v>0</v>
      </c>
      <c r="K57" s="1671">
        <f t="shared" si="6"/>
        <v>224278</v>
      </c>
      <c r="L57" s="1667">
        <f>SUM(L55:L56)</f>
        <v>252811</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48923</v>
      </c>
      <c r="D60" s="466">
        <v>6890</v>
      </c>
      <c r="E60" s="466">
        <v>3827</v>
      </c>
      <c r="F60" s="466">
        <v>5409</v>
      </c>
      <c r="G60" s="466">
        <v>0</v>
      </c>
      <c r="H60" s="466">
        <v>0</v>
      </c>
      <c r="I60" s="467">
        <v>0</v>
      </c>
      <c r="J60" s="467">
        <v>0</v>
      </c>
      <c r="K60" s="1669">
        <f t="shared" si="7"/>
        <v>65049</v>
      </c>
      <c r="L60" s="466">
        <v>76230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45351</v>
      </c>
      <c r="D63" s="466">
        <v>32</v>
      </c>
      <c r="E63" s="466">
        <v>362</v>
      </c>
      <c r="F63" s="466">
        <v>97949</v>
      </c>
      <c r="G63" s="466">
        <v>0</v>
      </c>
      <c r="H63" s="466">
        <v>0</v>
      </c>
      <c r="I63" s="467">
        <v>0</v>
      </c>
      <c r="J63" s="467">
        <v>0</v>
      </c>
      <c r="K63" s="1669">
        <f t="shared" si="7"/>
        <v>143694</v>
      </c>
      <c r="L63" s="466">
        <v>141375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94274</v>
      </c>
      <c r="D65" s="1667">
        <f t="shared" ref="D65:L65" si="8">SUM(D59:D64)</f>
        <v>6922</v>
      </c>
      <c r="E65" s="1667">
        <f t="shared" si="8"/>
        <v>4189</v>
      </c>
      <c r="F65" s="1667">
        <f t="shared" si="8"/>
        <v>103358</v>
      </c>
      <c r="G65" s="1667">
        <f t="shared" si="8"/>
        <v>0</v>
      </c>
      <c r="H65" s="1667">
        <f t="shared" si="8"/>
        <v>0</v>
      </c>
      <c r="I65" s="1667">
        <f t="shared" si="8"/>
        <v>0</v>
      </c>
      <c r="J65" s="1667">
        <f t="shared" si="8"/>
        <v>0</v>
      </c>
      <c r="K65" s="1667">
        <f t="shared" si="8"/>
        <v>208743</v>
      </c>
      <c r="L65" s="1667">
        <f t="shared" si="8"/>
        <v>217605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6968</v>
      </c>
      <c r="G71" s="466">
        <v>0</v>
      </c>
      <c r="H71" s="466">
        <v>0</v>
      </c>
      <c r="I71" s="467">
        <v>0</v>
      </c>
      <c r="J71" s="467">
        <v>0</v>
      </c>
      <c r="K71" s="1669">
        <f>SUM(C71:J71)</f>
        <v>6968</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6968</v>
      </c>
      <c r="G72" s="1667">
        <f t="shared" si="9"/>
        <v>0</v>
      </c>
      <c r="H72" s="1667">
        <f t="shared" si="9"/>
        <v>0</v>
      </c>
      <c r="I72" s="1667">
        <f t="shared" si="9"/>
        <v>0</v>
      </c>
      <c r="J72" s="1667">
        <f t="shared" si="9"/>
        <v>0</v>
      </c>
      <c r="K72" s="1667">
        <f t="shared" si="9"/>
        <v>6968</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591647</v>
      </c>
      <c r="D74" s="1674">
        <f t="shared" ref="D74:K74" si="10">SUM(D42,D47,D53,D57,D65,D72,D73)</f>
        <v>116736</v>
      </c>
      <c r="E74" s="1674">
        <f t="shared" si="10"/>
        <v>59602</v>
      </c>
      <c r="F74" s="1674">
        <f t="shared" si="10"/>
        <v>172876</v>
      </c>
      <c r="G74" s="1674">
        <f t="shared" si="10"/>
        <v>0</v>
      </c>
      <c r="H74" s="1674">
        <f t="shared" si="10"/>
        <v>12539</v>
      </c>
      <c r="I74" s="1674">
        <f t="shared" si="10"/>
        <v>0</v>
      </c>
      <c r="J74" s="1674">
        <f t="shared" si="10"/>
        <v>0</v>
      </c>
      <c r="K74" s="1674">
        <f t="shared" si="10"/>
        <v>953400</v>
      </c>
      <c r="L74" s="1674">
        <f>SUM(L42,L47,L53,L57,L65,L72,L73)</f>
        <v>995870</v>
      </c>
    </row>
    <row r="75" spans="1:14" s="259" customFormat="1" ht="15.75" customHeight="1" thickTop="1" thickBot="1" x14ac:dyDescent="0.25">
      <c r="A75" s="1607" t="s">
        <v>47</v>
      </c>
      <c r="B75" s="1608" t="s">
        <v>575</v>
      </c>
      <c r="C75" s="467">
        <v>0</v>
      </c>
      <c r="D75" s="467">
        <v>0</v>
      </c>
      <c r="E75" s="467">
        <v>122</v>
      </c>
      <c r="F75" s="467">
        <v>0</v>
      </c>
      <c r="G75" s="467">
        <v>0</v>
      </c>
      <c r="H75" s="467">
        <v>0</v>
      </c>
      <c r="I75" s="467">
        <v>0</v>
      </c>
      <c r="J75" s="467">
        <v>0</v>
      </c>
      <c r="K75" s="1667">
        <f>SUM(C75:J75)</f>
        <v>122</v>
      </c>
      <c r="L75" s="573">
        <v>600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2904</v>
      </c>
      <c r="F78" s="613"/>
      <c r="G78" s="613"/>
      <c r="H78" s="631">
        <v>0</v>
      </c>
      <c r="I78" s="475"/>
      <c r="J78" s="475"/>
      <c r="K78" s="1668">
        <f t="shared" ref="K78:K83" si="11">SUM(C78:J78)</f>
        <v>2904</v>
      </c>
      <c r="L78" s="479">
        <v>3700</v>
      </c>
    </row>
    <row r="79" spans="1:14" x14ac:dyDescent="0.2">
      <c r="A79" s="1501" t="s">
        <v>304</v>
      </c>
      <c r="B79" s="611">
        <v>4120</v>
      </c>
      <c r="C79" s="613"/>
      <c r="D79" s="613"/>
      <c r="E79" s="466">
        <v>55484</v>
      </c>
      <c r="F79" s="613"/>
      <c r="G79" s="613"/>
      <c r="H79" s="466">
        <v>51839</v>
      </c>
      <c r="I79" s="475"/>
      <c r="J79" s="475"/>
      <c r="K79" s="1668">
        <f t="shared" si="11"/>
        <v>107323</v>
      </c>
      <c r="L79" s="466">
        <v>105049</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58388</v>
      </c>
      <c r="F84" s="613"/>
      <c r="G84" s="613"/>
      <c r="H84" s="1667">
        <f>SUM(H78:H83)</f>
        <v>51839</v>
      </c>
      <c r="I84" s="475"/>
      <c r="J84" s="475"/>
      <c r="K84" s="1667">
        <f>SUM(K78:K83)</f>
        <v>110227</v>
      </c>
      <c r="L84" s="1667">
        <f>SUM(L78:L83)</f>
        <v>108749</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44213</v>
      </c>
      <c r="I86" s="475"/>
      <c r="J86" s="475"/>
      <c r="K86" s="1674">
        <f t="shared" ref="K86:K98" si="12">H86</f>
        <v>44213</v>
      </c>
      <c r="L86" s="527">
        <v>75000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44213</v>
      </c>
      <c r="I92" s="475"/>
      <c r="J92" s="475"/>
      <c r="K92" s="1674">
        <f t="shared" si="12"/>
        <v>44213</v>
      </c>
      <c r="L92" s="1667">
        <f>SUM(L85:L91)</f>
        <v>75000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58388</v>
      </c>
      <c r="F102" s="613"/>
      <c r="G102" s="613"/>
      <c r="H102" s="1674">
        <f>SUM(H84,H92,H100,H101)</f>
        <v>96052</v>
      </c>
      <c r="I102" s="475"/>
      <c r="J102" s="475"/>
      <c r="K102" s="1674">
        <f>SUM(K84,K92,K100,K101)</f>
        <v>154440</v>
      </c>
      <c r="L102" s="1674">
        <f>SUM(L84,L92,L100,L101)</f>
        <v>183749</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2199658</v>
      </c>
      <c r="D114" s="1667">
        <f t="shared" ref="D114:K114" si="13">SUM(D33,D74,D75,D102,D112,D113)</f>
        <v>479849</v>
      </c>
      <c r="E114" s="1667">
        <f t="shared" si="13"/>
        <v>140908</v>
      </c>
      <c r="F114" s="1667">
        <f t="shared" si="13"/>
        <v>235054</v>
      </c>
      <c r="G114" s="1667">
        <f t="shared" si="13"/>
        <v>0</v>
      </c>
      <c r="H114" s="1667">
        <f>SUM(H33,H74,H75,H102,H112,H113)</f>
        <v>174874</v>
      </c>
      <c r="I114" s="1667">
        <f t="shared" si="13"/>
        <v>0</v>
      </c>
      <c r="J114" s="1667">
        <f t="shared" si="13"/>
        <v>0</v>
      </c>
      <c r="K114" s="1667">
        <f t="shared" si="13"/>
        <v>3230343</v>
      </c>
      <c r="L114" s="1667">
        <f>SUM(L33,L74,L75,L102,L112,L113)</f>
        <v>3328729</v>
      </c>
    </row>
    <row r="115" spans="1:14" ht="13.5" thickTop="1" x14ac:dyDescent="0.2">
      <c r="A115" s="2225" t="s">
        <v>996</v>
      </c>
      <c r="B115" s="2226"/>
      <c r="C115" s="615"/>
      <c r="D115" s="615"/>
      <c r="E115" s="615"/>
      <c r="F115" s="615"/>
      <c r="G115" s="615"/>
      <c r="H115" s="615"/>
      <c r="I115" s="615"/>
      <c r="J115" s="615"/>
      <c r="K115" s="1681">
        <f>'Revenues 9-14'!C268-'Expenditures 15-22'!K114</f>
        <v>-189031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3" t="s">
        <v>296</v>
      </c>
      <c r="B117" s="220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83218</v>
      </c>
      <c r="D124" s="466">
        <v>13472</v>
      </c>
      <c r="E124" s="466">
        <v>52953</v>
      </c>
      <c r="F124" s="466">
        <v>76074</v>
      </c>
      <c r="G124" s="466">
        <v>49556</v>
      </c>
      <c r="H124" s="466">
        <v>0</v>
      </c>
      <c r="I124" s="467">
        <v>0</v>
      </c>
      <c r="J124" s="467">
        <v>0</v>
      </c>
      <c r="K124" s="1667">
        <f>SUM(C124:J124)</f>
        <v>275273</v>
      </c>
      <c r="L124" s="466">
        <v>256720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83218</v>
      </c>
      <c r="D127" s="1667">
        <f t="shared" ref="D127:L127" si="14">SUM(D122:D126)</f>
        <v>13472</v>
      </c>
      <c r="E127" s="1667">
        <f t="shared" si="14"/>
        <v>52953</v>
      </c>
      <c r="F127" s="1667">
        <f t="shared" si="14"/>
        <v>76074</v>
      </c>
      <c r="G127" s="1667">
        <f t="shared" si="14"/>
        <v>49556</v>
      </c>
      <c r="H127" s="1667">
        <f t="shared" si="14"/>
        <v>0</v>
      </c>
      <c r="I127" s="1667">
        <f t="shared" si="14"/>
        <v>0</v>
      </c>
      <c r="J127" s="1667">
        <f t="shared" si="14"/>
        <v>0</v>
      </c>
      <c r="K127" s="1667">
        <f t="shared" si="14"/>
        <v>275273</v>
      </c>
      <c r="L127" s="1667">
        <f t="shared" si="14"/>
        <v>256720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83218</v>
      </c>
      <c r="D129" s="1674">
        <f t="shared" ref="D129:L129" si="15">SUM(D120,D127,D128)</f>
        <v>13472</v>
      </c>
      <c r="E129" s="1674">
        <f t="shared" si="15"/>
        <v>52953</v>
      </c>
      <c r="F129" s="1674">
        <f t="shared" si="15"/>
        <v>76074</v>
      </c>
      <c r="G129" s="1674">
        <f t="shared" si="15"/>
        <v>49556</v>
      </c>
      <c r="H129" s="1674">
        <f t="shared" si="15"/>
        <v>0</v>
      </c>
      <c r="I129" s="1674">
        <f t="shared" si="15"/>
        <v>0</v>
      </c>
      <c r="J129" s="1674">
        <f t="shared" si="15"/>
        <v>0</v>
      </c>
      <c r="K129" s="1674">
        <f t="shared" si="15"/>
        <v>275273</v>
      </c>
      <c r="L129" s="1674">
        <f t="shared" si="15"/>
        <v>256720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15" t="s">
        <v>620</v>
      </c>
      <c r="B151" s="2197"/>
      <c r="C151" s="1667">
        <f>SUM(C129,C130,C139,C149,C150)</f>
        <v>83218</v>
      </c>
      <c r="D151" s="1667">
        <f t="shared" ref="D151:K151" si="16">SUM(D129,D130,D139,D149,D150)</f>
        <v>13472</v>
      </c>
      <c r="E151" s="1667">
        <f t="shared" si="16"/>
        <v>52953</v>
      </c>
      <c r="F151" s="1667">
        <f t="shared" si="16"/>
        <v>76074</v>
      </c>
      <c r="G151" s="1667">
        <f t="shared" si="16"/>
        <v>49556</v>
      </c>
      <c r="H151" s="1667">
        <f t="shared" si="16"/>
        <v>0</v>
      </c>
      <c r="I151" s="1667">
        <f t="shared" si="16"/>
        <v>0</v>
      </c>
      <c r="J151" s="1667">
        <f t="shared" si="16"/>
        <v>0</v>
      </c>
      <c r="K151" s="1667">
        <f t="shared" si="16"/>
        <v>275273</v>
      </c>
      <c r="L151" s="1667">
        <f>SUM(L129,L130,L139,L149,L150)</f>
        <v>256720</v>
      </c>
    </row>
    <row r="152" spans="1:14" ht="12.75" customHeight="1" thickTop="1" x14ac:dyDescent="0.2">
      <c r="A152" s="2218" t="s">
        <v>1178</v>
      </c>
      <c r="B152" s="2219"/>
      <c r="C152" s="615"/>
      <c r="D152" s="615"/>
      <c r="E152" s="615"/>
      <c r="F152" s="615"/>
      <c r="G152" s="615"/>
      <c r="H152" s="615"/>
      <c r="I152" s="615"/>
      <c r="J152" s="613"/>
      <c r="K152" s="1681">
        <f>'Revenues 9-14'!D268-'Expenditures 15-22'!K151</f>
        <v>-96341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3" t="s">
        <v>621</v>
      </c>
      <c r="B154" s="2205"/>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10910</v>
      </c>
      <c r="I169" s="613"/>
      <c r="J169" s="613"/>
      <c r="K169" s="1668">
        <f>SUM(C169:H169)</f>
        <v>10910</v>
      </c>
      <c r="L169" s="653">
        <v>10910</v>
      </c>
    </row>
    <row r="170" spans="1:14" ht="33.75" customHeight="1" x14ac:dyDescent="0.2">
      <c r="A170" s="666" t="s">
        <v>1670</v>
      </c>
      <c r="B170" s="668" t="s">
        <v>31</v>
      </c>
      <c r="C170" s="613"/>
      <c r="D170" s="613"/>
      <c r="E170" s="613"/>
      <c r="F170" s="613"/>
      <c r="G170" s="613"/>
      <c r="H170" s="566">
        <v>180000</v>
      </c>
      <c r="I170" s="613"/>
      <c r="J170" s="613"/>
      <c r="K170" s="1668">
        <f>SUM(C170:J170)</f>
        <v>180000</v>
      </c>
      <c r="L170" s="566">
        <v>180000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190910</v>
      </c>
      <c r="I172" s="635"/>
      <c r="J172" s="613"/>
      <c r="K172" s="1674">
        <f>SUM(K168,K169,K170,K171)</f>
        <v>190910</v>
      </c>
      <c r="L172" s="1674">
        <f>SUM(L168,L169,L170,L171)</f>
        <v>190910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190910</v>
      </c>
      <c r="I174" s="635"/>
      <c r="J174" s="613"/>
      <c r="K174" s="1674">
        <f>SUM(K160,K172,K173)</f>
        <v>190910</v>
      </c>
      <c r="L174" s="1674">
        <f>SUM(L160,L172,L173)</f>
        <v>190910</v>
      </c>
    </row>
    <row r="175" spans="1:14" ht="13.5" thickTop="1" x14ac:dyDescent="0.2">
      <c r="A175" s="2225" t="s">
        <v>996</v>
      </c>
      <c r="B175" s="2226"/>
      <c r="C175" s="613"/>
      <c r="D175" s="613"/>
      <c r="E175" s="613"/>
      <c r="F175" s="613"/>
      <c r="G175" s="613"/>
      <c r="H175" s="615"/>
      <c r="I175" s="613"/>
      <c r="J175" s="613"/>
      <c r="K175" s="1681">
        <f>'Revenues 9-14'!E268-'Expenditures 15-22'!K174</f>
        <v>-10755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69470</v>
      </c>
      <c r="D182" s="466">
        <v>442</v>
      </c>
      <c r="E182" s="466">
        <v>4759</v>
      </c>
      <c r="F182" s="466">
        <v>13861</v>
      </c>
      <c r="G182" s="466">
        <v>0</v>
      </c>
      <c r="H182" s="466">
        <v>0</v>
      </c>
      <c r="I182" s="467">
        <v>0</v>
      </c>
      <c r="J182" s="467">
        <v>0</v>
      </c>
      <c r="K182" s="1668">
        <f>SUM(C182:J182)</f>
        <v>88532</v>
      </c>
      <c r="L182" s="466">
        <v>129526</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69470</v>
      </c>
      <c r="D184" s="1674">
        <f t="shared" ref="D184:J184" si="17">SUM(D180,D182,D183)</f>
        <v>442</v>
      </c>
      <c r="E184" s="1674">
        <f t="shared" si="17"/>
        <v>4759</v>
      </c>
      <c r="F184" s="1674">
        <f t="shared" si="17"/>
        <v>13861</v>
      </c>
      <c r="G184" s="1674">
        <f t="shared" si="17"/>
        <v>0</v>
      </c>
      <c r="H184" s="1674">
        <f t="shared" si="17"/>
        <v>0</v>
      </c>
      <c r="I184" s="1674">
        <f t="shared" si="17"/>
        <v>0</v>
      </c>
      <c r="J184" s="1674">
        <f t="shared" si="17"/>
        <v>0</v>
      </c>
      <c r="K184" s="1674">
        <f>SUM(K180,K182,K183)</f>
        <v>88532</v>
      </c>
      <c r="L184" s="1674">
        <f>SUM(L180, L182:L183)</f>
        <v>129526</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4133</v>
      </c>
      <c r="F189" s="613"/>
      <c r="G189" s="613"/>
      <c r="H189" s="466">
        <v>0</v>
      </c>
      <c r="I189" s="475"/>
      <c r="J189" s="613"/>
      <c r="K189" s="1668">
        <f t="shared" si="18"/>
        <v>4133</v>
      </c>
      <c r="L189" s="466">
        <v>5000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4133</v>
      </c>
      <c r="F194" s="613"/>
      <c r="G194" s="613"/>
      <c r="H194" s="1667">
        <f>SUM(H188:H193)</f>
        <v>0</v>
      </c>
      <c r="I194" s="475"/>
      <c r="J194" s="613"/>
      <c r="K194" s="1667">
        <f>SUM(K188:K193)</f>
        <v>4133</v>
      </c>
      <c r="L194" s="1667">
        <f>SUM(L188:L193)</f>
        <v>5000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4133</v>
      </c>
      <c r="F196" s="613"/>
      <c r="G196" s="613"/>
      <c r="H196" s="1674">
        <f>SUM(H194,H195)</f>
        <v>0</v>
      </c>
      <c r="I196" s="475"/>
      <c r="J196" s="613"/>
      <c r="K196" s="1674">
        <f>SUM(K194,K195)</f>
        <v>4133</v>
      </c>
      <c r="L196" s="1674">
        <f>SUM(L194,L195)</f>
        <v>5000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69470</v>
      </c>
      <c r="D210" s="1667">
        <f>SUM(D184,D185)</f>
        <v>442</v>
      </c>
      <c r="E210" s="1667">
        <f>SUM(E184,E185,E196)</f>
        <v>8892</v>
      </c>
      <c r="F210" s="1667">
        <f>SUM(F184,F185)</f>
        <v>13861</v>
      </c>
      <c r="G210" s="1667">
        <f>SUM(G184,G185)</f>
        <v>0</v>
      </c>
      <c r="H210" s="1667">
        <f>SUM(H184,H185,H196,H208,H209)</f>
        <v>0</v>
      </c>
      <c r="I210" s="1667">
        <f>SUM(I184,I185)</f>
        <v>0</v>
      </c>
      <c r="J210" s="1667">
        <f>SUM(J184,J185)</f>
        <v>0</v>
      </c>
      <c r="K210" s="1668">
        <f>SUM(K184,K185,K196,K208,K209)</f>
        <v>92665</v>
      </c>
      <c r="L210" s="1667">
        <f>SUM(L184,L185,L196,L208,L209)</f>
        <v>134526</v>
      </c>
    </row>
    <row r="211" spans="1:14" ht="13.5" thickTop="1" x14ac:dyDescent="0.2">
      <c r="A211" s="2225" t="s">
        <v>996</v>
      </c>
      <c r="B211" s="2226"/>
      <c r="C211" s="615"/>
      <c r="D211" s="615"/>
      <c r="E211" s="615"/>
      <c r="F211" s="615"/>
      <c r="G211" s="615"/>
      <c r="H211" s="615"/>
      <c r="I211" s="613"/>
      <c r="J211" s="613"/>
      <c r="K211" s="1681">
        <f>'Revenues 9-14'!F268-'Expenditures 15-22'!K210</f>
        <v>77548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20" t="s">
        <v>965</v>
      </c>
      <c r="B213" s="2221"/>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16276</v>
      </c>
      <c r="E215" s="613"/>
      <c r="F215" s="613"/>
      <c r="G215" s="613"/>
      <c r="H215" s="613"/>
      <c r="I215" s="613"/>
      <c r="J215" s="613"/>
      <c r="K215" s="1668">
        <f>D215</f>
        <v>16276</v>
      </c>
      <c r="L215" s="466">
        <v>15018</v>
      </c>
    </row>
    <row r="216" spans="1:14" x14ac:dyDescent="0.2">
      <c r="A216" s="1501" t="s">
        <v>163</v>
      </c>
      <c r="B216" s="611" t="s">
        <v>967</v>
      </c>
      <c r="C216" s="613"/>
      <c r="D216" s="467">
        <v>2579</v>
      </c>
      <c r="E216" s="613"/>
      <c r="F216" s="613"/>
      <c r="G216" s="613"/>
      <c r="H216" s="613"/>
      <c r="I216" s="613"/>
      <c r="J216" s="613"/>
      <c r="K216" s="1668">
        <f t="shared" ref="K216:K228" si="19">D216</f>
        <v>2579</v>
      </c>
      <c r="L216" s="466">
        <v>1119</v>
      </c>
    </row>
    <row r="217" spans="1:14" x14ac:dyDescent="0.2">
      <c r="A217" s="1501" t="s">
        <v>164</v>
      </c>
      <c r="B217" s="611">
        <v>1200</v>
      </c>
      <c r="C217" s="613"/>
      <c r="D217" s="466">
        <v>9608</v>
      </c>
      <c r="E217" s="613"/>
      <c r="F217" s="613"/>
      <c r="G217" s="613"/>
      <c r="H217" s="613"/>
      <c r="I217" s="613"/>
      <c r="J217" s="613"/>
      <c r="K217" s="1668">
        <f t="shared" si="19"/>
        <v>9608</v>
      </c>
      <c r="L217" s="466">
        <v>9899</v>
      </c>
    </row>
    <row r="218" spans="1:14" x14ac:dyDescent="0.2">
      <c r="A218" s="1501" t="s">
        <v>278</v>
      </c>
      <c r="B218" s="611" t="s">
        <v>968</v>
      </c>
      <c r="C218" s="613"/>
      <c r="D218" s="467">
        <v>4170</v>
      </c>
      <c r="E218" s="613"/>
      <c r="F218" s="613"/>
      <c r="G218" s="613"/>
      <c r="H218" s="613"/>
      <c r="I218" s="613"/>
      <c r="J218" s="613"/>
      <c r="K218" s="1668">
        <f t="shared" si="19"/>
        <v>4170</v>
      </c>
      <c r="L218" s="466">
        <v>2100</v>
      </c>
    </row>
    <row r="219" spans="1:14" x14ac:dyDescent="0.2">
      <c r="A219" s="1501" t="s">
        <v>279</v>
      </c>
      <c r="B219" s="611">
        <v>1250</v>
      </c>
      <c r="C219" s="613"/>
      <c r="D219" s="466">
        <v>17618</v>
      </c>
      <c r="E219" s="613"/>
      <c r="F219" s="613"/>
      <c r="G219" s="613"/>
      <c r="H219" s="613"/>
      <c r="I219" s="613"/>
      <c r="J219" s="613"/>
      <c r="K219" s="1668">
        <f t="shared" si="19"/>
        <v>17618</v>
      </c>
      <c r="L219" s="466">
        <v>27799</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1507</v>
      </c>
      <c r="E223" s="613"/>
      <c r="F223" s="613"/>
      <c r="G223" s="613"/>
      <c r="H223" s="613"/>
      <c r="I223" s="613"/>
      <c r="J223" s="613"/>
      <c r="K223" s="1668">
        <f t="shared" si="19"/>
        <v>1507</v>
      </c>
      <c r="L223" s="466">
        <v>750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51758</v>
      </c>
      <c r="E229" s="613"/>
      <c r="F229" s="613"/>
      <c r="G229" s="613"/>
      <c r="H229" s="613"/>
      <c r="I229" s="613"/>
      <c r="J229" s="613"/>
      <c r="K229" s="1667">
        <f>SUM(K215:K228)</f>
        <v>51758</v>
      </c>
      <c r="L229" s="1667">
        <f>SUM(L215:L228)</f>
        <v>56685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529</v>
      </c>
      <c r="E233" s="613"/>
      <c r="F233" s="613"/>
      <c r="G233" s="613"/>
      <c r="H233" s="613"/>
      <c r="I233" s="613"/>
      <c r="J233" s="613"/>
      <c r="K233" s="1668">
        <f t="shared" si="20"/>
        <v>529</v>
      </c>
      <c r="L233" s="466">
        <v>586</v>
      </c>
    </row>
    <row r="234" spans="1:12" x14ac:dyDescent="0.2">
      <c r="A234" s="1501" t="s">
        <v>198</v>
      </c>
      <c r="B234" s="611">
        <v>2130</v>
      </c>
      <c r="C234" s="613"/>
      <c r="D234" s="466">
        <v>41</v>
      </c>
      <c r="E234" s="613"/>
      <c r="F234" s="613"/>
      <c r="G234" s="613"/>
      <c r="H234" s="613"/>
      <c r="I234" s="613"/>
      <c r="J234" s="613"/>
      <c r="K234" s="1668">
        <f t="shared" si="20"/>
        <v>41</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525</v>
      </c>
      <c r="E236" s="613"/>
      <c r="F236" s="613"/>
      <c r="G236" s="613"/>
      <c r="H236" s="613"/>
      <c r="I236" s="613"/>
      <c r="J236" s="613"/>
      <c r="K236" s="1668">
        <f t="shared" si="20"/>
        <v>525</v>
      </c>
      <c r="L236" s="466">
        <v>601</v>
      </c>
    </row>
    <row r="237" spans="1:12" x14ac:dyDescent="0.2">
      <c r="A237" s="1501" t="s">
        <v>165</v>
      </c>
      <c r="B237" s="611">
        <v>2190</v>
      </c>
      <c r="C237" s="613"/>
      <c r="D237" s="466">
        <v>623</v>
      </c>
      <c r="E237" s="613"/>
      <c r="F237" s="613"/>
      <c r="G237" s="613"/>
      <c r="H237" s="613"/>
      <c r="I237" s="613"/>
      <c r="J237" s="613"/>
      <c r="K237" s="1668">
        <f t="shared" si="20"/>
        <v>623</v>
      </c>
      <c r="L237" s="466">
        <v>1220</v>
      </c>
    </row>
    <row r="238" spans="1:12" ht="12.75" customHeight="1" thickBot="1" x14ac:dyDescent="0.25">
      <c r="A238" s="1665" t="s">
        <v>560</v>
      </c>
      <c r="B238" s="1672" t="s">
        <v>716</v>
      </c>
      <c r="C238" s="613"/>
      <c r="D238" s="1667">
        <f>SUM(D232:D237)</f>
        <v>1718</v>
      </c>
      <c r="E238" s="613"/>
      <c r="F238" s="613"/>
      <c r="G238" s="613"/>
      <c r="H238" s="613"/>
      <c r="I238" s="613"/>
      <c r="J238" s="613"/>
      <c r="K238" s="1667">
        <f>SUM(K232:K237)</f>
        <v>1718</v>
      </c>
      <c r="L238" s="1667">
        <f>SUM(L232:L237)</f>
        <v>2407</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205</v>
      </c>
      <c r="E240" s="613"/>
      <c r="F240" s="613"/>
      <c r="G240" s="613"/>
      <c r="H240" s="613"/>
      <c r="I240" s="613"/>
      <c r="J240" s="613"/>
      <c r="K240" s="1669">
        <f>D240</f>
        <v>205</v>
      </c>
      <c r="L240" s="479">
        <v>0</v>
      </c>
    </row>
    <row r="241" spans="1:12" x14ac:dyDescent="0.2">
      <c r="A241" s="1501" t="s">
        <v>815</v>
      </c>
      <c r="B241" s="611">
        <v>2220</v>
      </c>
      <c r="C241" s="613"/>
      <c r="D241" s="466">
        <v>784</v>
      </c>
      <c r="E241" s="613"/>
      <c r="F241" s="613"/>
      <c r="G241" s="613"/>
      <c r="H241" s="613"/>
      <c r="I241" s="613"/>
      <c r="J241" s="613"/>
      <c r="K241" s="1669">
        <f>D241</f>
        <v>784</v>
      </c>
      <c r="L241" s="466">
        <v>816</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989</v>
      </c>
      <c r="E243" s="613"/>
      <c r="F243" s="613"/>
      <c r="G243" s="613"/>
      <c r="H243" s="613"/>
      <c r="I243" s="613"/>
      <c r="J243" s="613"/>
      <c r="K243" s="1667">
        <f>SUM(K240:K242)</f>
        <v>989</v>
      </c>
      <c r="L243" s="1667">
        <f>SUM(L240:L242)</f>
        <v>816</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6571</v>
      </c>
      <c r="E246" s="613"/>
      <c r="F246" s="613"/>
      <c r="G246" s="613"/>
      <c r="H246" s="613"/>
      <c r="I246" s="613"/>
      <c r="J246" s="613"/>
      <c r="K246" s="1669">
        <f t="shared" ref="K246:K256" si="21">D246</f>
        <v>6571</v>
      </c>
      <c r="L246" s="466">
        <v>2841</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6571</v>
      </c>
      <c r="E257" s="613"/>
      <c r="F257" s="613"/>
      <c r="G257" s="613"/>
      <c r="H257" s="613"/>
      <c r="I257" s="613"/>
      <c r="J257" s="613"/>
      <c r="K257" s="1667">
        <f>SUM(K245:K256)</f>
        <v>6571</v>
      </c>
      <c r="L257" s="1667">
        <f>SUM(L245:L256)</f>
        <v>2841</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8637</v>
      </c>
      <c r="E259" s="613"/>
      <c r="F259" s="613"/>
      <c r="G259" s="613"/>
      <c r="H259" s="613"/>
      <c r="I259" s="613"/>
      <c r="J259" s="613"/>
      <c r="K259" s="1669">
        <f>D259</f>
        <v>8637</v>
      </c>
      <c r="L259" s="479">
        <v>8767</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8637</v>
      </c>
      <c r="E261" s="613"/>
      <c r="F261" s="613"/>
      <c r="G261" s="613"/>
      <c r="H261" s="613"/>
      <c r="I261" s="613"/>
      <c r="J261" s="613"/>
      <c r="K261" s="1667">
        <f>SUM(K259:K260)</f>
        <v>8637</v>
      </c>
      <c r="L261" s="1667">
        <f>SUM(L259:L260)</f>
        <v>8767</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7054</v>
      </c>
      <c r="E264" s="613"/>
      <c r="F264" s="613"/>
      <c r="G264" s="613"/>
      <c r="H264" s="613"/>
      <c r="I264" s="613"/>
      <c r="J264" s="613"/>
      <c r="K264" s="1669">
        <f t="shared" ref="K264:K269" si="22">D264</f>
        <v>7054</v>
      </c>
      <c r="L264" s="466">
        <v>7128</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11563</v>
      </c>
      <c r="E266" s="613"/>
      <c r="F266" s="613"/>
      <c r="G266" s="613"/>
      <c r="H266" s="613"/>
      <c r="I266" s="613"/>
      <c r="J266" s="613"/>
      <c r="K266" s="1669">
        <f t="shared" si="22"/>
        <v>11563</v>
      </c>
      <c r="L266" s="466">
        <v>11228</v>
      </c>
    </row>
    <row r="267" spans="1:14" x14ac:dyDescent="0.2">
      <c r="A267" s="1501" t="s">
        <v>953</v>
      </c>
      <c r="B267" s="611">
        <v>2550</v>
      </c>
      <c r="C267" s="613"/>
      <c r="D267" s="466">
        <v>9605</v>
      </c>
      <c r="E267" s="613"/>
      <c r="F267" s="613"/>
      <c r="G267" s="613"/>
      <c r="H267" s="613"/>
      <c r="I267" s="613"/>
      <c r="J267" s="613"/>
      <c r="K267" s="1669">
        <f t="shared" si="22"/>
        <v>9605</v>
      </c>
      <c r="L267" s="466">
        <v>5316</v>
      </c>
    </row>
    <row r="268" spans="1:14" x14ac:dyDescent="0.2">
      <c r="A268" s="1501" t="s">
        <v>100</v>
      </c>
      <c r="B268" s="611">
        <v>2560</v>
      </c>
      <c r="C268" s="613"/>
      <c r="D268" s="466">
        <v>6016</v>
      </c>
      <c r="E268" s="613"/>
      <c r="F268" s="613"/>
      <c r="G268" s="613"/>
      <c r="H268" s="613"/>
      <c r="I268" s="613"/>
      <c r="J268" s="613"/>
      <c r="K268" s="1669">
        <f t="shared" si="22"/>
        <v>6016</v>
      </c>
      <c r="L268" s="466">
        <v>5262</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34238</v>
      </c>
      <c r="E270" s="613"/>
      <c r="F270" s="613"/>
      <c r="G270" s="613"/>
      <c r="H270" s="613"/>
      <c r="I270" s="613"/>
      <c r="J270" s="613"/>
      <c r="K270" s="1667">
        <f>SUM(K263:K269)</f>
        <v>34238</v>
      </c>
      <c r="L270" s="1667">
        <f>SUM(L263:L269)</f>
        <v>28934</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52153</v>
      </c>
      <c r="E279" s="613"/>
      <c r="F279" s="613"/>
      <c r="G279" s="613"/>
      <c r="H279" s="613"/>
      <c r="I279" s="613"/>
      <c r="J279" s="613"/>
      <c r="K279" s="1674">
        <f>SUM(K238,K243,K257,K261,K270,K277,K278)</f>
        <v>52153</v>
      </c>
      <c r="L279" s="1674">
        <f>SUM(L238,L243,L257,L261,L270,L277,L278)</f>
        <v>43765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16" t="s">
        <v>505</v>
      </c>
      <c r="B295" s="2217"/>
      <c r="C295" s="613"/>
      <c r="D295" s="1667">
        <f>SUM(D229,D279,D280,D285)</f>
        <v>103911</v>
      </c>
      <c r="E295" s="613"/>
      <c r="F295" s="613"/>
      <c r="G295" s="613"/>
      <c r="H295" s="1667">
        <f>H293</f>
        <v>0</v>
      </c>
      <c r="I295" s="613"/>
      <c r="J295" s="613"/>
      <c r="K295" s="1667">
        <f>SUM(K229,K279,K280,K285,K293,K294)</f>
        <v>103911</v>
      </c>
      <c r="L295" s="1667">
        <f>SUM(L229,L279,L280,L285,L293,L294)</f>
        <v>100450</v>
      </c>
    </row>
    <row r="296" spans="1:14" ht="13.5" thickTop="1" x14ac:dyDescent="0.2">
      <c r="A296" s="2225" t="s">
        <v>996</v>
      </c>
      <c r="B296" s="2226"/>
      <c r="C296" s="613"/>
      <c r="D296" s="615"/>
      <c r="E296" s="613"/>
      <c r="F296" s="613"/>
      <c r="G296" s="613"/>
      <c r="H296" s="684"/>
      <c r="I296" s="613"/>
      <c r="J296" s="613"/>
      <c r="K296" s="1681">
        <f>'Revenues 9-14'!G268-'Expenditures 15-22'!K295</f>
        <v>-40681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08" t="s">
        <v>143</v>
      </c>
      <c r="B298" s="2202"/>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120049</v>
      </c>
      <c r="H301" s="466">
        <v>0</v>
      </c>
      <c r="I301" s="467">
        <v>0</v>
      </c>
      <c r="J301" s="467">
        <v>0</v>
      </c>
      <c r="K301" s="1668">
        <f>SUM(C301:J301)</f>
        <v>120049</v>
      </c>
      <c r="L301" s="467">
        <v>90000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120049</v>
      </c>
      <c r="H303" s="1674">
        <f t="shared" si="23"/>
        <v>0</v>
      </c>
      <c r="I303" s="1674">
        <f t="shared" si="23"/>
        <v>0</v>
      </c>
      <c r="J303" s="1674">
        <f t="shared" si="23"/>
        <v>0</v>
      </c>
      <c r="K303" s="1674">
        <f t="shared" si="23"/>
        <v>120049</v>
      </c>
      <c r="L303" s="1674">
        <f t="shared" si="23"/>
        <v>90000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13" t="s">
        <v>277</v>
      </c>
      <c r="B312" s="2214"/>
      <c r="C312" s="1667">
        <f>SUM(C303)</f>
        <v>0</v>
      </c>
      <c r="D312" s="1667">
        <f>SUM(D303)</f>
        <v>0</v>
      </c>
      <c r="E312" s="1667">
        <f>SUM(E303,E310)</f>
        <v>0</v>
      </c>
      <c r="F312" s="1667">
        <f>SUM(F303)</f>
        <v>0</v>
      </c>
      <c r="G312" s="1667">
        <f>SUM(G303)</f>
        <v>120049</v>
      </c>
      <c r="H312" s="1667">
        <f>SUM(H303,H310)</f>
        <v>0</v>
      </c>
      <c r="I312" s="1667">
        <f>SUM(I303)</f>
        <v>0</v>
      </c>
      <c r="J312" s="1667">
        <f>SUM(J303)</f>
        <v>0</v>
      </c>
      <c r="K312" s="1667">
        <f>SUM(K303,K310,K311)</f>
        <v>120049</v>
      </c>
      <c r="L312" s="1667">
        <f>SUM(L303,L310,L311)</f>
        <v>90000</v>
      </c>
      <c r="M312" s="662"/>
      <c r="N312" s="662"/>
    </row>
    <row r="313" spans="1:14" ht="13.5" thickTop="1" x14ac:dyDescent="0.2">
      <c r="A313" s="2209" t="s">
        <v>996</v>
      </c>
      <c r="B313" s="2210"/>
      <c r="C313" s="623"/>
      <c r="D313" s="623"/>
      <c r="E313" s="623"/>
      <c r="F313" s="623"/>
      <c r="G313" s="623"/>
      <c r="H313" s="623"/>
      <c r="I313" s="623"/>
      <c r="J313" s="623"/>
      <c r="K313" s="1682">
        <f>'Revenues 9-14'!H268-'Expenditures 15-22'!K312</f>
        <v>27606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2" t="s">
        <v>149</v>
      </c>
      <c r="B315" s="2223"/>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4" t="s">
        <v>898</v>
      </c>
      <c r="B317" s="2223"/>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8222</v>
      </c>
      <c r="F320" s="467">
        <v>0</v>
      </c>
      <c r="G320" s="467">
        <v>0</v>
      </c>
      <c r="H320" s="467">
        <v>0</v>
      </c>
      <c r="I320" s="467">
        <v>0</v>
      </c>
      <c r="J320" s="467">
        <v>0</v>
      </c>
      <c r="K320" s="1668">
        <f t="shared" ref="K320:K327" si="24">SUM(C320:J320)</f>
        <v>8222</v>
      </c>
      <c r="L320" s="467">
        <v>9671</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17513</v>
      </c>
      <c r="F322" s="467">
        <v>0</v>
      </c>
      <c r="G322" s="467">
        <v>0</v>
      </c>
      <c r="H322" s="467">
        <v>0</v>
      </c>
      <c r="I322" s="467">
        <v>0</v>
      </c>
      <c r="J322" s="467">
        <v>0</v>
      </c>
      <c r="K322" s="1668">
        <f t="shared" si="24"/>
        <v>17513</v>
      </c>
      <c r="L322" s="467">
        <v>17033</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10389</v>
      </c>
      <c r="F327" s="467">
        <v>0</v>
      </c>
      <c r="G327" s="467">
        <v>0</v>
      </c>
      <c r="H327" s="467">
        <v>0</v>
      </c>
      <c r="I327" s="467">
        <v>0</v>
      </c>
      <c r="J327" s="467">
        <v>0</v>
      </c>
      <c r="K327" s="1668">
        <f t="shared" si="24"/>
        <v>10389</v>
      </c>
      <c r="L327" s="467">
        <v>5000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36124</v>
      </c>
      <c r="F330" s="1667">
        <f t="shared" si="25"/>
        <v>0</v>
      </c>
      <c r="G330" s="1667">
        <f t="shared" si="25"/>
        <v>0</v>
      </c>
      <c r="H330" s="1667">
        <f t="shared" si="25"/>
        <v>0</v>
      </c>
      <c r="I330" s="1667">
        <f t="shared" si="25"/>
        <v>0</v>
      </c>
      <c r="J330" s="1667">
        <f t="shared" si="25"/>
        <v>0</v>
      </c>
      <c r="K330" s="1667">
        <f>SUM(K319:K329)</f>
        <v>36124</v>
      </c>
      <c r="L330" s="1667">
        <f>SUM(L319:L329)</f>
        <v>31704</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36124</v>
      </c>
      <c r="F342" s="1667">
        <f>SUM(F330)</f>
        <v>0</v>
      </c>
      <c r="G342" s="1667">
        <f>SUM(G330)</f>
        <v>0</v>
      </c>
      <c r="H342" s="1667">
        <f>SUM(H330,H334,H340)</f>
        <v>0</v>
      </c>
      <c r="I342" s="1667">
        <f>SUM(I330)</f>
        <v>0</v>
      </c>
      <c r="J342" s="1667">
        <f>SUM(J330)</f>
        <v>0</v>
      </c>
      <c r="K342" s="1667">
        <f>SUM(K330,K334,K340)</f>
        <v>36124</v>
      </c>
      <c r="L342" s="1674">
        <f>SUM(L330,L340,L341)</f>
        <v>31704</v>
      </c>
    </row>
    <row r="343" spans="1:14" ht="12.75" customHeight="1" thickTop="1" x14ac:dyDescent="0.2">
      <c r="A343" s="2211" t="s">
        <v>996</v>
      </c>
      <c r="B343" s="2212"/>
      <c r="C343" s="613"/>
      <c r="D343" s="613"/>
      <c r="E343" s="613"/>
      <c r="F343" s="613"/>
      <c r="G343" s="613"/>
      <c r="H343" s="613"/>
      <c r="I343" s="613"/>
      <c r="J343" s="613"/>
      <c r="K343" s="1681">
        <f>'Revenues 9-14'!J268-'Expenditures 15-22'!K342</f>
        <v>-27813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01" t="s">
        <v>966</v>
      </c>
      <c r="B345" s="2202"/>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25" t="s">
        <v>996</v>
      </c>
      <c r="B368" s="2226"/>
      <c r="C368" s="651"/>
      <c r="D368" s="651"/>
      <c r="E368" s="623"/>
      <c r="F368" s="623"/>
      <c r="G368" s="623"/>
      <c r="H368" s="623"/>
      <c r="I368" s="623"/>
      <c r="J368" s="620"/>
      <c r="K368" s="1668">
        <f>'Revenues 9-14'!K268-'Expenditures 15-22'!K367</f>
        <v>596</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microsoft.com/office/infopath/2007/PartnerControls"/>
    <ds:schemaRef ds:uri="http://purl.org/dc/dcmitype/"/>
    <ds:schemaRef ds:uri="4d435f69-8686-490b-bd6d-b153bf22ab50"/>
    <ds:schemaRef ds:uri="http://schemas.microsoft.com/office/2006/documentManagement/types"/>
    <ds:schemaRef ds:uri="http://www.w3.org/XML/1998/namespace"/>
    <ds:schemaRef ds:uri="http://purl.org/dc/terms/"/>
    <ds:schemaRef ds:uri="6ce3111e-7420-4802-b50a-75d4e9a0b980"/>
    <ds:schemaRef ds:uri="http://schemas.openxmlformats.org/package/2006/metadata/core-properties"/>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Sec-3</vt:lpstr>
      <vt:lpstr>SSPAF</vt:lpstr>
      <vt:lpstr> CAP 2019-001</vt:lpstr>
      <vt:lpstr>CAP 2019-002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2019-11-04T23:24:32Z</cp:lastPrinted>
  <dcterms:created xsi:type="dcterms:W3CDTF">2003-10-29T19:06:34Z</dcterms:created>
  <dcterms:modified xsi:type="dcterms:W3CDTF">2019-12-13T17:49:23Z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