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52FA575-D9FD-4545-B057-BC7C0B5B7C8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8" r:id="rId29"/>
    <sheet name="SEFA NOTES" sheetId="173" r:id="rId30"/>
    <sheet name="SEFA NOTES (2)" sheetId="184" r:id="rId31"/>
    <sheet name="SF&amp;QC Sec-1" sheetId="174" r:id="rId32"/>
    <sheet name="SF&amp;QC Sec-2" sheetId="175" r:id="rId33"/>
    <sheet name="SF&amp;QC Sec-3" sheetId="176" r:id="rId34"/>
    <sheet name="SSPAF" sheetId="177" r:id="rId35"/>
    <sheet name="CAP - 2019-001" sheetId="186" r:id="rId36"/>
  </sheets>
  <definedNames>
    <definedName name="goof" localSheetId="28">#REF!</definedName>
    <definedName name="goof" localSheetId="30">#REF!</definedName>
    <definedName name="goof">#REF!</definedName>
    <definedName name="oops" localSheetId="28">#REF!</definedName>
    <definedName name="oops" localSheetId="30">#REF!</definedName>
    <definedName name="oops">#REF!</definedName>
    <definedName name="pass" localSheetId="35">#REF!</definedName>
    <definedName name="pass">#REF!</definedName>
    <definedName name="pass1" localSheetId="35">#REF!</definedName>
    <definedName name="pass1">#REF!</definedName>
    <definedName name="pass2" localSheetId="35">#REF!</definedName>
    <definedName name="pass2">#REF!</definedName>
    <definedName name="pass3" localSheetId="35">#REF!</definedName>
    <definedName name="pass3">#REF!</definedName>
    <definedName name="pass4" localSheetId="35">#REF!</definedName>
    <definedName name="pass4">#REF!</definedName>
    <definedName name="_xlnm.Print_Area" localSheetId="27">' SEFA'!$B$1:$M$46</definedName>
    <definedName name="_xlnm.Print_Area" localSheetId="28">'SEFA 19'!$A$12:$M$151</definedName>
    <definedName name="_xlnm.Print_Area" localSheetId="29">'SEFA NOTES'!$A$1:$F$52</definedName>
    <definedName name="_xlnm.Print_Area" localSheetId="30">'SEFA NOTES (2)'!$A$1:$F$55</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Print_Area_MI" localSheetId="28">'SEFA 19'!$A$14:$M$140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19'!$A:$A,'SEFA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21">#REF!</definedName>
    <definedName name="SCHADDRS" localSheetId="4">#REF!</definedName>
    <definedName name="SCHADDRS" localSheetId="28">#REF!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21">#REF!</definedName>
    <definedName name="SCHCTY" localSheetId="4">#REF!</definedName>
    <definedName name="SCHCTY" localSheetId="28">#REF!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21">#REF!</definedName>
    <definedName name="SCHNMBR" localSheetId="4">#REF!</definedName>
    <definedName name="SCHNMBR" localSheetId="28">#REF!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21">#REF!</definedName>
    <definedName name="SCHNME" localSheetId="4">#REF!</definedName>
    <definedName name="SCHNME" localSheetId="28">#REF!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21">#REF!</definedName>
    <definedName name="SUPT" localSheetId="4">#REF!</definedName>
    <definedName name="SUPT" localSheetId="28">#REF!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2" i="181" l="1"/>
  <c r="J32" i="8"/>
  <c r="I144" i="188" l="1"/>
  <c r="I142" i="188"/>
  <c r="J136" i="188"/>
  <c r="H136" i="188"/>
  <c r="H144" i="188" s="1"/>
  <c r="G136" i="188"/>
  <c r="G144" i="188" s="1"/>
  <c r="F136" i="188"/>
  <c r="F144" i="188" s="1"/>
  <c r="E136" i="188"/>
  <c r="E144" i="188" s="1"/>
  <c r="L134" i="188"/>
  <c r="L133" i="188"/>
  <c r="J128" i="188"/>
  <c r="H128" i="188"/>
  <c r="G128" i="188"/>
  <c r="F128" i="188"/>
  <c r="E128" i="188"/>
  <c r="L127" i="188"/>
  <c r="L128" i="188" s="1"/>
  <c r="L118" i="188"/>
  <c r="L117" i="188"/>
  <c r="L112" i="188"/>
  <c r="L111" i="188"/>
  <c r="L103" i="188"/>
  <c r="L102" i="188"/>
  <c r="L100" i="188"/>
  <c r="L99" i="188"/>
  <c r="L97" i="188"/>
  <c r="L95" i="188"/>
  <c r="L94" i="188"/>
  <c r="L92" i="188"/>
  <c r="L90" i="188"/>
  <c r="L52" i="188"/>
  <c r="J50" i="188"/>
  <c r="J121" i="188" s="1"/>
  <c r="H50" i="188"/>
  <c r="H121" i="188" s="1"/>
  <c r="G50" i="188"/>
  <c r="G121" i="188" s="1"/>
  <c r="F50" i="188"/>
  <c r="F121" i="188" s="1"/>
  <c r="E50" i="188"/>
  <c r="E121" i="188" s="1"/>
  <c r="L49" i="188"/>
  <c r="L47" i="188"/>
  <c r="L46" i="188"/>
  <c r="J40" i="188"/>
  <c r="J142" i="188" s="1"/>
  <c r="L38" i="188"/>
  <c r="F38" i="188"/>
  <c r="L37" i="188"/>
  <c r="L36" i="188"/>
  <c r="L34" i="188"/>
  <c r="L33" i="188"/>
  <c r="L31" i="188"/>
  <c r="L30" i="188"/>
  <c r="L28" i="188"/>
  <c r="L27" i="188"/>
  <c r="K25" i="188"/>
  <c r="I25" i="188"/>
  <c r="G25" i="188"/>
  <c r="G40" i="188" s="1"/>
  <c r="G142" i="188" s="1"/>
  <c r="G146" i="188" s="1"/>
  <c r="E25" i="188"/>
  <c r="E40" i="188" s="1"/>
  <c r="E142" i="188" s="1"/>
  <c r="E146" i="188" s="1"/>
  <c r="L24" i="188"/>
  <c r="L23" i="188"/>
  <c r="L21" i="188"/>
  <c r="L20" i="188"/>
  <c r="H17" i="188"/>
  <c r="H25" i="188" s="1"/>
  <c r="H40" i="188" s="1"/>
  <c r="H142" i="188" s="1"/>
  <c r="F17" i="188"/>
  <c r="F25" i="188" s="1"/>
  <c r="F40" i="188" s="1"/>
  <c r="F142" i="188" s="1"/>
  <c r="F146" i="188" s="1"/>
  <c r="L16" i="188"/>
  <c r="H9" i="188"/>
  <c r="G9" i="188"/>
  <c r="H8" i="188"/>
  <c r="L136" i="188" l="1"/>
  <c r="H146" i="188"/>
  <c r="L17" i="188"/>
  <c r="L25" i="188" s="1"/>
  <c r="L40" i="188" s="1"/>
  <c r="L142" i="188" s="1"/>
  <c r="L50" i="188"/>
  <c r="L121" i="188" s="1"/>
  <c r="J138" i="188"/>
  <c r="E138" i="188"/>
  <c r="H138" i="188"/>
  <c r="J144" i="188"/>
  <c r="L144" i="188" s="1"/>
  <c r="F138" i="188"/>
  <c r="G138" i="188"/>
  <c r="L138" i="188" l="1"/>
  <c r="L146" i="188"/>
  <c r="J146" i="188"/>
  <c r="A4" i="184"/>
  <c r="E34"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J22" i="37"/>
  <c r="D24" i="37"/>
  <c r="B4270" i="106" s="1"/>
  <c r="D4270" i="106" s="1"/>
  <c r="L5" i="11"/>
  <c r="B2056" i="106" s="1"/>
  <c r="D2056" i="106" s="1"/>
  <c r="H28" i="118" l="1"/>
  <c r="D22" i="37"/>
  <c r="F46" i="34"/>
  <c r="F69" i="34"/>
  <c r="F64" i="34"/>
  <c r="F42" i="34"/>
  <c r="G33" i="108"/>
  <c r="D68" i="36"/>
  <c r="D69" i="36"/>
  <c r="J210" i="29"/>
  <c r="B7072" i="106" s="1"/>
  <c r="D7072" i="106" s="1"/>
  <c r="B6289" i="106"/>
  <c r="D6289" i="106" s="1"/>
  <c r="D54" i="36"/>
  <c r="I210" i="29"/>
  <c r="B7071" i="106" s="1"/>
  <c r="D7071" i="106" s="1"/>
  <c r="H76" i="4"/>
  <c r="B3298" i="106" s="1"/>
  <c r="D3298" i="106" s="1"/>
  <c r="E30" i="108"/>
  <c r="B6995" i="106"/>
  <c r="D6995" i="106" s="1"/>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5" i="106"/>
  <c r="D7251" i="106"/>
  <c r="D7252" i="106"/>
  <c r="J16" i="4"/>
  <c r="B6226" i="106" s="1"/>
  <c r="D6226" i="106" s="1"/>
  <c r="I7" i="4"/>
  <c r="B4444" i="106" s="1"/>
  <c r="D4444" i="106" s="1"/>
  <c r="B1328" i="106"/>
  <c r="D1328" i="106" s="1"/>
  <c r="C367" i="29"/>
  <c r="B3622" i="106" s="1"/>
  <c r="D3622"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<sst xmlns="http://schemas.openxmlformats.org/spreadsheetml/2006/main" count="5383" uniqueCount="2258">
  <si>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</si>
  <si>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</si>
  <si>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</si>
  <si>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</si>
  <si>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</si>
  <si>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</si>
  <si>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</si>
  <si>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</si>
  <si>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</si>
  <si>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</si>
  <si>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</si>
  <si>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</si>
  <si>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</si>
  <si>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</si>
  <si>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</si>
  <si>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</si>
  <si>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</si>
  <si>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</si>
  <si>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</si>
  <si>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</si>
  <si>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</si>
  <si>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</si>
  <si>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</si>
  <si>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</si>
  <si>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</si>
  <si>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</si>
  <si>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</si>
  <si>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</si>
  <si>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</si>
  <si>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</si>
  <si>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</si>
  <si>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</si>
  <si>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</si>
  <si>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</si>
  <si>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</si>
  <si>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</si>
  <si>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</si>
  <si>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</si>
  <si>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</si>
  <si>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</si>
  <si>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</si>
  <si>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</si>
  <si>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</si>
  <si>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</si>
  <si>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</si>
  <si>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</si>
  <si>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</si>
  <si>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</si>
  <si>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</si>
  <si>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</si>
  <si>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</si>
  <si>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</si>
  <si>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</si>
  <si>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</si>
  <si>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</si>
  <si>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</si>
  <si>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</si>
  <si>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</si>
  <si>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</si>
  <si>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</si>
  <si>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</si>
  <si>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</si>
  <si>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</si>
  <si>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</si>
  <si>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</si>
  <si>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</si>
  <si>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</si>
  <si>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</si>
  <si>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</si>
  <si>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</si>
  <si>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</si>
  <si>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</si>
  <si>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</si>
  <si>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</si>
  <si>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</si>
  <si>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</si>
  <si>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</si>
  <si>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</si>
  <si>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</si>
  <si>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</si>
  <si>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</si>
  <si>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</si>
  <si>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</si>
  <si>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</si>
  <si>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</si>
  <si>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</si>
  <si>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</si>
  <si>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</si>
  <si>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</si>
  <si>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</si>
  <si>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</si>
  <si>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</si>
  <si>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</si>
  <si>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</si>
  <si>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</si>
  <si>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</si>
  <si>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</si>
  <si>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</si>
  <si>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</si>
  <si>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</si>
  <si>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</si>
  <si>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</si>
  <si>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</si>
  <si>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</si>
  <si>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</si>
  <si>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</si>
  <si>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</si>
  <si>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</si>
  <si>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</si>
  <si>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</si>
  <si>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</si>
  <si>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</si>
  <si>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</si>
  <si>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</si>
  <si>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</si>
  <si>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</si>
  <si>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</si>
  <si>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</si>
  <si>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</si>
  <si>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</si>
  <si>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</si>
  <si>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</si>
  <si>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</si>
  <si>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</si>
  <si>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</si>
  <si>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</si>
  <si>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</si>
  <si>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</si>
  <si>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</si>
  <si>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</si>
  <si>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</si>
  <si>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</si>
  <si>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</si>
  <si>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</si>
  <si>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</si>
  <si>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</si>
  <si>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</si>
  <si>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</si>
  <si>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</si>
  <si>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</si>
  <si>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</si>
  <si>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</si>
  <si>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</si>
  <si>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</si>
  <si>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</si>
  <si>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</si>
  <si>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</si>
  <si>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</si>
  <si>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</si>
  <si>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</si>
  <si>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</si>
  <si>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</si>
  <si>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</si>
  <si>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</si>
  <si>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</si>
  <si>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</si>
  <si>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</si>
  <si>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</si>
  <si>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</si>
  <si>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</si>
  <si>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</si>
  <si>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</si>
  <si>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</si>
  <si>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</si>
  <si>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</si>
  <si>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</si>
  <si>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</si>
  <si>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</si>
  <si>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</si>
  <si>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</si>
  <si>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</si>
  <si>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</si>
  <si>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</si>
  <si>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</si>
  <si>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</si>
  <si>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</si>
  <si>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</si>
  <si>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</si>
  <si>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</si>
  <si>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</si>
  <si>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</si>
  <si>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</si>
  <si>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</si>
  <si>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</si>
  <si>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</si>
  <si>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</si>
  <si>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</si>
  <si>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</si>
  <si>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</si>
  <si>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</si>
  <si>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</si>
  <si>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</si>
  <si>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</si>
  <si>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</si>
  <si>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</si>
  <si>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</si>
  <si>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</si>
  <si>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</si>
  <si>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</si>
  <si>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</si>
  <si>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</si>
  <si>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</si>
  <si>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</si>
  <si>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</si>
  <si>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</si>
  <si>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</si>
  <si>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</si>
  <si>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</si>
  <si>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</si>
  <si>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</si>
  <si>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</si>
  <si>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</si>
  <si>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</si>
  <si>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</si>
  <si>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</si>
  <si>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</si>
  <si>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</si>
  <si>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</si>
  <si>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</si>
  <si>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</si>
  <si>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</si>
  <si>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</si>
  <si>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</si>
  <si>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</si>
  <si>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</si>
  <si>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</si>
  <si>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</si>
  <si>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</si>
  <si>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</si>
  <si>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</si>
  <si>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</si>
  <si>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</si>
  <si>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</si>
  <si>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</si>
  <si>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</si>
  <si>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</si>
  <si>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</si>
  <si>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</si>
  <si>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</si>
  <si>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</si>
  <si>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</si>
  <si>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</si>
  <si>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</si>
  <si>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</si>
  <si>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</si>
  <si>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</si>
  <si>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</si>
  <si>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</si>
  <si>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</si>
  <si>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</si>
  <si>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</si>
  <si>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</si>
  <si>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</si>
  <si>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</si>
  <si>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</si>
  <si>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</si>
  <si>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</si>
  <si>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</si>
  <si>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</si>
  <si>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</si>
  <si>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</si>
  <si>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</si>
  <si>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</si>
  <si>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</si>
  <si>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</si>
  <si>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</si>
  <si>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</si>
  <si>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</si>
  <si>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</si>
  <si>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</si>
  <si>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</si>
  <si>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</si>
  <si>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</si>
  <si>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</si>
  <si>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</si>
  <si>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</si>
  <si>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</si>
  <si>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</si>
  <si>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</si>
  <si>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</si>
  <si>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</si>
  <si>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</si>
  <si>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</si>
  <si>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</si>
  <si>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</si>
  <si>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</si>
  <si>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</si>
  <si>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</si>
  <si>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</si>
  <si>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</si>
  <si>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</si>
  <si>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</si>
  <si>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</si>
  <si>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</si>
  <si>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</si>
  <si>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</si>
  <si>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</si>
  <si>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</si>
  <si>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</si>
  <si>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</si>
  <si>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</si>
  <si>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</si>
  <si>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</si>
  <si>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</si>
  <si>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</si>
  <si>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</si>
  <si>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</si>
  <si>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</si>
  <si>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</si>
  <si>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</si>
  <si>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</si>
  <si>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</si>
  <si>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</si>
  <si>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</si>
  <si>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</si>
  <si>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</si>
  <si>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</si>
  <si>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</si>
  <si>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</si>
  <si>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</si>
  <si>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</si>
  <si>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</si>
  <si>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</si>
  <si>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</si>
  <si>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</si>
  <si>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</si>
  <si>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</si>
  <si>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</si>
  <si>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</si>
  <si>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</si>
  <si>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</si>
  <si>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</si>
  <si>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</si>
  <si>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</si>
  <si>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</si>
  <si>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</si>
  <si>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</si>
  <si>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</si>
  <si>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</si>
  <si>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</si>
  <si>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</si>
  <si>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</si>
  <si>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</si>
  <si>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</si>
  <si>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</si>
  <si>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</si>
  <si>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</si>
  <si>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</si>
  <si>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</si>
  <si>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</si>
  <si>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</si>
  <si>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</si>
  <si>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</si>
  <si>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</si>
  <si>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</si>
  <si>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</si>
  <si>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</si>
  <si>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</si>
  <si>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</si>
  <si>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</si>
  <si>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</si>
  <si>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</si>
  <si>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</si>
  <si>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</si>
  <si>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</si>
  <si>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</si>
  <si>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</si>
  <si>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</si>
  <si>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</si>
  <si>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</si>
  <si>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</si>
  <si>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</si>
  <si>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</si>
  <si>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</si>
  <si>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</si>
  <si>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</si>
  <si>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</si>
  <si>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</si>
  <si>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</si>
  <si>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</si>
  <si>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</si>
  <si>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</si>
  <si>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</si>
  <si>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</si>
  <si>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</si>
  <si>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</si>
  <si>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</si>
  <si>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</si>
  <si>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</si>
  <si>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</si>
  <si>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</si>
  <si>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</si>
  <si>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</si>
  <si>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</si>
  <si>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</si>
  <si>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</si>
  <si>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</si>
  <si>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</si>
  <si>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</si>
  <si>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</si>
  <si>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</si>
  <si>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</si>
  <si>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</si>
  <si>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</si>
  <si>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</si>
  <si>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</si>
  <si>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</si>
  <si>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</si>
  <si>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</si>
  <si>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</si>
  <si>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</si>
  <si>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</si>
  <si>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</si>
  <si>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</si>
  <si>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</si>
  <si>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</si>
  <si>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</si>
  <si>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</si>
  <si>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</si>
  <si>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</si>
  <si>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</si>
  <si>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</si>
  <si>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</si>
  <si>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</si>
  <si>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</si>
  <si>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</si>
  <si>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</si>
  <si>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</si>
  <si>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</si>
  <si>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</si>
  <si>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</si>
  <si>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</si>
  <si>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</si>
  <si>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</si>
  <si>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</si>
  <si>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</si>
  <si>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</si>
  <si>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</si>
  <si>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</si>
  <si>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</si>
  <si>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</si>
  <si>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</si>
  <si>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</si>
  <si>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</si>
  <si>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</si>
  <si>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</si>
  <si>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</si>
  <si>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</si>
  <si>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</si>
  <si>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</si>
  <si>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</si>
  <si>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</si>
  <si>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</si>
  <si>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</si>
  <si>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</si>
  <si>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</si>
  <si>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</si>
  <si>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</si>
  <si>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</si>
  <si>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</si>
  <si>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</si>
  <si>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</si>
  <si>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</si>
  <si>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</si>
  <si>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</si>
  <si>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</si>
  <si>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</si>
  <si>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</si>
  <si>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</si>
  <si>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</si>
  <si>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</si>
  <si>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</si>
  <si>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</si>
  <si>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</si>
  <si>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</si>
  <si>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</si>
  <si>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</si>
  <si>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</si>
  <si>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</si>
  <si>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</si>
  <si>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</si>
  <si>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</si>
  <si>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</si>
  <si>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</si>
  <si>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</si>
  <si>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</si>
  <si>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</si>
  <si>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</si>
  <si>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</si>
  <si>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</si>
  <si>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</si>
  <si>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</si>
  <si>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</si>
  <si>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</si>
  <si>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</si>
  <si>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</si>
  <si>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</si>
  <si>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</si>
  <si>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</si>
  <si>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</si>
  <si>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</si>
  <si>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</si>
  <si>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</si>
  <si>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</si>
  <si>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</si>
  <si>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</si>
  <si>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</si>
  <si>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</si>
  <si>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</si>
  <si>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</si>
  <si>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</si>
  <si>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</si>
  <si>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</si>
  <si>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</si>
  <si>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</si>
  <si>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</si>
  <si>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</si>
  <si>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</si>
  <si>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</si>
  <si>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</si>
  <si>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</si>
  <si>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</si>
  <si>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</si>
  <si>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</si>
  <si>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</si>
  <si>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</si>
  <si>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</si>
  <si>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</si>
  <si>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</si>
  <si>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</si>
  <si>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</si>
  <si>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</si>
  <si>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</si>
  <si>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</si>
  <si>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</si>
  <si>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</si>
  <si>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</si>
  <si>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</si>
  <si>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</si>
  <si>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</si>
  <si>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</si>
  <si>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</si>
  <si>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</si>
  <si>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</si>
  <si>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</si>
  <si>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</si>
  <si>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</si>
  <si>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</si>
  <si>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</si>
  <si>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</si>
  <si>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</si>
  <si>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</si>
  <si>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</si>
  <si>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</si>
  <si>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</si>
  <si>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</si>
  <si>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</si>
  <si>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</si>
  <si>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</si>
  <si>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</si>
  <si>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</si>
  <si>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</si>
  <si>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</si>
  <si>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</si>
  <si>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</si>
  <si>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</si>
  <si>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</si>
  <si>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</si>
  <si>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</si>
  <si>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</si>
  <si>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</si>
  <si>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</si>
  <si>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</si>
  <si>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</si>
  <si>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</si>
  <si>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</si>
  <si>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</si>
  <si>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</si>
  <si>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</si>
  <si>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</si>
  <si>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</si>
  <si>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</si>
  <si>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</si>
  <si>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</si>
  <si>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</si>
  <si>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</si>
  <si>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</si>
  <si>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</si>
  <si>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</si>
  <si>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</si>
  <si>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</si>
  <si>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</si>
  <si>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</si>
  <si>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</si>
  <si>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</si>
  <si>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</si>
  <si>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</si>
  <si>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</si>
  <si>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</si>
  <si>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</si>
  <si>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</si>
  <si>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</si>
  <si>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</si>
  <si>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</si>
  <si>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</si>
  <si>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</si>
  <si>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</si>
  <si>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</si>
  <si>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</si>
  <si>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</si>
  <si>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</si>
  <si>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</si>
  <si>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</si>
  <si>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</si>
  <si>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</si>
  <si>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</si>
  <si>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</si>
  <si>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</si>
  <si>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</si>
  <si>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</si>
  <si>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</si>
  <si>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</si>
  <si>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</si>
  <si>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</si>
  <si>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</si>
  <si>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</si>
  <si>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</si>
  <si>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</si>
  <si>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</si>
  <si>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</si>
  <si>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</si>
  <si>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</si>
  <si>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</si>
  <si>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</si>
  <si>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</si>
  <si>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</si>
  <si>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</si>
  <si>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</si>
  <si>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</si>
  <si>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</si>
  <si>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</si>
  <si>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</si>
  <si>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</si>
  <si>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</si>
  <si>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</si>
  <si>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</si>
  <si>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</si>
  <si>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</si>
  <si>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</si>
  <si>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</si>
  <si>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</si>
  <si>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</si>
  <si>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</si>
  <si>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</si>
  <si>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</si>
  <si>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</si>
  <si>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</si>
  <si>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</si>
  <si>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</si>
  <si>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</si>
  <si>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</si>
  <si>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</si>
  <si>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</si>
  <si>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</si>
  <si>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</si>
  <si>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</si>
  <si>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</si>
  <si>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</si>
  <si>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</si>
  <si>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</si>
  <si>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</si>
  <si>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</si>
  <si>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</si>
  <si>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</si>
  <si>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</si>
  <si>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</si>
  <si>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</si>
  <si>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</si>
  <si>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</si>
  <si>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</si>
  <si>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</si>
  <si>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</si>
  <si>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</si>
  <si>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</si>
  <si>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</si>
  <si>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</si>
  <si>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</si>
  <si>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</si>
  <si>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</si>
  <si>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</si>
  <si>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</si>
  <si>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</si>
  <si>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</si>
  <si>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</si>
  <si>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</si>
  <si>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</si>
  <si>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</si>
  <si>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</si>
  <si>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</si>
  <si>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</si>
  <si>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</si>
  <si>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</si>
  <si>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</si>
  <si>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</si>
  <si>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</si>
  <si>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</si>
  <si>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</si>
  <si>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</si>
  <si>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</si>
  <si>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</si>
  <si>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</si>
  <si>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</si>
  <si>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</si>
  <si>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</si>
  <si>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</si>
  <si>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</si>
  <si>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</si>
  <si>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</si>
  <si>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</si>
  <si>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</si>
  <si>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</si>
  <si>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</si>
  <si>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</si>
  <si>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</si>
  <si>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</si>
  <si>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</si>
  <si>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</si>
  <si>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</si>
  <si>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</si>
  <si>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</si>
  <si>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</si>
  <si>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</si>
  <si>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</si>
  <si>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</si>
  <si>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</si>
  <si>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</si>
  <si>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</si>
  <si>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</si>
  <si>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</si>
  <si>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</si>
  <si>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</si>
  <si>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</si>
  <si>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</si>
  <si>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</si>
  <si>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</si>
  <si>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</si>
  <si>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</si>
  <si>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</si>
  <si>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</si>
  <si>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</si>
  <si>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</si>
  <si>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</si>
  <si>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</si>
  <si>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</si>
  <si>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</si>
  <si>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</si>
  <si>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</si>
  <si>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</si>
  <si>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</si>
  <si>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</si>
  <si>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</si>
  <si>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</si>
  <si>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</si>
  <si>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</si>
  <si>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</si>
  <si>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</si>
  <si>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</si>
  <si>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</si>
  <si>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</si>
  <si>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</si>
  <si>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</si>
  <si>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</si>
  <si>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</si>
  <si>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</si>
  <si>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</si>
  <si>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</si>
  <si>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</si>
  <si>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</si>
  <si>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</si>
  <si>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</si>
  <si>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</si>
  <si>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</si>
  <si>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</si>
  <si>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</si>
  <si>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</si>
  <si>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</si>
  <si>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</si>
  <si>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</si>
  <si>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</si>
  <si>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</si>
  <si>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</si>
  <si>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</si>
  <si>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</si>
  <si>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</si>
  <si>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</si>
  <si>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</si>
  <si>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</si>
  <si>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</si>
  <si>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</si>
  <si>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</si>
  <si>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</si>
  <si>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</si>
  <si>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</si>
  <si>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</si>
  <si>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</si>
  <si>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</si>
  <si>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</si>
  <si>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</si>
  <si>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</si>
  <si>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</si>
  <si>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</si>
  <si>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</si>
  <si>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</si>
  <si>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</si>
  <si>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</si>
  <si>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</si>
  <si>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</si>
  <si>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</si>
  <si>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</si>
  <si>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</si>
  <si>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</si>
  <si>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</si>
  <si>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</si>
  <si>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</si>
  <si>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</si>
  <si>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</si>
  <si>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</si>
  <si>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</si>
  <si>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</si>
  <si>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</si>
  <si>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</si>
  <si>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</si>
  <si>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</si>
  <si>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</si>
  <si>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</si>
  <si>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</si>
  <si>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</si>
  <si>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</si>
  <si>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</si>
  <si>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</si>
  <si>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</si>
  <si>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</si>
  <si>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</si>
  <si>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</si>
  <si>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</si>
  <si>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</si>
  <si>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</si>
  <si>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</si>
  <si>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</si>
  <si>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</si>
  <si>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</si>
  <si>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</si>
  <si>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</si>
  <si>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</si>
  <si>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</si>
  <si>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</si>
  <si>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</si>
  <si>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</si>
  <si>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</si>
  <si>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</si>
  <si>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</si>
  <si>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</si>
  <si>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</si>
  <si>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</si>
  <si>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</si>
  <si>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</si>
  <si>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</si>
  <si>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</si>
  <si>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</si>
  <si>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</si>
  <si>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</si>
  <si>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</si>
  <si>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</si>
  <si>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</si>
  <si>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</si>
  <si>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</si>
  <si>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</si>
  <si>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</si>
  <si>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</si>
  <si>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</si>
  <si>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</si>
  <si>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</si>
  <si>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</si>
  <si>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</si>
  <si>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</si>
  <si>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</si>
  <si>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</si>
  <si>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</si>
  <si>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</si>
  <si>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</si>
  <si>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</si>
  <si>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</si>
  <si>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</si>
  <si>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</si>
  <si>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</si>
  <si>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</si>
  <si>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</si>
  <si>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</si>
  <si>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</si>
  <si>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</si>
  <si>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</si>
  <si>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</si>
  <si>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</si>
  <si>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</si>
  <si>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</si>
  <si>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</si>
  <si>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</si>
  <si>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</si>
  <si>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</si>
  <si>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</si>
  <si>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</si>
  <si>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</si>
  <si>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</si>
  <si>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</si>
  <si>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</si>
  <si>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</si>
  <si>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</si>
  <si>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</si>
  <si>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</si>
  <si>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</si>
  <si>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</si>
  <si>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</si>
  <si>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</si>
  <si>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</si>
  <si>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</si>
  <si>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</si>
  <si>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</si>
  <si>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</si>
  <si>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</si>
  <si>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</si>
  <si>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</si>
  <si>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</si>
  <si>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</si>
  <si>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</si>
  <si>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</si>
  <si>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</si>
  <si>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</si>
  <si>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</si>
  <si>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</si>
  <si>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</si>
  <si>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</si>
  <si>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</si>
  <si>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</si>
  <si>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</si>
  <si>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</si>
  <si>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</si>
  <si>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</si>
  <si>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</si>
  <si>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</si>
  <si>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</si>
  <si>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</si>
  <si>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</si>
  <si>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</si>
  <si>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</si>
  <si>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</si>
  <si>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</si>
  <si>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</si>
  <si>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</si>
  <si>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</si>
  <si>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</si>
  <si>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</si>
  <si>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</si>
  <si>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</si>
  <si>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</si>
  <si>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</si>
  <si>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</si>
  <si>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</si>
  <si>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</si>
  <si>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</si>
  <si>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</si>
  <si>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</si>
  <si>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</si>
  <si>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</si>
  <si>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</si>
  <si>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</si>
  <si>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</si>
  <si>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</si>
  <si>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</si>
  <si>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</si>
  <si>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</si>
  <si>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</si>
  <si>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</si>
  <si>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</si>
  <si>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</si>
  <si>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</si>
  <si>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</si>
  <si>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</si>
  <si>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</si>
  <si>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</si>
  <si>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</si>
  <si>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</si>
  <si>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</si>
  <si>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</si>
  <si>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</si>
  <si>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</si>
  <si>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</si>
  <si>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</si>
  <si>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</si>
  <si>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</si>
  <si>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</si>
  <si>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</si>
  <si>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</si>
  <si>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</si>
  <si>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</si>
  <si>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</si>
  <si>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</si>
  <si>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</si>
  <si>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</si>
  <si>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</si>
  <si>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</si>
  <si>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</si>
  <si>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</si>
  <si>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</si>
  <si>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</si>
  <si>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</si>
  <si>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</si>
  <si>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</si>
  <si>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</si>
  <si>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</si>
  <si>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</si>
  <si>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</si>
  <si>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</si>
  <si>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</si>
  <si>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</si>
  <si>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</si>
  <si>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</si>
  <si>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</si>
  <si>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</si>
  <si>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</si>
  <si>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</si>
  <si>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</si>
  <si>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</si>
  <si>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</si>
  <si>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</si>
  <si>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</si>
  <si>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</si>
  <si>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</si>
  <si>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</si>
  <si>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</si>
  <si>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</si>
  <si>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</si>
  <si>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</si>
  <si>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</si>
  <si>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</si>
  <si>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</si>
  <si>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</si>
  <si>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</si>
  <si>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</si>
  <si>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</si>
  <si>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</si>
  <si>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</si>
  <si>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</si>
  <si>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</si>
  <si>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</si>
  <si>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</si>
  <si>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</si>
  <si>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</si>
  <si>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</si>
  <si>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</si>
  <si>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</si>
  <si>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</si>
  <si>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</si>
  <si>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</si>
  <si>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</si>
  <si>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</si>
  <si>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</si>
  <si>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</si>
  <si>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</si>
  <si>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</si>
  <si>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</si>
  <si>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</si>
  <si>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</si>
  <si>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</si>
  <si>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</si>
  <si>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</si>
  <si>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</si>
  <si>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</si>
  <si>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</si>
  <si>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</si>
  <si>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</si>
  <si>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</si>
  <si>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</si>
  <si>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</si>
  <si>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</si>
  <si>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</si>
  <si>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</si>
  <si>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</si>
  <si>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</si>
  <si>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</si>
  <si>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</si>
  <si>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</si>
  <si>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</si>
  <si>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</si>
  <si>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</si>
  <si>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</si>
  <si>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</si>
  <si>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</si>
  <si>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</si>
  <si>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</si>
  <si>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</si>
  <si>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</si>
  <si>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</si>
  <si>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</si>
  <si>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</si>
  <si>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</si>
  <si>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</si>
  <si>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</si>
  <si>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</si>
  <si>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</si>
  <si>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</si>
  <si>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</si>
  <si>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</si>
  <si>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</si>
  <si>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</si>
  <si>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</si>
  <si>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</si>
  <si>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</si>
  <si>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</si>
  <si>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</si>
  <si>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</si>
  <si>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</si>
  <si>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</si>
  <si>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</si>
  <si>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</si>
  <si>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</si>
  <si>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</si>
  <si>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</si>
  <si>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</si>
  <si>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</si>
  <si>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</si>
  <si>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</si>
  <si>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</si>
  <si>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</si>
  <si>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</si>
  <si>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</si>
  <si>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</si>
  <si>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</si>
  <si>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</si>
  <si>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</si>
  <si>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</si>
  <si>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</si>
  <si>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</si>
  <si>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</si>
  <si>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</si>
  <si>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</si>
  <si>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</si>
  <si>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</si>
  <si>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</si>
  <si>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</si>
  <si>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</si>
  <si>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</si>
  <si>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</si>
  <si>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</si>
  <si>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</si>
  <si>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</si>
  <si>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</si>
  <si>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</si>
  <si>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</si>
  <si>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</si>
  <si>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</si>
  <si>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</si>
  <si>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</si>
  <si>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</si>
  <si>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</si>
  <si>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</si>
  <si>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</si>
  <si>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</si>
  <si>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</si>
  <si>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</si>
  <si>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</si>
  <si>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</si>
  <si>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</si>
  <si>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</si>
  <si>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</si>
  <si>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</si>
  <si>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</si>
  <si>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</si>
  <si>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</si>
  <si>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</si>
  <si>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</si>
  <si>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</si>
  <si>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</si>
  <si>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</si>
  <si>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</si>
  <si>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</si>
  <si>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</si>
  <si>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</si>
  <si>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</si>
  <si>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</si>
  <si>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</si>
  <si>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</si>
  <si>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</si>
  <si>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</si>
  <si>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</si>
  <si>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</si>
  <si>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</si>
  <si>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</si>
  <si>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</si>
  <si>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</si>
  <si>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</si>
  <si>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</si>
  <si>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</si>
  <si>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</si>
  <si>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</si>
  <si>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</si>
  <si>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</si>
  <si>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</si>
  <si>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</si>
  <si>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</si>
  <si>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</si>
  <si>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</si>
  <si>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</si>
  <si>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</si>
  <si>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</si>
  <si>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</si>
  <si>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</si>
  <si>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</si>
  <si>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</si>
  <si>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</si>
  <si>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</si>
  <si>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</si>
  <si>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</si>
  <si>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</si>
  <si>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</si>
  <si>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</si>
  <si>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</si>
  <si>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</si>
  <si>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</si>
  <si>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</si>
  <si>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</si>
  <si>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</si>
  <si>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</si>
  <si>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</si>
  <si>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</si>
  <si>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</si>
  <si>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</si>
  <si>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</si>
  <si>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</si>
  <si>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</si>
  <si>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</si>
  <si>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</si>
  <si>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</si>
  <si>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</si>
  <si>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</si>
  <si>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</si>
  <si>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</si>
  <si>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</si>
  <si>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</si>
  <si>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</si>
  <si>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</si>
  <si>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</si>
  <si>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</si>
  <si>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</si>
  <si>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</si>
  <si>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</si>
  <si>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</si>
  <si>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</si>
  <si>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</si>
  <si>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</si>
  <si>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</si>
  <si>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</si>
  <si>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</si>
  <si>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</si>
  <si>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</si>
  <si>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</si>
  <si>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</si>
  <si>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</si>
  <si>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</si>
  <si>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</si>
  <si>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</si>
  <si>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</si>
  <si>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</si>
  <si>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</si>
  <si>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</si>
  <si>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</si>
  <si>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</si>
  <si>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</si>
  <si>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</si>
  <si>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</si>
  <si>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</si>
  <si>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</si>
  <si>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</si>
  <si>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</si>
  <si>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</si>
  <si>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</si>
  <si>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</si>
  <si>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</si>
  <si>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</si>
  <si>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</si>
  <si>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</si>
  <si>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</si>
  <si>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</si>
  <si>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</si>
  <si>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</si>
  <si>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</si>
  <si>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</si>
  <si>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</si>
  <si>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</si>
  <si>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</si>
  <si>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</si>
  <si>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</si>
  <si>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</si>
  <si>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</si>
  <si>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</si>
  <si>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</si>
  <si>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</si>
  <si>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</si>
  <si>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</si>
  <si>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</si>
  <si>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</si>
  <si>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</si>
  <si>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</si>
  <si>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</si>
  <si>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</si>
  <si>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</si>
  <si>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</si>
  <si>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</si>
  <si>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</si>
  <si>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</si>
  <si>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</si>
  <si>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</si>
  <si>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</si>
  <si>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</si>
  <si>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</si>
  <si>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</si>
  <si>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</si>
  <si>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</si>
  <si>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</si>
  <si>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</si>
  <si>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</si>
  <si>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</si>
  <si>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</si>
  <si>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</si>
  <si>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</si>
  <si>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</si>
  <si>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</si>
  <si>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</si>
  <si>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</si>
  <si>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</si>
  <si>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</si>
  <si>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</si>
  <si>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</si>
  <si>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</si>
  <si>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</si>
  <si>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</si>
  <si>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</si>
  <si>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</si>
  <si>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</si>
  <si>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</si>
  <si>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</si>
  <si>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</si>
  <si>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</si>
  <si>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</si>
  <si>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</si>
  <si>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</si>
  <si>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</si>
  <si>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</si>
  <si>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</si>
  <si>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</si>
  <si>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</si>
  <si>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</si>
  <si>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</si>
  <si>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</si>
  <si>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</si>
  <si>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</si>
  <si>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</si>
  <si>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</si>
  <si>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</si>
  <si>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</si>
  <si>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</si>
  <si>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</si>
  <si>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</si>
  <si>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</si>
  <si>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</si>
  <si>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</si>
  <si>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</si>
  <si>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</si>
  <si>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</si>
  <si>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</si>
  <si>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</si>
  <si>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</si>
  <si>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</si>
  <si>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</si>
  <si>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</si>
  <si>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</si>
  <si>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</si>
  <si>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</si>
  <si>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</si>
  <si>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</si>
  <si>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</si>
  <si>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</si>
  <si>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</si>
  <si>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</si>
  <si>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</si>
  <si>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</si>
  <si>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</si>
  <si>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</si>
  <si>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</si>
  <si>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</si>
  <si>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</si>
  <si>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</si>
  <si>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</si>
  <si>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</si>
  <si>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</si>
  <si>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</si>
  <si>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</si>
  <si>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</si>
  <si>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</si>
  <si>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</si>
  <si>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</si>
  <si>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</si>
  <si>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</si>
  <si>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</si>
  <si>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</si>
  <si>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</si>
  <si>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</si>
  <si>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</si>
  <si>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</si>
  <si>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</si>
  <si>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</si>
  <si>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</si>
  <si>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</si>
  <si>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</si>
  <si>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</si>
  <si>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</si>
  <si>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</si>
  <si>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</si>
  <si>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</si>
  <si>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</si>
  <si>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</si>
  <si>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</si>
  <si>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</si>
  <si>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</si>
  <si>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</si>
  <si>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</si>
  <si>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</si>
  <si>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</si>
  <si>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</si>
  <si>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</si>
  <si>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</si>
  <si>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</si>
  <si>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</si>
  <si>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</si>
  <si>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</si>
  <si>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</si>
  <si>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</si>
  <si>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</si>
  <si>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</si>
  <si>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</si>
  <si>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</si>
  <si>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</si>
  <si>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</si>
  <si>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</si>
  <si>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</si>
  <si>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</si>
  <si>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</si>
  <si>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</si>
  <si>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</si>
  <si>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</si>
  <si>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</si>
  <si>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</si>
  <si>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</si>
  <si>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</si>
  <si>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</si>
  <si>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</si>
  <si>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</si>
  <si>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</si>
  <si>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</si>
  <si>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</si>
  <si>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</si>
  <si>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</si>
  <si>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</si>
  <si>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</si>
  <si>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</si>
  <si>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</si>
  <si>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</si>
  <si>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</si>
  <si>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</si>
  <si>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</si>
  <si>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</si>
  <si>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</si>
  <si>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</si>
  <si>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</si>
  <si>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</si>
  <si>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</si>
  <si>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</si>
  <si>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</si>
  <si>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</si>
  <si>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</si>
  <si>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</si>
  <si>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</si>
  <si>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</si>
  <si>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</si>
  <si>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</si>
  <si>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</si>
  <si>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</si>
  <si>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</si>
  <si>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</si>
  <si>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</si>
  <si>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</si>
  <si>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</si>
  <si>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</si>
  <si>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</si>
  <si>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</si>
  <si>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</si>
  <si>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</si>
  <si>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</si>
  <si>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</si>
  <si>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</si>
  <si>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</si>
  <si>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</si>
  <si>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</si>
  <si>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</si>
  <si>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</si>
  <si>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</si>
  <si>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</si>
  <si>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</si>
  <si>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</si>
  <si>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</si>
  <si>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</si>
  <si>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</si>
  <si>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</si>
  <si>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</si>
  <si>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</si>
  <si>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</si>
  <si>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</si>
  <si>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</si>
  <si>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</si>
  <si>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</si>
  <si>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</si>
  <si>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</si>
  <si>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</si>
  <si>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</si>
  <si>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</si>
  <si>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</si>
  <si>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</si>
  <si>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</si>
  <si>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</si>
  <si>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</si>
  <si>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</si>
  <si>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</si>
  <si>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</si>
  <si>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</si>
  <si>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</si>
  <si>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</si>
  <si>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</si>
  <si>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</si>
  <si>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</si>
  <si>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</si>
  <si>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</si>
  <si>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</si>
  <si>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</si>
  <si>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</si>
  <si>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</si>
  <si>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</si>
  <si>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</si>
  <si>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</si>
  <si>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</si>
  <si>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</si>
  <si>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</si>
  <si>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</si>
  <si>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</si>
  <si>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</si>
  <si>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</si>
  <si>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</si>
  <si>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</si>
  <si>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</si>
  <si>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</si>
  <si>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</si>
  <si>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</si>
  <si>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</si>
  <si>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</si>
  <si>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</si>
  <si>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</si>
  <si>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</si>
  <si>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</si>
  <si>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</si>
  <si>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</si>
  <si>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</si>
  <si>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</si>
  <si>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</si>
  <si>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</si>
  <si>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</si>
  <si>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</si>
  <si>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</si>
  <si>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</si>
  <si>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</si>
  <si>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</si>
  <si>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</si>
  <si>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</si>
  <si>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</si>
  <si>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</si>
  <si>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</si>
  <si>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</si>
  <si>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</si>
  <si>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</si>
  <si>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</si>
  <si>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</si>
  <si>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</si>
  <si>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</si>
  <si>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</si>
  <si>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</si>
  <si>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</si>
  <si>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</si>
  <si>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</si>
  <si>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</si>
  <si>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</si>
  <si>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</si>
  <si>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</si>
  <si>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</si>
  <si>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</si>
  <si>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</si>
  <si>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</si>
  <si>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</si>
  <si>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</si>
  <si>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</si>
  <si>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</si>
  <si>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</si>
  <si>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</si>
  <si>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</si>
  <si>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</si>
  <si>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</si>
  <si>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</si>
  <si>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</si>
  <si>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</si>
  <si>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</si>
  <si>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</si>
  <si>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</si>
  <si>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</si>
  <si>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</si>
  <si>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</si>
  <si>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</si>
  <si>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</si>
  <si>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</si>
  <si>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</si>
  <si>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</si>
  <si>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</si>
  <si>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</si>
  <si>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</si>
  <si>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</si>
  <si>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</si>
  <si>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</si>
  <si>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</si>
  <si>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</si>
  <si>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</si>
  <si>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</si>
  <si>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</si>
  <si>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</si>
  <si>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</si>
  <si>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</si>
  <si>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</si>
  <si>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</si>
  <si>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</si>
  <si>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</si>
  <si>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</si>
  <si>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</si>
  <si>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</si>
  <si>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</si>
  <si>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</si>
  <si>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</si>
  <si>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</si>
  <si>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</si>
  <si>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</si>
  <si>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</si>
  <si>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</si>
  <si>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</si>
  <si>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</si>
  <si>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</si>
  <si>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</si>
  <si>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</si>
  <si>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</si>
  <si>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</si>
  <si>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</si>
  <si>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</si>
  <si>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</si>
  <si>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</si>
  <si>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</si>
  <si>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</si>
  <si>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</si>
  <si>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</si>
  <si>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</si>
  <si>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</si>
  <si>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</si>
  <si>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</si>
  <si>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</si>
  <si>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</si>
  <si>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</si>
  <si>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</si>
  <si>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</si>
  <si>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</si>
  <si>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</si>
  <si>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</si>
  <si>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</si>
  <si>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</si>
  <si>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</si>
  <si>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</si>
  <si>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</si>
  <si>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</si>
  <si>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</si>
  <si>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</si>
  <si>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</si>
  <si>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</si>
  <si>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</si>
  <si>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</si>
  <si>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</si>
  <si>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</si>
  <si>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</si>
  <si>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</si>
  <si>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</si>
  <si>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</si>
  <si>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</si>
  <si>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</si>
  <si>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</si>
  <si>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</si>
  <si>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</si>
  <si>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</si>
  <si>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</si>
  <si>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</si>
  <si>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</si>
  <si>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</si>
  <si>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</si>
  <si>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</si>
  <si>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</si>
  <si>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</si>
  <si>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</si>
  <si>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</si>
  <si>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</si>
  <si>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</si>
  <si>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</si>
  <si>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</si>
  <si>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</si>
  <si>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</si>
  <si>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</si>
  <si>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</si>
  <si>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</si>
  <si>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</si>
  <si>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</si>
  <si>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</si>
  <si>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</si>
  <si>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</si>
  <si>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</si>
  <si>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</si>
  <si>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</si>
  <si>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</si>
  <si>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</si>
  <si>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</si>
  <si>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</si>
  <si>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</si>
  <si>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</si>
  <si>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</si>
  <si>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</si>
  <si>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</si>
  <si>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</si>
  <si>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</si>
  <si>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</si>
  <si>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</si>
  <si>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</si>
  <si>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</si>
  <si>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</si>
  <si>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</si>
  <si>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</si>
  <si>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</si>
  <si>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</si>
  <si>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</si>
  <si>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</si>
  <si>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</si>
  <si>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</si>
  <si>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</si>
  <si>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</si>
  <si>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</si>
  <si>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</si>
  <si>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</si>
  <si>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</si>
  <si>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</si>
  <si>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</si>
  <si>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</si>
  <si>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</si>
  <si>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</si>
  <si>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</si>
  <si>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</si>
  <si>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</si>
  <si>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</si>
  <si>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</si>
  <si>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</si>
  <si>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</si>
  <si>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</si>
  <si>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</si>
  <si>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</si>
  <si>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</si>
  <si>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</si>
  <si>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</si>
  <si>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</si>
  <si>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</si>
  <si>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</si>
  <si>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</si>
  <si>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</si>
  <si>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</si>
  <si>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</si>
  <si>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</si>
  <si>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</si>
  <si>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</si>
  <si>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</si>
  <si>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</si>
  <si>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</si>
  <si>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</si>
  <si>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</si>
  <si>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</si>
  <si>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</si>
  <si>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</si>
  <si>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</si>
  <si>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</si>
  <si>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</si>
  <si>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</si>
  <si>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</si>
  <si>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</si>
  <si>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</si>
  <si>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</si>
  <si>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</si>
  <si>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</si>
  <si>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</si>
  <si>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</si>
  <si>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</si>
  <si>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</si>
  <si>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</si>
  <si>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</si>
  <si>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</si>
  <si>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</si>
  <si>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</si>
  <si>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</si>
  <si>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</si>
  <si>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</si>
  <si>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</si>
  <si>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</si>
  <si>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</si>
  <si>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</si>
  <si>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</si>
  <si>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</si>
  <si>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</si>
  <si>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</si>
  <si>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</si>
  <si>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</si>
  <si>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</si>
  <si>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</si>
  <si>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</si>
  <si>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</si>
  <si>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</si>
  <si>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</si>
  <si>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</si>
  <si>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</si>
  <si>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</si>
  <si>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</si>
  <si>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</si>
  <si>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</si>
  <si>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</si>
  <si>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</si>
  <si>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</si>
  <si>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</si>
  <si>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</si>
  <si>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</si>
  <si>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</si>
  <si>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</si>
  <si>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</si>
  <si>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</si>
  <si>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</si>
  <si>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</si>
  <si>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</si>
  <si>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</si>
  <si>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</si>
  <si>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</si>
  <si>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</si>
  <si>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</si>
  <si>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</si>
  <si>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</si>
  <si>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</si>
  <si>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</si>
  <si>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</si>
  <si>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</si>
  <si>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</si>
  <si>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</si>
  <si>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</si>
  <si>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</si>
  <si>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</si>
  <si>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</si>
  <si>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</si>
  <si>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</si>
  <si>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</si>
  <si>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</si>
  <si>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</si>
  <si>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</si>
  <si>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</si>
  <si>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</si>
  <si>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</si>
  <si>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</si>
  <si>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</si>
  <si>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</si>
  <si>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</si>
  <si>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</si>
  <si>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</si>
  <si>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</si>
  <si>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</si>
  <si>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</si>
  <si>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</si>
  <si>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</si>
  <si>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</si>
  <si>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</si>
  <si>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</si>
  <si>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</si>
  <si>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</si>
  <si>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</si>
  <si>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</si>
  <si>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</si>
  <si>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</si>
  <si>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</si>
  <si>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</si>
  <si>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</si>
  <si>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</si>
  <si>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</si>
  <si>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</si>
  <si>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</si>
  <si>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</si>
  <si>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</si>
  <si>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</si>
  <si>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</si>
  <si>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</si>
  <si>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</si>
  <si>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</si>
  <si>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</si>
  <si>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</si>
  <si>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</si>
  <si>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</si>
  <si>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</si>
  <si>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</si>
  <si>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</si>
  <si>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</si>
  <si>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</si>
  <si>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</si>
  <si>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</si>
  <si>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</si>
  <si>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</si>
  <si>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</si>
  <si>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</si>
  <si>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</si>
  <si>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</si>
  <si>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</si>
  <si>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</si>
  <si>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</si>
  <si>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</si>
  <si>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</si>
  <si>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</si>
  <si>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</si>
  <si>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</si>
  <si>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</si>
  <si>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</si>
  <si>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</si>
  <si>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</si>
  <si>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</si>
  <si>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</si>
  <si>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</si>
  <si>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</si>
  <si>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</si>
  <si>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</si>
  <si>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</si>
  <si>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</si>
  <si>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</si>
  <si>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</si>
  <si>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</si>
  <si>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</si>
  <si>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</si>
  <si>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</si>
  <si>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</si>
  <si>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</si>
  <si>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</si>
  <si>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</si>
  <si>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</si>
  <si>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</si>
  <si>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</si>
  <si>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</si>
  <si>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</si>
  <si>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</si>
  <si>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</si>
  <si>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</si>
  <si>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</si>
  <si>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</si>
  <si>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</si>
  <si>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</si>
  <si>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</si>
  <si>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</si>
  <si>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</si>
  <si>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</si>
  <si>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</si>
  <si>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</si>
  <si>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</si>
  <si>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</si>
  <si>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</si>
  <si>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</si>
  <si>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</si>
  <si>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</si>
  <si>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</si>
  <si>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</si>
  <si>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</si>
  <si>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</si>
  <si>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</si>
  <si>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</si>
  <si>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</si>
  <si>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</si>
  <si>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</si>
  <si>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</si>
  <si>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</si>
  <si>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</si>
  <si>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</si>
  <si>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</si>
  <si>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</si>
  <si>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</si>
  <si>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</si>
  <si>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</si>
  <si>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</si>
  <si>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</si>
  <si>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</si>
  <si>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</si>
  <si>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</si>
  <si>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</si>
  <si>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</si>
  <si>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</si>
  <si>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</si>
  <si>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</si>
  <si>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</si>
  <si>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</si>
  <si>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</si>
  <si>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</si>
  <si>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</si>
  <si>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</si>
  <si>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</si>
  <si>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</si>
  <si>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</si>
  <si>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</si>
  <si>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</si>
  <si>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</si>
  <si>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</si>
  <si>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</si>
  <si>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</si>
  <si>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</si>
  <si>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</si>
  <si>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</si>
  <si>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</si>
  <si>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</si>
  <si>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</si>
  <si>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</si>
  <si>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</si>
  <si>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</si>
  <si>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</si>
  <si>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</si>
  <si>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</si>
  <si>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</si>
  <si>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</si>
  <si>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</si>
  <si>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</si>
  <si>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</si>
  <si>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</si>
  <si>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</si>
  <si>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</si>
  <si>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</si>
  <si>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</si>
  <si>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</si>
  <si>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</si>
  <si>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</si>
  <si>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</si>
  <si>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</si>
  <si>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</si>
  <si>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</si>
  <si>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</si>
  <si>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x</t>
  </si>
  <si>
    <t>49-081-0340-02</t>
  </si>
  <si>
    <t>Rock Island</t>
  </si>
  <si>
    <t>Silvis School District No. 34</t>
  </si>
  <si>
    <t>4280 4th Avenue</t>
  </si>
  <si>
    <t>East Moline, IL</t>
  </si>
  <si>
    <t>tvandewiele@silvis34.com</t>
  </si>
  <si>
    <t>Terri Vandewiele</t>
  </si>
  <si>
    <t>Thomas R. Peffer, CPA</t>
  </si>
  <si>
    <t>tpeffer@gorenzcpa.com</t>
  </si>
  <si>
    <t>2008 Working Cash Bonds</t>
  </si>
  <si>
    <t>2011 Life Safety Bonds</t>
  </si>
  <si>
    <t>2016B Life Safety Bonds</t>
  </si>
  <si>
    <t>East Moline #37</t>
  </si>
  <si>
    <t>East Moline #37, UTHS #30</t>
  </si>
  <si>
    <t>Blackhawk Area Special Education District</t>
  </si>
  <si>
    <t>Rock Island Co. Regional Office</t>
  </si>
  <si>
    <t>Carbon Cliff/Bartsow (FY 18 only); Hampton</t>
  </si>
  <si>
    <t xml:space="preserve">                              For the Year Ended June 30, 2019                              </t>
  </si>
  <si>
    <t>ISBE</t>
  </si>
  <si>
    <t>Expenditures/Disbursements</t>
  </si>
  <si>
    <t>Project</t>
  </si>
  <si>
    <t xml:space="preserve">Prior to </t>
  </si>
  <si>
    <t>7/01/2018</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</si>
  <si>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</si>
  <si>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</si>
  <si>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</si>
  <si>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</si>
  <si>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</si>
  <si>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</si>
  <si>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</si>
  <si>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</si>
  <si>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</si>
  <si>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18-4210-00</t>
  </si>
  <si>
    <t>N/A</t>
  </si>
  <si>
    <t xml:space="preserve">      (M) National School Lunch Program</t>
  </si>
  <si>
    <t>19-4210-00</t>
  </si>
  <si>
    <t>(3)</t>
  </si>
  <si>
    <t>08-4220-00</t>
  </si>
  <si>
    <t>09-4220-00</t>
  </si>
  <si>
    <t>Child Nutrition Commodity/Salvage</t>
  </si>
  <si>
    <t>08-4250-00</t>
  </si>
  <si>
    <t xml:space="preserve">      (M) National School Breakfast Program</t>
  </si>
  <si>
    <t>18-4220-00</t>
  </si>
  <si>
    <t>19-4220-00</t>
  </si>
  <si>
    <t xml:space="preserve">      (M) Fresh Fruit and Vegetables</t>
  </si>
  <si>
    <t>18-4240-18</t>
  </si>
  <si>
    <t>19-4240-18</t>
  </si>
  <si>
    <t>19-4240-19</t>
  </si>
  <si>
    <t>FY 2018</t>
  </si>
  <si>
    <t xml:space="preserve">     (M) Fruits and Vegetables (2)</t>
  </si>
  <si>
    <t>FY 2019</t>
  </si>
  <si>
    <t>Total U.S. Department of Agriculture - Pass-through program</t>
  </si>
  <si>
    <t xml:space="preserve">U.S. Department of Education - </t>
  </si>
  <si>
    <t>84.010</t>
  </si>
  <si>
    <t>18-4300-00</t>
  </si>
  <si>
    <t>19-4300-00</t>
  </si>
  <si>
    <t>Title I - School Improvement &amp; Accountability</t>
  </si>
  <si>
    <t>19-4331-00</t>
  </si>
  <si>
    <t>Title IVA - Student Support &amp; Academic Enrichment</t>
  </si>
  <si>
    <t>19-4400-00</t>
  </si>
  <si>
    <t>ARRA - Title I Low Income</t>
  </si>
  <si>
    <t>11-4851-00</t>
  </si>
  <si>
    <t>Title I - School Improvement</t>
  </si>
  <si>
    <t>IDEA - Room &amp; Board</t>
  </si>
  <si>
    <t>07-4625-XC</t>
  </si>
  <si>
    <t>08-4625-XC</t>
  </si>
  <si>
    <t>84.027A</t>
  </si>
  <si>
    <t>11-4625-XC</t>
  </si>
  <si>
    <t>(M)ARRA - Education Jobs Fund Program</t>
  </si>
  <si>
    <t>84.410A</t>
  </si>
  <si>
    <t>11-4880-00</t>
  </si>
  <si>
    <t>12-4880-00</t>
  </si>
  <si>
    <t>18-4932-00</t>
  </si>
  <si>
    <t>19-4932-00</t>
  </si>
  <si>
    <t xml:space="preserve">     Title III - Bilingual Ed Excellence Grant</t>
  </si>
  <si>
    <t>16-4998-El</t>
  </si>
  <si>
    <t>Pass Through from</t>
  </si>
  <si>
    <t xml:space="preserve">    East Moline School</t>
  </si>
  <si>
    <t xml:space="preserve">    District No. 37:</t>
  </si>
  <si>
    <t xml:space="preserve">     Title III - LIPLEPS</t>
  </si>
  <si>
    <t>18-4909-00</t>
  </si>
  <si>
    <t>19-4909-00</t>
  </si>
  <si>
    <t xml:space="preserve">    Black Hawk Area Special</t>
  </si>
  <si>
    <t xml:space="preserve">    Education District:</t>
  </si>
  <si>
    <t xml:space="preserve">       IDEA Flow Through</t>
  </si>
  <si>
    <t>18-4620-00</t>
  </si>
  <si>
    <t>19-4620-00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</si>
  <si>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</si>
  <si>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</si>
  <si>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</si>
  <si>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</si>
  <si>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</si>
  <si>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</si>
  <si>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&amp; Human Services - </t>
  </si>
  <si>
    <t>Illinois Department of Healthcare and Family Services</t>
  </si>
  <si>
    <t>Medicaid Administrative Outreach</t>
  </si>
  <si>
    <t>18-4991-00</t>
  </si>
  <si>
    <t>19-4991-00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</si>
  <si>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</si>
  <si>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</si>
  <si>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</si>
  <si>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</si>
  <si>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</si>
  <si>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</si>
  <si>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</si>
  <si>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2019</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</si>
  <si>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</si>
  <si>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</si>
  <si>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</si>
  <si>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</si>
  <si>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</si>
  <si>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</si>
  <si>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</si>
  <si>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</si>
  <si>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</si>
  <si>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NONE</t>
  </si>
  <si>
    <r>
      <t xml:space="preserve">The accompanying Schedule of Expenditures of Federal Awards includes the federal grant activity of </t>
    </r>
    <r>
      <rPr>
        <b/>
        <sz val="9"/>
        <rFont val="Calibri"/>
        <family val="2"/>
        <scheme val="minor"/>
      </rPr>
      <t>Silvis School District No. 34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</si>
  <si>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Silvis School District No. 34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</si>
  <si>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Silvis School District No. 34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</si>
  <si>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</si>
  <si>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&amp; 10.555 &amp; 10.582</t>
  </si>
  <si>
    <t>Child Nutrition Cluster</t>
  </si>
  <si>
    <t>The accompanying Schedule of Expenditures of Federal Awards includes the federal grant activity of Silvis School District No. 34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</si>
  <si>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Silvis School District No. 34 provided federal awards to subrecipients as follows:</t>
  </si>
  <si>
    <t>Note 6: Relationship to Basic Financial Statements and Program Financial Reports</t>
  </si>
  <si>
    <r>
      <t xml:space="preserve">The following amounts were expended in the form of non-cash assistance by Silvis School District No. 34 and </t>
    </r>
    <r>
      <rPr>
        <b/>
        <sz val="9"/>
        <rFont val="Calibri"/>
        <family val="2"/>
        <scheme val="minor"/>
      </rPr>
      <t>should be</t>
    </r>
    <r>
      <rPr>
        <sz val="9"/>
        <rFont val="Calibri"/>
        <family val="2"/>
        <scheme val="minor"/>
      </rPr>
      <t xml:space="preserve"> included in the Schedule of Expenditures of Federal Awards:</t>
    </r>
  </si>
  <si>
    <t>Federal awards received are reflected in the District's financial statements within the Educational Fund as receipts from federal sources. Amounts reported in the accompanying Schedule of Federal Awards agree with amounts reported in the Program Financial Report for programs which have filed final reports as of June 30, 2019, with ISBE.</t>
  </si>
  <si>
    <t>None</t>
  </si>
  <si>
    <t>Child Nutrition Cluster - 2019</t>
  </si>
  <si>
    <t>U.S. Department of Agriculture</t>
  </si>
  <si>
    <t>The District is required to monitor, through review or audit or by other means, the net cash resources of the nonprofit school food service program in accordance with Section 210.19 of the Code of Federal Regulations.</t>
  </si>
  <si>
    <t>The District has not established internal controls to ensure that the cash resources are being properly monitored.</t>
  </si>
  <si>
    <t>None.</t>
  </si>
  <si>
    <t>During the audit, it was determined that the District has not maintained and monitored the balance in the school food accounts to ensure compliance with Section 210.19 of the Code of Federal Regulations.</t>
  </si>
  <si>
    <t>The District is unaware of the cash balance in the food services account.</t>
  </si>
  <si>
    <t>Management has not implemented controls that would allow the District to monitor the net cash resources.</t>
  </si>
  <si>
    <t>It is recommended that the District monitor the cash balances it accumulates to help ensure that the net resources are being properly maintained.</t>
  </si>
  <si>
    <t>The District will establish internal controls to ensure the monitoring of the net cash resources in the food services account.</t>
  </si>
  <si>
    <r>
      <t>CORRECTIVE ACTION PLAN FOR CURRENT YEAR AUDIT FINDINGS</t>
    </r>
    <r>
      <rPr>
        <b/>
        <vertAlign val="superscript"/>
        <sz val="9"/>
        <rFont val="Arial"/>
        <family val="2"/>
      </rPr>
      <t>21</t>
    </r>
  </si>
  <si>
    <t>Corrective Action Plan</t>
  </si>
  <si>
    <t>Finding No.:</t>
  </si>
  <si>
    <t>Condition:</t>
  </si>
  <si>
    <t>The District has not established internal controls to ensure compliance with the requirements of the Child Nutrition Cluster guidelines with respect to Cash Management.</t>
  </si>
  <si>
    <t>Plan:</t>
  </si>
  <si>
    <t>The District will implement controls that monitor the cash balance in its Food Services Account and ensure compliance with Child Nutrition Cluster guidelines.</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</si>
  <si>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</si>
  <si>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</si>
  <si>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</si>
  <si>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</si>
  <si>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Silvis School District No.34</t>
  </si>
  <si>
    <t>The District will establish internal controls to ensure the monitoring of the net cash</t>
  </si>
  <si>
    <t>resources in the food services account.</t>
  </si>
  <si>
    <t>Dr. Terri VandeWiele, Superintendent</t>
  </si>
  <si>
    <t xml:space="preserve">             Department of Defense</t>
  </si>
  <si>
    <t xml:space="preserve">             Fruits and Vegetables (2)</t>
  </si>
  <si>
    <t xml:space="preserve">              Food Donation (2)</t>
  </si>
  <si>
    <t xml:space="preserve">       (M) Food Donation (2)</t>
  </si>
  <si>
    <t>Total CFDA 10.555</t>
  </si>
  <si>
    <t>Commodities</t>
  </si>
  <si>
    <t>Total CFDA 84.010</t>
  </si>
  <si>
    <t>Part C - 20. - See Finding 2019-001</t>
  </si>
  <si>
    <t>GORENZ AND ASSOCIATES, LTD.</t>
  </si>
  <si>
    <t>ED-Instruction-Supplies</t>
  </si>
  <si>
    <t>10-1000-400</t>
  </si>
  <si>
    <t>CDW-G</t>
  </si>
  <si>
    <t>ED-Instruction-Purchase Services</t>
  </si>
  <si>
    <t>10-1000-300</t>
  </si>
  <si>
    <t>DCS Computer Services</t>
  </si>
  <si>
    <t>Office Machine Consultants</t>
  </si>
  <si>
    <t>ED-Food Services-Supplies</t>
  </si>
  <si>
    <t>10-2560-400</t>
  </si>
  <si>
    <t>Reinhart Foodservice</t>
  </si>
  <si>
    <t>Mediacom</t>
  </si>
  <si>
    <t>PSIC</t>
  </si>
  <si>
    <t>Tort-General Admin-Purchase Services</t>
  </si>
  <si>
    <t>80-2300-300</t>
  </si>
  <si>
    <t>Page 10, Line 106 - Book Fines</t>
  </si>
  <si>
    <t>Page 10, Line 74 - Misc. Rebates</t>
  </si>
  <si>
    <t>Page 10, Line 107 - Educational Fund - E-Rate $26,557, Misc. Refunds and Rebates $2,030</t>
  </si>
  <si>
    <t xml:space="preserve">                                      Transportation Fund - Misc. Refunds and Reimbursements</t>
  </si>
  <si>
    <t>Page 12, Line 168 - HCI Grant $31,551, Library Grant $750</t>
  </si>
  <si>
    <t>Page 18, Line 171 - Bond Service Charges</t>
  </si>
  <si>
    <t>Page 15, Line 41 - Playground Monitors &amp; Behavior Interventionist Salaries and Benefits</t>
  </si>
  <si>
    <t>Page 19, Line 237 - Playground Monitors &amp; Behavior Interventionist IMRF</t>
  </si>
  <si>
    <t>Page 17, Line 136 - Bus Storage Lease Payments and Maintenance Service Charges</t>
  </si>
  <si>
    <t>See PDF version</t>
  </si>
  <si>
    <t>Silvis 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</si>
</sst>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2"/>
      <name val="Times New Roman"/>
      <family val="1"/>
    </font>
    <font>
      <sz val="10"/>
      <name val="Courier"/>
    </font>
    <font>
      <b/>
      <u/>
      <sz val="11"/>
      <name val="Times New Roman"/>
      <family val="1"/>
    </font>
    <font>
      <u val="singleAccounting"/>
      <sz val="10"/>
      <name val="Times New Roman"/>
      <family val="1"/>
    </font>
    <font>
      <u/>
      <sz val="10"/>
      <name val="Times New Roman"/>
      <family val="1"/>
    </font>
    <font>
      <b/>
      <sz val="10"/>
      <name val="Times New Roman"/>
      <family val="1"/>
    </font>
    <font>
      <u val="doubleAccounting"/>
      <sz val="10"/>
      <name val="Times New Roman"/>
      <family val="1"/>
    </font>
    <font>
      <sz val="10"/>
      <color rgb="FFFF0000"/>
      <name val="Times New Roman"/>
      <family val="1"/>
    </font>
    <font>
      <vertAlign val="superscript"/>
      <sz val="8"/>
      <name val="Arial"/>
      <family val="2"/>
    </font>
    <font>
      <b/>
      <vertAlign val="superscript"/>
      <sz val="9"/>
      <name val="Arial"/>
      <family val="2"/>
    </font>
    <font>
      <b/>
      <u/>
      <sz val="8"/>
      <name val="Arial"/>
      <family val="2"/>
    </font>
    <font>
      <b/>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40" fillId="0" borderId="0"/>
    <xf numFmtId="43" fontId="45" fillId="0" borderId="0" applyFont="0" applyFill="0" applyBorder="0" applyAlignment="0" applyProtection="0"/>
    <xf numFmtId="9" fontId="45" fillId="0" borderId="0" applyFont="0" applyFill="0" applyBorder="0" applyAlignment="0" applyProtection="0"/>
  </cellStyleXfs>
  <cellXfs count="26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37" fontId="140" fillId="0" borderId="0" xfId="20" applyFill="1"/>
    <xf numFmtId="37" fontId="140" fillId="0" borderId="0" xfId="20" applyFill="1" applyAlignment="1">
      <alignment vertical="center"/>
    </xf>
    <xf numFmtId="37" fontId="45" fillId="0" borderId="0" xfId="20" applyFont="1" applyFill="1"/>
    <xf numFmtId="37" fontId="45" fillId="0" borderId="0" xfId="20" applyFont="1" applyFill="1" applyBorder="1" applyAlignment="1">
      <alignment horizontal="centerContinuous"/>
    </xf>
    <xf numFmtId="37" fontId="45" fillId="0" borderId="0" xfId="20" applyFont="1" applyFill="1" applyBorder="1" applyAlignment="1">
      <alignment horizontal="left"/>
    </xf>
    <xf numFmtId="37" fontId="45" fillId="0" borderId="0" xfId="20" applyFont="1" applyFill="1" applyBorder="1"/>
    <xf numFmtId="37" fontId="45" fillId="0" borderId="0" xfId="20" applyFont="1" applyFill="1" applyBorder="1" applyAlignment="1">
      <alignment horizontal="center"/>
    </xf>
    <xf numFmtId="37" fontId="140" fillId="0" borderId="0" xfId="20" applyFill="1" applyBorder="1" applyAlignment="1">
      <alignment vertical="center"/>
    </xf>
    <xf numFmtId="37" fontId="45" fillId="0" borderId="0" xfId="20" applyFont="1" applyFill="1" applyAlignment="1">
      <alignment horizontal="left" vertical="center"/>
    </xf>
    <xf numFmtId="37" fontId="45" fillId="0" borderId="0" xfId="20" applyFont="1" applyFill="1" applyAlignment="1">
      <alignment horizontal="center" vertical="center"/>
    </xf>
    <xf numFmtId="37" fontId="45" fillId="0" borderId="0" xfId="20" quotePrefix="1" applyFont="1" applyFill="1" applyAlignment="1">
      <alignment horizontal="center" vertical="center"/>
    </xf>
    <xf numFmtId="37" fontId="45" fillId="0" borderId="0" xfId="20" applyFont="1" applyFill="1" applyAlignment="1">
      <alignment vertical="center"/>
    </xf>
    <xf numFmtId="37" fontId="45" fillId="0" borderId="0" xfId="20" applyFont="1" applyFill="1" applyAlignment="1">
      <alignment horizontal="left"/>
    </xf>
    <xf numFmtId="37" fontId="45" fillId="0" borderId="0" xfId="20" applyFont="1" applyFill="1" applyAlignment="1">
      <alignment horizontal="center"/>
    </xf>
    <xf numFmtId="14" fontId="45" fillId="0" borderId="0" xfId="20" applyNumberFormat="1" applyFont="1" applyFill="1" applyAlignment="1">
      <alignment horizontal="center"/>
    </xf>
    <xf numFmtId="37" fontId="143" fillId="0" borderId="0" xfId="20" quotePrefix="1" applyFont="1" applyFill="1" applyAlignment="1">
      <alignment horizontal="left" vertical="center"/>
    </xf>
    <xf numFmtId="37" fontId="142" fillId="0" borderId="0" xfId="20" applyFont="1" applyFill="1" applyAlignment="1">
      <alignment horizontal="center" vertical="center"/>
    </xf>
    <xf numFmtId="37" fontId="45" fillId="0" borderId="0" xfId="20" applyNumberFormat="1" applyFont="1" applyFill="1" applyAlignment="1" applyProtection="1">
      <alignment vertical="center"/>
    </xf>
    <xf numFmtId="37" fontId="45" fillId="0" borderId="0" xfId="20" applyNumberFormat="1" applyFont="1" applyFill="1" applyAlignment="1" applyProtection="1">
      <alignment horizontal="center" vertical="center"/>
    </xf>
    <xf numFmtId="37" fontId="143" fillId="0" borderId="0" xfId="20" applyFont="1" applyFill="1" applyAlignment="1">
      <alignment horizontal="center"/>
    </xf>
    <xf numFmtId="37" fontId="143" fillId="0" borderId="0" xfId="20" applyNumberFormat="1" applyFont="1" applyFill="1" applyAlignment="1" applyProtection="1">
      <alignment horizontal="center"/>
    </xf>
    <xf numFmtId="37" fontId="45" fillId="0" borderId="0" xfId="20" applyNumberFormat="1" applyFont="1" applyFill="1" applyProtection="1"/>
    <xf numFmtId="37" fontId="45" fillId="0" borderId="0" xfId="20" applyNumberFormat="1" applyFont="1" applyFill="1" applyAlignment="1" applyProtection="1">
      <alignment horizontal="center"/>
    </xf>
    <xf numFmtId="37" fontId="144" fillId="0" borderId="0" xfId="20" applyFont="1" applyFill="1" applyAlignment="1">
      <alignment horizontal="left"/>
    </xf>
    <xf numFmtId="37" fontId="144" fillId="0" borderId="0" xfId="20" applyFont="1" applyFill="1" applyAlignment="1">
      <alignment horizontal="left" indent="1"/>
    </xf>
    <xf numFmtId="37" fontId="45" fillId="0" borderId="0" xfId="20" applyFont="1" applyFill="1" applyAlignment="1">
      <alignment horizontal="right"/>
    </xf>
    <xf numFmtId="37" fontId="45" fillId="0" borderId="0" xfId="20" applyFont="1" applyFill="1" applyAlignment="1">
      <alignment horizontal="left" indent="1"/>
    </xf>
    <xf numFmtId="181" fontId="45" fillId="0" borderId="0" xfId="20" applyNumberFormat="1" applyFont="1" applyFill="1" applyAlignment="1" applyProtection="1">
      <alignment horizontal="center"/>
    </xf>
    <xf numFmtId="182" fontId="45" fillId="0" borderId="0" xfId="20" applyNumberFormat="1" applyFont="1" applyFill="1"/>
    <xf numFmtId="37" fontId="140" fillId="0" borderId="0" xfId="20" applyFill="1" applyAlignment="1">
      <alignment horizontal="center" vertical="center"/>
    </xf>
    <xf numFmtId="182" fontId="45" fillId="0" borderId="0" xfId="20" applyNumberFormat="1" applyFont="1" applyFill="1" applyProtection="1"/>
    <xf numFmtId="182" fontId="45" fillId="0" borderId="0" xfId="20" applyNumberFormat="1" applyFont="1" applyFill="1" applyAlignment="1" applyProtection="1">
      <alignment horizontal="right"/>
    </xf>
    <xf numFmtId="37" fontId="45" fillId="0" borderId="0" xfId="20" quotePrefix="1" applyFont="1" applyFill="1" applyAlignment="1">
      <alignment horizontal="center"/>
    </xf>
    <xf numFmtId="182" fontId="45" fillId="0" borderId="0" xfId="20" applyNumberFormat="1" applyFont="1" applyFill="1" applyAlignment="1">
      <alignment horizontal="center"/>
    </xf>
    <xf numFmtId="182" fontId="45" fillId="0" borderId="0" xfId="20" applyNumberFormat="1" applyFont="1" applyFill="1" applyBorder="1"/>
    <xf numFmtId="41" fontId="45" fillId="0" borderId="0" xfId="20" applyNumberFormat="1" applyFont="1" applyFill="1" applyBorder="1"/>
    <xf numFmtId="37" fontId="45" fillId="0" borderId="0" xfId="20" applyFont="1" applyFill="1" applyAlignment="1">
      <alignment horizontal="left" indent="2"/>
    </xf>
    <xf numFmtId="37" fontId="45" fillId="0" borderId="0" xfId="20" applyFont="1" applyFill="1" applyAlignment="1">
      <alignment horizontal="left" vertical="center" indent="1"/>
    </xf>
    <xf numFmtId="181" fontId="45" fillId="0" borderId="0" xfId="20" applyNumberFormat="1" applyFont="1" applyFill="1" applyAlignment="1" applyProtection="1">
      <alignment horizontal="center" vertical="center"/>
    </xf>
    <xf numFmtId="182" fontId="45" fillId="0" borderId="0" xfId="20" applyNumberFormat="1" applyFont="1" applyFill="1" applyAlignment="1">
      <alignment vertical="center"/>
    </xf>
    <xf numFmtId="182" fontId="142" fillId="0" borderId="0" xfId="20" applyNumberFormat="1" applyFont="1" applyFill="1" applyAlignment="1">
      <alignment vertical="center"/>
    </xf>
    <xf numFmtId="182" fontId="45" fillId="0" borderId="0" xfId="20" applyNumberFormat="1" applyFont="1" applyFill="1" applyAlignment="1" applyProtection="1">
      <alignment horizontal="right" vertical="center"/>
    </xf>
    <xf numFmtId="182" fontId="142" fillId="0" borderId="0" xfId="20" applyNumberFormat="1" applyFont="1" applyFill="1"/>
    <xf numFmtId="37" fontId="140" fillId="0" borderId="0" xfId="20" quotePrefix="1" applyFill="1" applyAlignment="1">
      <alignment horizontal="right" vertical="center"/>
    </xf>
    <xf numFmtId="37" fontId="45" fillId="0" borderId="0" xfId="20" quotePrefix="1" applyFont="1" applyFill="1" applyAlignment="1">
      <alignment horizontal="left" indent="1"/>
    </xf>
    <xf numFmtId="182" fontId="45" fillId="0" borderId="0" xfId="20" applyNumberFormat="1" applyFont="1" applyFill="1" applyAlignment="1">
      <alignment horizontal="right"/>
    </xf>
    <xf numFmtId="37" fontId="144" fillId="0" borderId="0" xfId="20" quotePrefix="1" applyFont="1" applyFill="1" applyAlignment="1">
      <alignment horizontal="left" indent="1"/>
    </xf>
    <xf numFmtId="182" fontId="142" fillId="0" borderId="0" xfId="20" applyNumberFormat="1" applyFont="1" applyFill="1" applyProtection="1"/>
    <xf numFmtId="37" fontId="144" fillId="0" borderId="0" xfId="20" applyFont="1" applyFill="1" applyAlignment="1">
      <alignment vertical="center"/>
    </xf>
    <xf numFmtId="183" fontId="45" fillId="0" borderId="0" xfId="20" applyNumberFormat="1" applyFont="1" applyFill="1" applyAlignment="1" applyProtection="1">
      <alignment vertical="center"/>
    </xf>
    <xf numFmtId="182" fontId="142" fillId="0" borderId="0" xfId="20" applyNumberFormat="1" applyFont="1" applyFill="1" applyAlignment="1" applyProtection="1">
      <alignment vertical="center"/>
    </xf>
    <xf numFmtId="182" fontId="45" fillId="0" borderId="0" xfId="20" applyNumberFormat="1" applyFont="1" applyFill="1" applyAlignment="1" applyProtection="1">
      <alignment horizontal="left" vertical="center"/>
    </xf>
    <xf numFmtId="182" fontId="45" fillId="0" borderId="0" xfId="20" applyNumberFormat="1" applyFont="1" applyFill="1" applyAlignment="1">
      <alignment horizontal="center" vertical="center"/>
    </xf>
    <xf numFmtId="182" fontId="45" fillId="0" borderId="0" xfId="20" applyNumberFormat="1" applyFont="1" applyFill="1" applyAlignment="1" applyProtection="1">
      <alignment vertical="center"/>
    </xf>
    <xf numFmtId="37" fontId="144" fillId="0" borderId="0" xfId="20" applyFont="1" applyFill="1" applyAlignment="1">
      <alignment horizontal="left" vertical="center"/>
    </xf>
    <xf numFmtId="37" fontId="144" fillId="0" borderId="0" xfId="20" applyFont="1" applyFill="1" applyAlignment="1">
      <alignment horizontal="left" vertical="center" indent="1"/>
    </xf>
    <xf numFmtId="182" fontId="45" fillId="0" borderId="0" xfId="20" applyNumberFormat="1" applyFont="1" applyFill="1" applyAlignment="1" applyProtection="1">
      <alignment horizontal="center" vertical="center"/>
    </xf>
    <xf numFmtId="182" fontId="145" fillId="0" borderId="0" xfId="20" applyNumberFormat="1" applyFont="1" applyFill="1" applyAlignment="1">
      <alignment vertical="center"/>
    </xf>
    <xf numFmtId="182" fontId="145" fillId="0" borderId="0" xfId="20" applyNumberFormat="1" applyFont="1" applyFill="1"/>
    <xf numFmtId="37" fontId="45" fillId="0" borderId="0" xfId="20" applyFont="1" applyFill="1" applyAlignment="1"/>
    <xf numFmtId="181" fontId="45" fillId="0" borderId="0" xfId="20" applyNumberFormat="1" applyFont="1" applyFill="1" applyProtection="1"/>
    <xf numFmtId="182" fontId="146" fillId="0" borderId="0" xfId="20" applyNumberFormat="1" applyFont="1" applyFill="1"/>
    <xf numFmtId="37" fontId="45" fillId="0" borderId="0" xfId="20" quotePrefix="1" applyFont="1" applyFill="1" applyAlignment="1">
      <alignment horizontal="left"/>
    </xf>
    <xf numFmtId="182" fontId="146" fillId="0" borderId="0" xfId="20" applyNumberFormat="1" applyFont="1" applyFill="1" applyAlignment="1">
      <alignment horizontal="center"/>
    </xf>
    <xf numFmtId="37" fontId="140" fillId="0" borderId="0" xfId="20" applyFill="1" applyAlignment="1">
      <alignment horizontal="center"/>
    </xf>
    <xf numFmtId="182" fontId="140" fillId="0" borderId="0" xfId="20" applyNumberFormat="1" applyFill="1" applyAlignment="1">
      <alignment horizontal="left"/>
    </xf>
    <xf numFmtId="182" fontId="140" fillId="0" borderId="0" xfId="20" applyNumberFormat="1" applyFill="1"/>
    <xf numFmtId="182" fontId="140" fillId="0" borderId="0" xfId="20" applyNumberFormat="1" applyFill="1" applyAlignment="1">
      <alignment horizontal="center"/>
    </xf>
    <xf numFmtId="181" fontId="140" fillId="0" borderId="0" xfId="20" applyNumberFormat="1" applyFill="1" applyAlignment="1" applyProtection="1">
      <alignment vertical="center"/>
    </xf>
    <xf numFmtId="182" fontId="140" fillId="0" borderId="0" xfId="20" applyNumberFormat="1" applyFill="1" applyAlignment="1">
      <alignment vertical="center"/>
    </xf>
    <xf numFmtId="182" fontId="140" fillId="0" borderId="0" xfId="20" applyNumberFormat="1" applyFill="1" applyAlignment="1">
      <alignment horizontal="center" vertical="center"/>
    </xf>
    <xf numFmtId="37" fontId="147" fillId="0" borderId="0" xfId="20" applyFont="1" applyFill="1" applyAlignment="1" applyProtection="1">
      <alignment horizontal="left"/>
    </xf>
    <xf numFmtId="37" fontId="147" fillId="0" borderId="0" xfId="20" applyFont="1" applyFill="1" applyAlignment="1" applyProtection="1">
      <alignment wrapText="1"/>
    </xf>
    <xf numFmtId="37" fontId="140" fillId="0" borderId="0" xfId="20" applyFill="1" applyAlignment="1" applyProtection="1">
      <alignment horizontal="left"/>
    </xf>
    <xf numFmtId="37" fontId="11" fillId="0" borderId="0" xfId="20" applyFont="1" applyFill="1" applyAlignment="1" applyProtection="1">
      <alignment horizontal="left" indent="1"/>
    </xf>
    <xf numFmtId="37" fontId="11" fillId="0" borderId="0" xfId="20" applyFont="1" applyFill="1" applyAlignment="1" applyProtection="1">
      <alignment wrapText="1"/>
    </xf>
    <xf numFmtId="37" fontId="11" fillId="0" borderId="0" xfId="20" applyFont="1" applyFill="1" applyAlignment="1" applyProtection="1"/>
    <xf numFmtId="1" fontId="11" fillId="0" borderId="0" xfId="20" applyNumberFormat="1" applyFont="1" applyFill="1" applyAlignment="1" applyProtection="1">
      <alignment horizontal="left"/>
    </xf>
    <xf numFmtId="37" fontId="11" fillId="0" borderId="0" xfId="20" applyFont="1" applyFill="1" applyAlignment="1" applyProtection="1">
      <alignment horizontal="left"/>
    </xf>
    <xf numFmtId="1" fontId="140" fillId="0" borderId="0" xfId="20" applyNumberFormat="1" applyFill="1" applyAlignment="1" applyProtection="1">
      <alignment horizontal="left"/>
    </xf>
    <xf numFmtId="169" fontId="140" fillId="0" borderId="0" xfId="20" applyNumberFormat="1" applyFill="1" applyProtection="1">
      <protection locked="0"/>
    </xf>
    <xf numFmtId="1" fontId="140" fillId="0" borderId="0" xfId="20" applyNumberFormat="1" applyFill="1" applyProtection="1">
      <protection locked="0"/>
    </xf>
    <xf numFmtId="37" fontId="140" fillId="0" borderId="0" xfId="20" applyFill="1" applyProtection="1">
      <protection locked="0"/>
    </xf>
    <xf numFmtId="37" fontId="140" fillId="0" borderId="0" xfId="20" applyFill="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5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7" fillId="0" borderId="0" xfId="3" applyFont="1" applyAlignment="1">
      <alignment horizontal="left"/>
    </xf>
    <xf numFmtId="0" fontId="11" fillId="0" borderId="0" xfId="3" applyFont="1" applyAlignment="1">
      <alignment horizontal="left"/>
    </xf>
    <xf numFmtId="0" fontId="36" fillId="0" borderId="0" xfId="3" applyFont="1"/>
    <xf numFmtId="0" fontId="147" fillId="0" borderId="0" xfId="3" applyFont="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1" fillId="0" borderId="0" xfId="20" applyFont="1" applyFill="1" applyAlignment="1">
      <alignment horizontal="center"/>
    </xf>
    <xf numFmtId="37" fontId="142" fillId="0" borderId="0" xfId="20" applyFont="1" applyFill="1" applyBorder="1" applyAlignment="1">
      <alignment horizontal="center"/>
    </xf>
    <xf numFmtId="37" fontId="139" fillId="0" borderId="0" xfId="19" applyFont="1" applyFill="1" applyAlignment="1">
      <alignment horizontal="center"/>
    </xf>
    <xf numFmtId="37" fontId="139" fillId="0" borderId="0" xfId="20" applyFont="1" applyFill="1" applyAlignment="1">
      <alignment horizont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5" fillId="0" borderId="0" xfId="3" applyFont="1" applyBorder="1" applyAlignment="1" applyProtection="1">
      <alignment horizontal="left" wrapText="1"/>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3">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19" xr:uid="{00000000-0005-0000-0000-000015000000}"/>
    <cellStyle name="Normal_THRESHOLD CALCULATOR v3" xfId="13" xr:uid="{00000000-0005-0000-0000-000016000000}"/>
    <cellStyle name="Percent 2" xfId="22"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164523</xdr:colOff>
          <xdr:row>3</xdr:row>
          <xdr:rowOff>51955</xdr:rowOff>
        </xdr:from>
        <xdr:to>
          <xdr:col>1</xdr:col>
          <xdr:colOff>1078923</xdr:colOff>
          <xdr:row>7</xdr:row>
          <xdr:rowOff>90055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1255568</xdr:colOff>
          <xdr:row>3</xdr:row>
          <xdr:rowOff>60614</xdr:rowOff>
        </xdr:from>
        <xdr:to>
          <xdr:col>1</xdr:col>
          <xdr:colOff>2166504</xdr:colOff>
          <xdr:row>7</xdr:row>
          <xdr:rowOff>98714</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E5545597-7ECA-463D-BE0B-E9CFC63C9F0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5449A3A2-01B0-484E-B22D-C647510EF0AE}"/>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23" t="s">
        <v>405</v>
      </c>
      <c r="J1" s="2124"/>
      <c r="K1" s="2124"/>
      <c r="L1" s="2124"/>
      <c r="M1" s="2124"/>
      <c r="N1" s="2124"/>
      <c r="O1" s="2124"/>
      <c r="P1" s="2124"/>
      <c r="Q1" s="2124"/>
      <c r="R1" s="2124"/>
      <c r="S1" s="2124"/>
    </row>
    <row r="2" spans="1:28" ht="12" customHeight="1" x14ac:dyDescent="0.2">
      <c r="A2" s="47" t="s">
        <v>1990</v>
      </c>
      <c r="D2" s="48"/>
      <c r="I2" s="2125" t="s">
        <v>979</v>
      </c>
      <c r="J2" s="2124"/>
      <c r="K2" s="2124"/>
      <c r="L2" s="2124"/>
      <c r="M2" s="2124"/>
      <c r="N2" s="2124"/>
      <c r="O2" s="2124"/>
      <c r="P2" s="2124"/>
      <c r="Q2" s="2124"/>
      <c r="R2" s="2124"/>
      <c r="S2" s="2124"/>
    </row>
    <row r="3" spans="1:28" ht="12" customHeight="1" x14ac:dyDescent="0.2">
      <c r="A3" s="155" t="s">
        <v>1942</v>
      </c>
      <c r="B3" s="156"/>
      <c r="C3" s="156"/>
      <c r="D3" s="157"/>
      <c r="I3" s="2125" t="s">
        <v>52</v>
      </c>
      <c r="J3" s="2124"/>
      <c r="K3" s="2124"/>
      <c r="L3" s="2124"/>
      <c r="M3" s="2124"/>
      <c r="N3" s="2124"/>
      <c r="O3" s="2124"/>
      <c r="P3" s="2124"/>
      <c r="Q3" s="2124"/>
      <c r="R3" s="2124"/>
      <c r="S3" s="2124"/>
    </row>
    <row r="4" spans="1:28" ht="12" customHeight="1" x14ac:dyDescent="0.2">
      <c r="A4" s="37"/>
      <c r="I4" s="2125" t="s">
        <v>524</v>
      </c>
      <c r="J4" s="2124"/>
      <c r="K4" s="2124"/>
      <c r="L4" s="2124"/>
      <c r="M4" s="2124"/>
      <c r="N4" s="2124"/>
      <c r="O4" s="2124"/>
      <c r="P4" s="2124"/>
      <c r="Q4" s="2124"/>
      <c r="R4" s="2124"/>
      <c r="S4" s="2124"/>
    </row>
    <row r="5" spans="1:28" ht="14.1" customHeight="1" x14ac:dyDescent="0.2">
      <c r="B5" s="104" t="s">
        <v>2067</v>
      </c>
      <c r="C5" s="26" t="s">
        <v>910</v>
      </c>
      <c r="D5" s="84"/>
      <c r="E5" s="84"/>
      <c r="H5" s="38"/>
      <c r="I5" s="2132" t="s">
        <v>680</v>
      </c>
      <c r="J5" s="2077"/>
      <c r="K5" s="2077"/>
      <c r="L5" s="2077"/>
      <c r="M5" s="2077"/>
      <c r="N5" s="2077"/>
      <c r="O5" s="2077"/>
      <c r="P5" s="2077"/>
      <c r="Q5" s="2077"/>
      <c r="R5" s="2077"/>
      <c r="S5" s="2077"/>
    </row>
    <row r="6" spans="1:28" ht="14.1" customHeight="1" x14ac:dyDescent="0.2">
      <c r="B6" s="104"/>
      <c r="C6" s="26" t="s">
        <v>911</v>
      </c>
      <c r="D6" s="84"/>
      <c r="E6" s="84"/>
      <c r="I6" s="2131" t="s">
        <v>883</v>
      </c>
      <c r="J6" s="2077"/>
      <c r="K6" s="2077"/>
      <c r="L6" s="2077"/>
      <c r="M6" s="2077"/>
      <c r="N6" s="2077"/>
      <c r="O6" s="2077"/>
      <c r="P6" s="2077"/>
      <c r="Q6" s="2077"/>
      <c r="R6" s="2077"/>
      <c r="S6" s="2077"/>
    </row>
    <row r="7" spans="1:28" ht="12.2" customHeight="1" x14ac:dyDescent="0.2">
      <c r="I7" s="2126">
        <v>43646</v>
      </c>
      <c r="J7" s="2127"/>
      <c r="K7" s="2127"/>
      <c r="L7" s="2127"/>
      <c r="M7" s="2127"/>
      <c r="N7" s="2127"/>
      <c r="O7" s="2127"/>
      <c r="P7" s="2127"/>
      <c r="Q7" s="2127"/>
      <c r="R7" s="2127"/>
      <c r="S7" s="21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8" t="s">
        <v>674</v>
      </c>
      <c r="J9" s="2129"/>
      <c r="K9" s="2129"/>
      <c r="L9" s="2129"/>
      <c r="M9" s="2129"/>
      <c r="N9" s="2129"/>
      <c r="O9" s="2129"/>
      <c r="P9" s="2129"/>
      <c r="Q9" s="2129"/>
      <c r="R9" s="2129"/>
      <c r="S9" s="2130"/>
      <c r="T9" s="2073" t="s">
        <v>533</v>
      </c>
      <c r="U9" s="2074"/>
      <c r="V9" s="2074"/>
      <c r="W9" s="2074"/>
      <c r="X9" s="2074"/>
      <c r="Y9" s="2074"/>
      <c r="Z9" s="2074"/>
      <c r="AA9" s="2075"/>
    </row>
    <row r="10" spans="1:28" ht="13.5" customHeight="1" x14ac:dyDescent="0.2">
      <c r="A10" s="2082" t="s">
        <v>675</v>
      </c>
      <c r="B10" s="2083"/>
      <c r="C10" s="2083"/>
      <c r="D10" s="2083"/>
      <c r="E10" s="2083"/>
      <c r="F10" s="2083"/>
      <c r="G10" s="2083"/>
      <c r="H10" s="2084"/>
      <c r="I10" s="29"/>
      <c r="J10" s="30"/>
      <c r="K10" s="28"/>
      <c r="R10" s="30"/>
      <c r="S10" s="30"/>
      <c r="T10" s="2076"/>
      <c r="U10" s="2077"/>
      <c r="V10" s="2077"/>
      <c r="W10" s="2077"/>
      <c r="X10" s="2077"/>
      <c r="Y10" s="2077"/>
      <c r="Z10" s="2077"/>
      <c r="AA10" s="2078"/>
    </row>
    <row r="11" spans="1:28" ht="14.25" customHeight="1" x14ac:dyDescent="0.2">
      <c r="A11" s="2085" t="s">
        <v>955</v>
      </c>
      <c r="B11" s="2086"/>
      <c r="C11" s="2086"/>
      <c r="D11" s="2086"/>
      <c r="E11" s="2086"/>
      <c r="F11" s="2086"/>
      <c r="G11" s="2086"/>
      <c r="H11" s="2087"/>
      <c r="I11" s="27"/>
      <c r="J11" s="74"/>
      <c r="K11" s="27"/>
      <c r="O11" s="148" t="s">
        <v>2067</v>
      </c>
      <c r="P11" s="100" t="s">
        <v>201</v>
      </c>
      <c r="Q11" s="30"/>
      <c r="R11" s="28"/>
      <c r="S11" s="27"/>
      <c r="T11" s="2079"/>
      <c r="U11" s="2080"/>
      <c r="V11" s="2080"/>
      <c r="W11" s="2080"/>
      <c r="X11" s="2080"/>
      <c r="Y11" s="2080"/>
      <c r="Z11" s="2080"/>
      <c r="AA11" s="208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3">
        <v>49081034002</v>
      </c>
      <c r="B13" s="2094"/>
      <c r="C13" s="2094"/>
      <c r="D13" s="2094"/>
      <c r="E13" s="2094"/>
      <c r="F13" s="2094"/>
      <c r="G13" s="2094"/>
      <c r="H13" s="2095"/>
      <c r="I13" s="31"/>
      <c r="J13" s="30"/>
      <c r="K13" s="28"/>
      <c r="L13" s="30"/>
      <c r="M13" s="30"/>
      <c r="N13" s="30"/>
      <c r="O13" s="30"/>
      <c r="P13" s="30"/>
      <c r="Q13" s="30"/>
      <c r="R13" s="30"/>
      <c r="S13" s="30"/>
      <c r="T13" s="2098" t="s">
        <v>2069</v>
      </c>
      <c r="U13" s="2099"/>
      <c r="V13" s="2099"/>
      <c r="W13" s="2099"/>
      <c r="X13" s="2099"/>
      <c r="Y13" s="2100"/>
      <c r="Z13" s="2100"/>
      <c r="AA13" s="210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1" t="s">
        <v>2072</v>
      </c>
      <c r="B15" s="2096"/>
      <c r="C15" s="2096"/>
      <c r="D15" s="2096"/>
      <c r="E15" s="2096"/>
      <c r="F15" s="2096"/>
      <c r="G15" s="2096"/>
      <c r="H15" s="2097"/>
      <c r="T15" s="2059" t="s">
        <v>2078</v>
      </c>
      <c r="U15" s="2060"/>
      <c r="V15" s="2060"/>
      <c r="W15" s="2060"/>
      <c r="X15" s="2060"/>
      <c r="Y15" s="2102"/>
      <c r="Z15" s="2102"/>
      <c r="AA15" s="210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1" t="s">
        <v>2257</v>
      </c>
      <c r="B17" s="2121"/>
      <c r="C17" s="2121"/>
      <c r="D17" s="2121"/>
      <c r="E17" s="2121"/>
      <c r="F17" s="2121"/>
      <c r="G17" s="2121"/>
      <c r="H17" s="2122"/>
      <c r="T17" s="2108" t="s">
        <v>2061</v>
      </c>
      <c r="U17" s="2109"/>
      <c r="V17" s="2109"/>
      <c r="W17" s="2109"/>
      <c r="X17" s="2109"/>
      <c r="Y17" s="2109"/>
      <c r="Z17" s="2109"/>
      <c r="AA17" s="2110"/>
    </row>
    <row r="18" spans="1:27" ht="13.5" customHeight="1" x14ac:dyDescent="0.2">
      <c r="A18" s="85" t="s">
        <v>530</v>
      </c>
      <c r="B18" s="76"/>
      <c r="C18" s="72"/>
      <c r="D18" s="76"/>
      <c r="E18" s="76"/>
      <c r="F18" s="76"/>
      <c r="G18" s="76"/>
      <c r="H18" s="56"/>
      <c r="I18" s="2118" t="s">
        <v>676</v>
      </c>
      <c r="J18" s="2119"/>
      <c r="K18" s="2119"/>
      <c r="L18" s="2119"/>
      <c r="M18" s="2119"/>
      <c r="N18" s="2119"/>
      <c r="O18" s="2119"/>
      <c r="P18" s="2119"/>
      <c r="Q18" s="2119"/>
      <c r="R18" s="2119"/>
      <c r="S18" s="2120"/>
      <c r="T18" s="85" t="s">
        <v>711</v>
      </c>
      <c r="U18" s="51"/>
      <c r="V18" s="72"/>
      <c r="W18" s="50"/>
      <c r="X18" s="85" t="s">
        <v>266</v>
      </c>
      <c r="Y18" s="81"/>
      <c r="Z18" s="159" t="s">
        <v>677</v>
      </c>
      <c r="AA18" s="46"/>
    </row>
    <row r="19" spans="1:27" ht="13.5" customHeight="1" x14ac:dyDescent="0.2">
      <c r="A19" s="2091" t="s">
        <v>2074</v>
      </c>
      <c r="B19" s="2092"/>
      <c r="C19" s="2092"/>
      <c r="D19" s="2092"/>
      <c r="E19" s="2092"/>
      <c r="F19" s="2092"/>
      <c r="G19" s="2092"/>
      <c r="H19" s="2090"/>
      <c r="I19" s="30"/>
      <c r="J19" s="99"/>
      <c r="K19" s="40"/>
      <c r="L19" s="38"/>
      <c r="M19" s="112" t="s">
        <v>315</v>
      </c>
      <c r="P19" s="27"/>
      <c r="Q19" s="27"/>
      <c r="R19" s="27"/>
      <c r="S19" s="31"/>
      <c r="T19" s="2091" t="s">
        <v>2062</v>
      </c>
      <c r="U19" s="2089"/>
      <c r="V19" s="2089"/>
      <c r="W19" s="2090"/>
      <c r="X19" s="2106" t="s">
        <v>2063</v>
      </c>
      <c r="Y19" s="2107"/>
      <c r="Z19" s="2104">
        <v>61614</v>
      </c>
      <c r="AA19" s="210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88" t="s">
        <v>2075</v>
      </c>
      <c r="B21" s="2089"/>
      <c r="C21" s="2089"/>
      <c r="D21" s="2089"/>
      <c r="E21" s="2089"/>
      <c r="F21" s="2089"/>
      <c r="G21" s="2089"/>
      <c r="H21" s="2090"/>
      <c r="I21" s="2114" t="s">
        <v>678</v>
      </c>
      <c r="J21" s="2077"/>
      <c r="K21" s="2077"/>
      <c r="L21" s="2077"/>
      <c r="M21" s="2077"/>
      <c r="N21" s="2077"/>
      <c r="O21" s="2077"/>
      <c r="P21" s="2077"/>
      <c r="Q21" s="2077"/>
      <c r="R21" s="2077"/>
      <c r="S21" s="2078"/>
      <c r="T21" s="2056" t="s">
        <v>2064</v>
      </c>
      <c r="U21" s="2057"/>
      <c r="V21" s="2057"/>
      <c r="W21" s="2057"/>
      <c r="X21" s="2070" t="s">
        <v>2065</v>
      </c>
      <c r="Y21" s="2071"/>
      <c r="Z21" s="2071"/>
      <c r="AA21" s="2072"/>
    </row>
    <row r="22" spans="1:27" ht="13.5" customHeight="1" x14ac:dyDescent="0.2">
      <c r="A22" s="87" t="s">
        <v>531</v>
      </c>
      <c r="B22" s="59"/>
      <c r="C22" s="59"/>
      <c r="D22" s="59"/>
      <c r="E22" s="59"/>
      <c r="F22" s="59"/>
      <c r="G22" s="59"/>
      <c r="H22" s="60"/>
      <c r="I22" s="2115" t="s">
        <v>1429</v>
      </c>
      <c r="J22" s="2116"/>
      <c r="K22" s="2116"/>
      <c r="L22" s="2116"/>
      <c r="M22" s="2116"/>
      <c r="N22" s="2116"/>
      <c r="O22" s="2116"/>
      <c r="P22" s="2116"/>
      <c r="Q22" s="2116"/>
      <c r="R22" s="2116"/>
      <c r="S22" s="2117"/>
      <c r="T22" s="85" t="s">
        <v>1516</v>
      </c>
      <c r="U22" s="51"/>
      <c r="V22" s="72"/>
      <c r="W22" s="51"/>
      <c r="X22" s="160" t="s">
        <v>1318</v>
      </c>
      <c r="Z22" s="45"/>
      <c r="AA22" s="46"/>
    </row>
    <row r="23" spans="1:27" ht="13.5" customHeight="1" x14ac:dyDescent="0.2">
      <c r="A23" s="2111" t="s">
        <v>2076</v>
      </c>
      <c r="B23" s="2112"/>
      <c r="C23" s="2112"/>
      <c r="D23" s="2112"/>
      <c r="E23" s="2112"/>
      <c r="F23" s="2112"/>
      <c r="G23" s="2112"/>
      <c r="H23" s="2113"/>
      <c r="T23" s="2051" t="s">
        <v>2066</v>
      </c>
      <c r="U23" s="2052"/>
      <c r="V23" s="2052"/>
      <c r="W23" s="2052"/>
      <c r="X23" s="2067">
        <v>44501</v>
      </c>
      <c r="Y23" s="2068"/>
      <c r="Z23" s="2068"/>
      <c r="AA23" s="2069"/>
    </row>
    <row r="24" spans="1:27" ht="14.1" customHeight="1" x14ac:dyDescent="0.2">
      <c r="A24" s="88" t="s">
        <v>677</v>
      </c>
      <c r="B24" s="49"/>
      <c r="C24" s="49"/>
      <c r="D24" s="49"/>
      <c r="E24" s="49"/>
      <c r="F24" s="49"/>
      <c r="G24" s="49"/>
      <c r="H24" s="61"/>
      <c r="J24" s="2153">
        <f>IF(B5="x",IF(AUDITCHECK!D29="AFR form Incomplete.","",IF(AUDITCHECK!D29="Deficit reduction plan is required.","School District must complete a deficit reduction plan in the 2019-2020 Budget",)),"")</f>
        <v>0</v>
      </c>
      <c r="K24" s="2153"/>
      <c r="L24" s="2153"/>
      <c r="M24" s="2153"/>
      <c r="N24" s="2153"/>
      <c r="O24" s="2153"/>
      <c r="P24" s="2153"/>
      <c r="Q24" s="2153"/>
      <c r="R24" s="2153"/>
      <c r="S24" s="2154"/>
      <c r="T24" s="105" t="s">
        <v>531</v>
      </c>
      <c r="U24" s="106"/>
      <c r="V24" s="106"/>
      <c r="W24" s="106"/>
      <c r="X24" s="107"/>
      <c r="Y24" s="107"/>
      <c r="Z24" s="107"/>
      <c r="AA24" s="108"/>
    </row>
    <row r="25" spans="1:27" ht="14.1" customHeight="1" x14ac:dyDescent="0.2">
      <c r="A25" s="2088">
        <v>61244</v>
      </c>
      <c r="B25" s="2089"/>
      <c r="C25" s="2089"/>
      <c r="D25" s="2089"/>
      <c r="E25" s="2089"/>
      <c r="F25" s="2089"/>
      <c r="G25" s="2089"/>
      <c r="H25" s="2090"/>
      <c r="I25" s="113"/>
      <c r="J25" s="2155"/>
      <c r="K25" s="2155"/>
      <c r="L25" s="2155"/>
      <c r="M25" s="2155"/>
      <c r="N25" s="2155"/>
      <c r="O25" s="2155"/>
      <c r="P25" s="2155"/>
      <c r="Q25" s="2155"/>
      <c r="R25" s="2155"/>
      <c r="S25" s="2156"/>
      <c r="T25" s="2048" t="s">
        <v>2079</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46" t="s">
        <v>1511</v>
      </c>
      <c r="J27" s="2119"/>
      <c r="K27" s="2119"/>
      <c r="L27" s="2119"/>
      <c r="M27" s="2119"/>
      <c r="N27" s="2119"/>
      <c r="O27" s="2119"/>
      <c r="P27" s="2119"/>
      <c r="Q27" s="2119"/>
      <c r="R27" s="2119"/>
      <c r="S27" s="21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92"/>
      <c r="Q35" s="2089"/>
      <c r="R35" s="20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1" t="s">
        <v>2077</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531</v>
      </c>
      <c r="B39" s="2145"/>
      <c r="C39" s="72"/>
      <c r="D39" s="69"/>
      <c r="E39" s="69"/>
      <c r="F39" s="79"/>
      <c r="G39" s="69"/>
      <c r="H39" s="56"/>
      <c r="I39" s="2144" t="s">
        <v>531</v>
      </c>
      <c r="J39" s="2145"/>
      <c r="K39" s="2145"/>
      <c r="L39" s="2145"/>
      <c r="M39" s="2145"/>
      <c r="N39" s="67"/>
      <c r="O39" s="72"/>
      <c r="P39" s="72"/>
      <c r="Q39" s="78"/>
      <c r="R39" s="72"/>
      <c r="S39" s="56"/>
      <c r="T39" s="72" t="s">
        <v>531</v>
      </c>
      <c r="U39" s="51"/>
      <c r="V39" s="72"/>
      <c r="W39" s="50"/>
      <c r="X39" s="78"/>
      <c r="Y39" s="45"/>
      <c r="Z39" s="45"/>
      <c r="AA39" s="46"/>
    </row>
    <row r="40" spans="1:27" ht="13.5" customHeight="1" x14ac:dyDescent="0.2">
      <c r="A40" s="2147" t="s">
        <v>2076</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37">
        <v>3097929325</v>
      </c>
      <c r="B42" s="2138"/>
      <c r="C42" s="2139"/>
      <c r="D42" s="2152">
        <v>3092031322</v>
      </c>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90" t="s">
        <v>1799</v>
      </c>
      <c r="B2" s="1525" t="s">
        <v>1948</v>
      </c>
      <c r="C2" s="711" t="s">
        <v>1949</v>
      </c>
      <c r="D2" s="711" t="s">
        <v>1950</v>
      </c>
      <c r="E2" s="711" t="s">
        <v>1951</v>
      </c>
      <c r="F2" s="711" t="s">
        <v>1952</v>
      </c>
    </row>
    <row r="3" spans="1:6" ht="12" customHeight="1" x14ac:dyDescent="0.2">
      <c r="A3" s="2291"/>
      <c r="B3" s="1522"/>
      <c r="C3" s="1523"/>
      <c r="D3" s="1524" t="s">
        <v>256</v>
      </c>
      <c r="E3" s="1523"/>
      <c r="F3" s="1524" t="s">
        <v>257</v>
      </c>
    </row>
    <row r="4" spans="1:6" ht="13.7" customHeight="1" x14ac:dyDescent="0.2">
      <c r="A4" s="712" t="s">
        <v>1155</v>
      </c>
      <c r="B4" s="1746">
        <f>'Revenues 9-14'!C5</f>
        <v>2007697</v>
      </c>
      <c r="C4" s="1521">
        <v>806490</v>
      </c>
      <c r="D4" s="1749">
        <f>B4-C4</f>
        <v>1201207</v>
      </c>
      <c r="E4" s="1521">
        <v>2031319</v>
      </c>
      <c r="F4" s="1749">
        <f>E4-C4</f>
        <v>1224829</v>
      </c>
    </row>
    <row r="5" spans="1:6" ht="13.7" customHeight="1" x14ac:dyDescent="0.2">
      <c r="A5" s="712" t="s">
        <v>870</v>
      </c>
      <c r="B5" s="1747">
        <f>'Revenues 9-14'!D5</f>
        <v>191574</v>
      </c>
      <c r="C5" s="582">
        <v>76955</v>
      </c>
      <c r="D5" s="1750">
        <f t="shared" ref="D5:D18" si="0">B5-C5</f>
        <v>114619</v>
      </c>
      <c r="E5" s="582">
        <v>193828</v>
      </c>
      <c r="F5" s="1750">
        <f>E5-C5</f>
        <v>116873</v>
      </c>
    </row>
    <row r="6" spans="1:6" ht="13.7" customHeight="1" x14ac:dyDescent="0.2">
      <c r="A6" s="712" t="s">
        <v>411</v>
      </c>
      <c r="B6" s="1747">
        <f>'Revenues 9-14'!E5</f>
        <v>403249</v>
      </c>
      <c r="C6" s="582">
        <v>139443</v>
      </c>
      <c r="D6" s="1750">
        <f t="shared" si="0"/>
        <v>263806</v>
      </c>
      <c r="E6" s="582">
        <v>351217</v>
      </c>
      <c r="F6" s="1750">
        <f t="shared" ref="F6:F18" si="1">E6-C6</f>
        <v>211774</v>
      </c>
    </row>
    <row r="7" spans="1:6" ht="13.7" customHeight="1" x14ac:dyDescent="0.2">
      <c r="A7" s="712" t="s">
        <v>155</v>
      </c>
      <c r="B7" s="1747">
        <f>'Revenues 9-14'!F5</f>
        <v>91955</v>
      </c>
      <c r="C7" s="582">
        <v>36938</v>
      </c>
      <c r="D7" s="1750">
        <f t="shared" si="0"/>
        <v>55017</v>
      </c>
      <c r="E7" s="582">
        <v>93037</v>
      </c>
      <c r="F7" s="1750">
        <f t="shared" si="1"/>
        <v>56099</v>
      </c>
    </row>
    <row r="8" spans="1:6" ht="13.7" customHeight="1" x14ac:dyDescent="0.2">
      <c r="A8" s="712" t="s">
        <v>1179</v>
      </c>
      <c r="B8" s="1747">
        <f>'Revenues 9-14'!G5</f>
        <v>60597</v>
      </c>
      <c r="C8" s="582">
        <v>28073</v>
      </c>
      <c r="D8" s="1750">
        <f t="shared" si="0"/>
        <v>32524</v>
      </c>
      <c r="E8" s="582">
        <v>70708</v>
      </c>
      <c r="F8" s="1750">
        <f t="shared" si="1"/>
        <v>42635</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38315</v>
      </c>
      <c r="C10" s="582">
        <v>15391</v>
      </c>
      <c r="D10" s="1750">
        <f t="shared" si="0"/>
        <v>22924</v>
      </c>
      <c r="E10" s="582">
        <v>38766</v>
      </c>
      <c r="F10" s="1750">
        <f t="shared" si="1"/>
        <v>23375</v>
      </c>
    </row>
    <row r="11" spans="1:6" x14ac:dyDescent="0.2">
      <c r="A11" s="712" t="s">
        <v>409</v>
      </c>
      <c r="B11" s="1747">
        <f>'Revenues 9-14'!J5</f>
        <v>144364</v>
      </c>
      <c r="C11" s="582">
        <v>56146</v>
      </c>
      <c r="D11" s="1750">
        <f t="shared" si="0"/>
        <v>88218</v>
      </c>
      <c r="E11" s="582">
        <v>141417</v>
      </c>
      <c r="F11" s="1750">
        <f t="shared" si="1"/>
        <v>85271</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15325</v>
      </c>
      <c r="C14" s="582">
        <v>6156</v>
      </c>
      <c r="D14" s="1750">
        <f t="shared" si="0"/>
        <v>9169</v>
      </c>
      <c r="E14" s="582">
        <v>15506</v>
      </c>
      <c r="F14" s="1750">
        <f t="shared" si="1"/>
        <v>9350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117332</v>
      </c>
      <c r="C16" s="582">
        <v>37431</v>
      </c>
      <c r="D16" s="1750">
        <f t="shared" si="0"/>
        <v>79901</v>
      </c>
      <c r="E16" s="582">
        <v>94278</v>
      </c>
      <c r="F16" s="1750">
        <f t="shared" si="1"/>
        <v>56847</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3070408</v>
      </c>
      <c r="C19" s="1748">
        <f>SUM(C4:C18)</f>
        <v>1203023</v>
      </c>
      <c r="D19" s="1748">
        <f>SUM(D4:D18)</f>
        <v>1867385</v>
      </c>
      <c r="E19" s="1748">
        <f>SUM(E4:E18)</f>
        <v>3030076</v>
      </c>
      <c r="F19" s="1748">
        <f>SUM(F4:F18)</f>
        <v>1827053</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6" t="s">
        <v>629</v>
      </c>
      <c r="B1" s="2297"/>
      <c r="C1" s="718"/>
    </row>
    <row r="2" spans="1:7" ht="33.75" x14ac:dyDescent="0.2">
      <c r="A2" s="2305" t="s">
        <v>1799</v>
      </c>
      <c r="B2" s="2306"/>
      <c r="C2" s="1881" t="s">
        <v>1953</v>
      </c>
      <c r="D2" s="720" t="s">
        <v>1954</v>
      </c>
      <c r="E2" s="720" t="s">
        <v>1955</v>
      </c>
      <c r="F2" s="1881" t="s">
        <v>1956</v>
      </c>
    </row>
    <row r="3" spans="1:7" ht="15.75" customHeight="1" x14ac:dyDescent="0.2">
      <c r="A3" s="2309" t="s">
        <v>1114</v>
      </c>
      <c r="B3" s="2310"/>
      <c r="C3" s="2298"/>
      <c r="D3" s="2299"/>
      <c r="E3" s="2299"/>
      <c r="F3" s="2300"/>
    </row>
    <row r="4" spans="1:7" ht="12.75" customHeight="1" thickBot="1" x14ac:dyDescent="0.25">
      <c r="A4" s="2307" t="s">
        <v>630</v>
      </c>
      <c r="B4" s="2308"/>
      <c r="C4" s="578"/>
      <c r="D4" s="578"/>
      <c r="E4" s="578"/>
      <c r="F4" s="1752">
        <f>SUM(C4+D4)-E4</f>
        <v>0</v>
      </c>
    </row>
    <row r="5" spans="1:7" ht="15.75" customHeight="1" thickTop="1" x14ac:dyDescent="0.2">
      <c r="A5" s="2292" t="s">
        <v>1110</v>
      </c>
      <c r="B5" s="2293"/>
      <c r="C5" s="2301"/>
      <c r="D5" s="2302"/>
      <c r="E5" s="2302"/>
      <c r="F5" s="230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94" t="s">
        <v>631</v>
      </c>
      <c r="B15" s="2295"/>
      <c r="C15" s="1752">
        <f>SUM(C6:C14)</f>
        <v>0</v>
      </c>
      <c r="D15" s="1752">
        <f>SUM(D6:D14)</f>
        <v>0</v>
      </c>
      <c r="E15" s="1752">
        <f>SUM(E6:E14)</f>
        <v>0</v>
      </c>
      <c r="F15" s="1752">
        <f>SUM(F6:F14)</f>
        <v>0</v>
      </c>
      <c r="G15" s="549"/>
    </row>
    <row r="16" spans="1:7" s="202" customFormat="1" ht="15.75" customHeight="1" thickTop="1" x14ac:dyDescent="0.2">
      <c r="A16" s="2304" t="s">
        <v>1111</v>
      </c>
      <c r="B16" s="2293"/>
      <c r="C16" s="2301"/>
      <c r="D16" s="2302"/>
      <c r="E16" s="2302"/>
      <c r="F16" s="2303"/>
    </row>
    <row r="17" spans="1:11" ht="12.75" customHeight="1" thickBot="1" x14ac:dyDescent="0.25">
      <c r="A17" s="2317" t="s">
        <v>64</v>
      </c>
      <c r="B17" s="2318"/>
      <c r="C17" s="723"/>
      <c r="D17" s="582"/>
      <c r="E17" s="723"/>
      <c r="F17" s="1752">
        <f>SUM(C17+D17)-E17</f>
        <v>0</v>
      </c>
    </row>
    <row r="18" spans="1:11" ht="12.75" customHeight="1" thickTop="1" thickBot="1" x14ac:dyDescent="0.25">
      <c r="A18" s="2317" t="s">
        <v>6</v>
      </c>
      <c r="B18" s="2318"/>
      <c r="C18" s="723"/>
      <c r="D18" s="582"/>
      <c r="E18" s="723"/>
      <c r="F18" s="1752">
        <f>SUM(C18+D18)-E18</f>
        <v>0</v>
      </c>
    </row>
    <row r="19" spans="1:11" ht="12.75" customHeight="1" thickTop="1" thickBot="1" x14ac:dyDescent="0.25">
      <c r="A19" s="2317" t="s">
        <v>388</v>
      </c>
      <c r="B19" s="2318"/>
      <c r="C19" s="723"/>
      <c r="D19" s="582"/>
      <c r="E19" s="723"/>
      <c r="F19" s="1752">
        <f>SUM(C19+D19)-E19</f>
        <v>0</v>
      </c>
    </row>
    <row r="20" spans="1:11" ht="12.75" customHeight="1" thickTop="1" thickBot="1" x14ac:dyDescent="0.25">
      <c r="A20" s="2317" t="s">
        <v>448</v>
      </c>
      <c r="B20" s="2318"/>
      <c r="C20" s="723"/>
      <c r="D20" s="582"/>
      <c r="E20" s="723"/>
      <c r="F20" s="1752">
        <f>SUM(C20+D20)-E20</f>
        <v>0</v>
      </c>
    </row>
    <row r="21" spans="1:11" ht="14.25" thickTop="1" thickBot="1" x14ac:dyDescent="0.25">
      <c r="A21" s="2294" t="s">
        <v>632</v>
      </c>
      <c r="B21" s="2295"/>
      <c r="C21" s="1752">
        <f>SUM(C17:C20)</f>
        <v>0</v>
      </c>
      <c r="D21" s="1752">
        <f>SUM(D17:D20)</f>
        <v>0</v>
      </c>
      <c r="E21" s="1752">
        <f>SUM(E17:E20)</f>
        <v>0</v>
      </c>
      <c r="F21" s="1752">
        <f>SUM(F17:F20)</f>
        <v>0</v>
      </c>
      <c r="G21" s="549"/>
    </row>
    <row r="22" spans="1:11" ht="15.75" customHeight="1" thickTop="1" x14ac:dyDescent="0.2">
      <c r="A22" s="2319" t="s">
        <v>1112</v>
      </c>
      <c r="B22" s="2293"/>
      <c r="C22" s="2301"/>
      <c r="D22" s="2302"/>
      <c r="E22" s="2302"/>
      <c r="F22" s="2303"/>
    </row>
    <row r="23" spans="1:11" ht="13.5" thickBot="1" x14ac:dyDescent="0.25">
      <c r="A23" s="2307" t="s">
        <v>633</v>
      </c>
      <c r="B23" s="2308"/>
      <c r="C23" s="578"/>
      <c r="D23" s="578"/>
      <c r="E23" s="578"/>
      <c r="F23" s="1752">
        <f>SUM(C23+D23)-E23</f>
        <v>0</v>
      </c>
      <c r="G23" s="549"/>
    </row>
    <row r="24" spans="1:11" ht="15.75" customHeight="1" thickTop="1" x14ac:dyDescent="0.2">
      <c r="A24" s="2319" t="s">
        <v>1113</v>
      </c>
      <c r="B24" s="2293"/>
      <c r="C24" s="2301"/>
      <c r="D24" s="2302"/>
      <c r="E24" s="2302"/>
      <c r="F24" s="2303"/>
    </row>
    <row r="25" spans="1:11" ht="13.5" thickBot="1" x14ac:dyDescent="0.25">
      <c r="A25" s="2307" t="s">
        <v>634</v>
      </c>
      <c r="B25" s="2308"/>
      <c r="C25" s="578"/>
      <c r="D25" s="578"/>
      <c r="E25" s="578"/>
      <c r="F25" s="1752">
        <f>SUM(C25+D25)-E25</f>
        <v>0</v>
      </c>
      <c r="G25" s="549"/>
    </row>
    <row r="26" spans="1:11" ht="15.75" customHeight="1" thickTop="1" x14ac:dyDescent="0.2">
      <c r="A26" s="2292" t="s">
        <v>657</v>
      </c>
      <c r="B26" s="2293"/>
      <c r="C26" s="724"/>
      <c r="D26" s="724"/>
      <c r="E26" s="724"/>
      <c r="F26" s="725"/>
    </row>
    <row r="27" spans="1:11" ht="13.5" thickBot="1" x14ac:dyDescent="0.25">
      <c r="A27" s="2294" t="s">
        <v>1070</v>
      </c>
      <c r="B27" s="2295"/>
      <c r="C27" s="582"/>
      <c r="D27" s="582"/>
      <c r="E27" s="582"/>
      <c r="F27" s="1752">
        <f>SUM(C27+D27)-E27</f>
        <v>0</v>
      </c>
      <c r="G27" s="549"/>
    </row>
    <row r="28" spans="1:11" ht="7.5" customHeight="1" thickTop="1" x14ac:dyDescent="0.2">
      <c r="A28" s="590"/>
    </row>
    <row r="29" spans="1:11" ht="23.25" customHeight="1" x14ac:dyDescent="0.2">
      <c r="A29" s="2320" t="s">
        <v>582</v>
      </c>
      <c r="B29" s="2297"/>
      <c r="C29" s="726"/>
      <c r="D29" s="726"/>
      <c r="E29" s="726"/>
      <c r="F29" s="726"/>
      <c r="G29" s="726"/>
      <c r="H29" s="726"/>
      <c r="I29" s="726"/>
      <c r="J29" s="726"/>
    </row>
    <row r="30" spans="1:11" ht="33.75" x14ac:dyDescent="0.2">
      <c r="A30" s="1526" t="s">
        <v>1071</v>
      </c>
      <c r="B30" s="727" t="s">
        <v>1124</v>
      </c>
      <c r="C30" s="1882" t="s">
        <v>583</v>
      </c>
      <c r="D30" s="1882" t="s">
        <v>1673</v>
      </c>
      <c r="E30" s="1882" t="s">
        <v>1957</v>
      </c>
      <c r="F30" s="1882" t="s">
        <v>1958</v>
      </c>
      <c r="G30" s="1882" t="s">
        <v>1908</v>
      </c>
      <c r="H30" s="1882" t="s">
        <v>1959</v>
      </c>
      <c r="I30" s="1882" t="s">
        <v>1960</v>
      </c>
      <c r="J30" s="1883" t="s">
        <v>2</v>
      </c>
      <c r="K30" s="728"/>
    </row>
    <row r="31" spans="1:11" ht="12" customHeight="1" x14ac:dyDescent="0.2">
      <c r="A31" s="729" t="s">
        <v>2080</v>
      </c>
      <c r="B31" s="730">
        <v>39600</v>
      </c>
      <c r="C31" s="731">
        <v>750000</v>
      </c>
      <c r="D31" s="732">
        <v>1</v>
      </c>
      <c r="E31" s="731">
        <v>95000</v>
      </c>
      <c r="F31" s="731"/>
      <c r="G31" s="731"/>
      <c r="H31" s="731">
        <v>95000</v>
      </c>
      <c r="I31" s="1753">
        <f>((E31+F31)-H31)+G31</f>
        <v>0</v>
      </c>
      <c r="J31" s="731">
        <v>0</v>
      </c>
      <c r="K31" s="733"/>
    </row>
    <row r="32" spans="1:11" ht="12" customHeight="1" x14ac:dyDescent="0.2">
      <c r="A32" s="729" t="s">
        <v>2081</v>
      </c>
      <c r="B32" s="730">
        <v>40603</v>
      </c>
      <c r="C32" s="731">
        <v>3500000</v>
      </c>
      <c r="D32" s="732">
        <v>4</v>
      </c>
      <c r="E32" s="731">
        <v>3090000</v>
      </c>
      <c r="F32" s="731"/>
      <c r="G32" s="731"/>
      <c r="H32" s="731">
        <v>80000</v>
      </c>
      <c r="I32" s="1753">
        <f>((E32+F32)-H32)+G32</f>
        <v>3010000</v>
      </c>
      <c r="J32" s="731">
        <f>3010000-158966</f>
        <v>2851034</v>
      </c>
      <c r="K32" s="733"/>
    </row>
    <row r="33" spans="1:11" ht="12" customHeight="1" x14ac:dyDescent="0.2">
      <c r="A33" s="729" t="s">
        <v>2082</v>
      </c>
      <c r="B33" s="730">
        <v>42416</v>
      </c>
      <c r="C33" s="731">
        <v>125000</v>
      </c>
      <c r="D33" s="732">
        <v>4</v>
      </c>
      <c r="E33" s="731">
        <v>84000</v>
      </c>
      <c r="F33" s="731"/>
      <c r="G33" s="731"/>
      <c r="H33" s="731">
        <v>84000</v>
      </c>
      <c r="I33" s="1753">
        <f t="shared" ref="I33:I48" si="1">((E33+F33)-H33)+G33</f>
        <v>0</v>
      </c>
      <c r="J33" s="731">
        <v>0</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4375000</v>
      </c>
      <c r="D49" s="742"/>
      <c r="E49" s="1753">
        <f t="shared" ref="E49:J49" si="2">SUM(E31:E48)</f>
        <v>3269000</v>
      </c>
      <c r="F49" s="1753">
        <f t="shared" si="2"/>
        <v>0</v>
      </c>
      <c r="G49" s="1753">
        <f t="shared" si="2"/>
        <v>0</v>
      </c>
      <c r="H49" s="1753">
        <f t="shared" si="2"/>
        <v>259000</v>
      </c>
      <c r="I49" s="1753">
        <f t="shared" si="2"/>
        <v>3010000</v>
      </c>
      <c r="J49" s="1753">
        <f t="shared" si="2"/>
        <v>2851034</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11" t="s">
        <v>584</v>
      </c>
      <c r="C52" s="2312"/>
      <c r="D52" s="2312"/>
      <c r="E52" s="746" t="s">
        <v>845</v>
      </c>
      <c r="F52" s="2313"/>
      <c r="G52" s="2314"/>
      <c r="H52" s="733"/>
      <c r="I52" s="733"/>
      <c r="J52" s="743"/>
    </row>
    <row r="53" spans="1:11" ht="11.25" customHeight="1" x14ac:dyDescent="0.2">
      <c r="A53" s="747" t="s">
        <v>913</v>
      </c>
      <c r="B53" s="748" t="s">
        <v>951</v>
      </c>
      <c r="C53" s="743"/>
      <c r="D53" s="734"/>
      <c r="E53" s="746" t="s">
        <v>497</v>
      </c>
      <c r="F53" s="2315"/>
      <c r="G53" s="2316"/>
      <c r="H53" s="733"/>
      <c r="I53" s="733"/>
      <c r="J53" s="743"/>
    </row>
    <row r="54" spans="1:11" ht="11.25" customHeight="1" x14ac:dyDescent="0.2">
      <c r="A54" s="749" t="s">
        <v>914</v>
      </c>
      <c r="B54" s="744" t="s">
        <v>952</v>
      </c>
      <c r="C54" s="743"/>
      <c r="D54" s="734"/>
      <c r="E54" s="746" t="s">
        <v>498</v>
      </c>
      <c r="F54" s="2315"/>
      <c r="G54" s="231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5" t="s">
        <v>856</v>
      </c>
      <c r="B1" s="2346"/>
      <c r="C1" s="2346"/>
      <c r="D1" s="2346"/>
      <c r="E1" s="2346"/>
      <c r="F1" s="2346"/>
      <c r="G1" s="2347"/>
      <c r="H1" s="1527"/>
      <c r="I1" s="757"/>
      <c r="J1" s="433"/>
    </row>
    <row r="2" spans="1:11" ht="26.25" x14ac:dyDescent="0.2">
      <c r="A2" s="2324" t="s">
        <v>1677</v>
      </c>
      <c r="B2" s="2325"/>
      <c r="C2" s="2325"/>
      <c r="D2" s="2325"/>
      <c r="E2" s="2326"/>
      <c r="F2" s="758" t="s">
        <v>904</v>
      </c>
      <c r="G2" s="759" t="s">
        <v>1674</v>
      </c>
      <c r="H2" s="759" t="s">
        <v>410</v>
      </c>
      <c r="I2" s="759" t="s">
        <v>1158</v>
      </c>
      <c r="J2" s="759" t="s">
        <v>1809</v>
      </c>
      <c r="K2" s="759" t="s">
        <v>138</v>
      </c>
    </row>
    <row r="3" spans="1:11" x14ac:dyDescent="0.2">
      <c r="A3" s="2327" t="s">
        <v>1961</v>
      </c>
      <c r="B3" s="2328"/>
      <c r="C3" s="2328"/>
      <c r="D3" s="2328"/>
      <c r="E3" s="2329"/>
      <c r="F3" s="760"/>
      <c r="G3" s="761"/>
      <c r="H3" s="761"/>
      <c r="I3" s="761"/>
      <c r="J3" s="762">
        <v>223621</v>
      </c>
      <c r="K3" s="762"/>
    </row>
    <row r="4" spans="1:11" x14ac:dyDescent="0.2">
      <c r="A4" s="2330" t="s">
        <v>369</v>
      </c>
      <c r="B4" s="2331"/>
      <c r="C4" s="2331"/>
      <c r="D4" s="2331"/>
      <c r="E4" s="2312"/>
      <c r="F4" s="763"/>
      <c r="G4" s="764"/>
      <c r="H4" s="765"/>
      <c r="I4" s="764"/>
      <c r="J4" s="766"/>
      <c r="K4" s="766"/>
    </row>
    <row r="5" spans="1:11" x14ac:dyDescent="0.2">
      <c r="A5" s="2348" t="s">
        <v>1069</v>
      </c>
      <c r="B5" s="2321"/>
      <c r="C5" s="2321"/>
      <c r="D5" s="2321"/>
      <c r="E5" s="2349"/>
      <c r="F5" s="767" t="s">
        <v>848</v>
      </c>
      <c r="G5" s="768"/>
      <c r="H5" s="761">
        <v>15325</v>
      </c>
      <c r="I5" s="769"/>
      <c r="J5" s="770"/>
      <c r="K5" s="770"/>
    </row>
    <row r="6" spans="1:11" x14ac:dyDescent="0.2">
      <c r="A6" s="771" t="s">
        <v>720</v>
      </c>
      <c r="B6" s="772"/>
      <c r="C6" s="772"/>
      <c r="D6" s="772"/>
      <c r="E6" s="773"/>
      <c r="F6" s="774" t="s">
        <v>849</v>
      </c>
      <c r="G6" s="761"/>
      <c r="H6" s="761">
        <v>11</v>
      </c>
      <c r="I6" s="761"/>
      <c r="J6" s="762">
        <v>4232</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337660</v>
      </c>
      <c r="K8" s="766"/>
    </row>
    <row r="9" spans="1:11" x14ac:dyDescent="0.2">
      <c r="A9" s="775" t="s">
        <v>138</v>
      </c>
      <c r="B9" s="776"/>
      <c r="C9" s="776"/>
      <c r="D9" s="776"/>
      <c r="E9" s="777"/>
      <c r="F9" s="774" t="s">
        <v>853</v>
      </c>
      <c r="G9" s="779"/>
      <c r="H9" s="768"/>
      <c r="I9" s="768"/>
      <c r="J9" s="778"/>
      <c r="K9" s="762"/>
    </row>
    <row r="10" spans="1:11" x14ac:dyDescent="0.2">
      <c r="A10" s="2348" t="s">
        <v>1810</v>
      </c>
      <c r="B10" s="2321"/>
      <c r="C10" s="2321"/>
      <c r="D10" s="2321"/>
      <c r="E10" s="2350"/>
      <c r="F10" s="780" t="s">
        <v>862</v>
      </c>
      <c r="G10" s="779"/>
      <c r="H10" s="781"/>
      <c r="I10" s="761"/>
      <c r="J10" s="762"/>
      <c r="K10" s="762"/>
    </row>
    <row r="11" spans="1:11" x14ac:dyDescent="0.2">
      <c r="A11" s="2348" t="s">
        <v>160</v>
      </c>
      <c r="B11" s="2321"/>
      <c r="C11" s="2321"/>
      <c r="D11" s="2321"/>
      <c r="E11" s="2349"/>
      <c r="F11" s="767" t="s">
        <v>852</v>
      </c>
      <c r="G11" s="768"/>
      <c r="H11" s="761"/>
      <c r="I11" s="761"/>
      <c r="J11" s="762"/>
      <c r="K11" s="770"/>
    </row>
    <row r="12" spans="1:11" ht="13.5" thickBot="1" x14ac:dyDescent="0.25">
      <c r="A12" s="2338" t="s">
        <v>905</v>
      </c>
      <c r="B12" s="2339"/>
      <c r="C12" s="2339"/>
      <c r="D12" s="2339"/>
      <c r="E12" s="2340"/>
      <c r="F12" s="1754"/>
      <c r="G12" s="1755">
        <f>SUM(G5:G11)</f>
        <v>0</v>
      </c>
      <c r="H12" s="1755">
        <f>SUM(H5:H11)</f>
        <v>15336</v>
      </c>
      <c r="I12" s="1755">
        <f>SUM(I5:I11)</f>
        <v>0</v>
      </c>
      <c r="J12" s="1755">
        <f>SUM(J5:J11)</f>
        <v>341892</v>
      </c>
      <c r="K12" s="1755">
        <f>SUM(K5:K11)</f>
        <v>0</v>
      </c>
    </row>
    <row r="13" spans="1:11" ht="13.5" thickTop="1" x14ac:dyDescent="0.2">
      <c r="A13" s="2332" t="s">
        <v>370</v>
      </c>
      <c r="B13" s="2333"/>
      <c r="C13" s="2333"/>
      <c r="D13" s="2333"/>
      <c r="E13" s="2334"/>
      <c r="F13" s="782"/>
      <c r="G13" s="783"/>
      <c r="H13" s="784"/>
      <c r="I13" s="785"/>
      <c r="J13" s="785"/>
      <c r="K13" s="785"/>
    </row>
    <row r="14" spans="1:11" x14ac:dyDescent="0.2">
      <c r="A14" s="2354" t="s">
        <v>456</v>
      </c>
      <c r="B14" s="2354"/>
      <c r="C14" s="2354"/>
      <c r="D14" s="2354"/>
      <c r="E14" s="2355"/>
      <c r="F14" s="786" t="s">
        <v>854</v>
      </c>
      <c r="G14" s="779"/>
      <c r="H14" s="761">
        <v>15336</v>
      </c>
      <c r="I14" s="768"/>
      <c r="J14" s="770"/>
      <c r="K14" s="762"/>
    </row>
    <row r="15" spans="1:11" x14ac:dyDescent="0.2">
      <c r="A15" s="2321" t="s">
        <v>4</v>
      </c>
      <c r="B15" s="2321"/>
      <c r="C15" s="2321"/>
      <c r="D15" s="2321"/>
      <c r="E15" s="2349"/>
      <c r="F15" s="786" t="s">
        <v>855</v>
      </c>
      <c r="G15" s="768"/>
      <c r="H15" s="761"/>
      <c r="I15" s="761"/>
      <c r="J15" s="762">
        <v>90493</v>
      </c>
      <c r="K15" s="762"/>
    </row>
    <row r="16" spans="1:11" x14ac:dyDescent="0.2">
      <c r="A16" s="2321" t="s">
        <v>298</v>
      </c>
      <c r="B16" s="2321"/>
      <c r="C16" s="2321"/>
      <c r="D16" s="2321"/>
      <c r="E16" s="2349"/>
      <c r="F16" s="786" t="s">
        <v>923</v>
      </c>
      <c r="G16" s="769"/>
      <c r="H16" s="764"/>
      <c r="I16" s="764"/>
      <c r="J16" s="766"/>
      <c r="K16" s="766"/>
    </row>
    <row r="17" spans="1:11" x14ac:dyDescent="0.2">
      <c r="A17" s="2343" t="s">
        <v>935</v>
      </c>
      <c r="B17" s="2343"/>
      <c r="C17" s="2343"/>
      <c r="D17" s="2343"/>
      <c r="E17" s="2344"/>
      <c r="F17" s="787"/>
      <c r="G17" s="788"/>
      <c r="H17" s="789"/>
      <c r="I17" s="789"/>
      <c r="J17" s="790"/>
      <c r="K17" s="791"/>
    </row>
    <row r="18" spans="1:11" x14ac:dyDescent="0.2">
      <c r="A18" s="2335" t="s">
        <v>368</v>
      </c>
      <c r="B18" s="2336"/>
      <c r="C18" s="2336"/>
      <c r="D18" s="2336"/>
      <c r="E18" s="2337"/>
      <c r="F18" s="786" t="s">
        <v>932</v>
      </c>
      <c r="G18" s="779"/>
      <c r="H18" s="779"/>
      <c r="I18" s="779"/>
      <c r="J18" s="762"/>
      <c r="K18" s="792"/>
    </row>
    <row r="19" spans="1:11" ht="21.75" customHeight="1" x14ac:dyDescent="0.2">
      <c r="A19" s="2356" t="s">
        <v>1806</v>
      </c>
      <c r="B19" s="2356"/>
      <c r="C19" s="2356"/>
      <c r="D19" s="2356"/>
      <c r="E19" s="2357"/>
      <c r="F19" s="786" t="s">
        <v>933</v>
      </c>
      <c r="G19" s="779"/>
      <c r="H19" s="779"/>
      <c r="I19" s="779"/>
      <c r="J19" s="762"/>
      <c r="K19" s="792"/>
    </row>
    <row r="20" spans="1:11" x14ac:dyDescent="0.2">
      <c r="A20" s="2335" t="s">
        <v>1811</v>
      </c>
      <c r="B20" s="2336"/>
      <c r="C20" s="2336"/>
      <c r="D20" s="2336"/>
      <c r="E20" s="2337"/>
      <c r="F20" s="786" t="s">
        <v>934</v>
      </c>
      <c r="G20" s="779"/>
      <c r="H20" s="779"/>
      <c r="I20" s="779"/>
      <c r="J20" s="762"/>
      <c r="K20" s="792"/>
    </row>
    <row r="21" spans="1:11" ht="13.5" thickBot="1" x14ac:dyDescent="0.25">
      <c r="A21" s="2341" t="s">
        <v>638</v>
      </c>
      <c r="B21" s="2341"/>
      <c r="C21" s="2341"/>
      <c r="D21" s="2341"/>
      <c r="E21" s="2341"/>
      <c r="F21" s="1756"/>
      <c r="G21" s="789"/>
      <c r="H21" s="793"/>
      <c r="I21" s="793"/>
      <c r="J21" s="1757">
        <f>SUM(J18:J20)</f>
        <v>0</v>
      </c>
      <c r="K21" s="790"/>
    </row>
    <row r="22" spans="1:11" ht="13.5" thickTop="1" x14ac:dyDescent="0.2">
      <c r="A22" s="2321" t="s">
        <v>1812</v>
      </c>
      <c r="B22" s="2321"/>
      <c r="C22" s="2321"/>
      <c r="D22" s="2321"/>
      <c r="E22" s="2349"/>
      <c r="F22" s="786" t="s">
        <v>862</v>
      </c>
      <c r="G22" s="779"/>
      <c r="H22" s="761"/>
      <c r="I22" s="761"/>
      <c r="J22" s="794"/>
      <c r="K22" s="762"/>
    </row>
    <row r="23" spans="1:11" ht="13.5" thickBot="1" x14ac:dyDescent="0.25">
      <c r="A23" s="2342" t="s">
        <v>906</v>
      </c>
      <c r="B23" s="2341"/>
      <c r="C23" s="2341"/>
      <c r="D23" s="2341"/>
      <c r="E23" s="2341"/>
      <c r="F23" s="1758"/>
      <c r="G23" s="1755">
        <f>SUM(G14:G16,G21,G22)</f>
        <v>0</v>
      </c>
      <c r="H23" s="1755">
        <f>SUM(H14:H16,H21,H22)</f>
        <v>15336</v>
      </c>
      <c r="I23" s="1755">
        <f>SUM(I14:I16,I21,I22)</f>
        <v>0</v>
      </c>
      <c r="J23" s="1755">
        <f>SUM(J14:J16,J21,J22)</f>
        <v>90493</v>
      </c>
      <c r="K23" s="1755">
        <f>SUM(K14:K16,K21,K22)</f>
        <v>0</v>
      </c>
    </row>
    <row r="24" spans="1:11" ht="14.25" thickTop="1" thickBot="1" x14ac:dyDescent="0.25">
      <c r="A24" s="2342" t="s">
        <v>1962</v>
      </c>
      <c r="B24" s="2341"/>
      <c r="C24" s="2341"/>
      <c r="D24" s="2341"/>
      <c r="E24" s="2341"/>
      <c r="F24" s="1759"/>
      <c r="G24" s="1760">
        <f>SUM(G3,G12)-G23</f>
        <v>0</v>
      </c>
      <c r="H24" s="1760">
        <f>SUM(H3,H12)-H23</f>
        <v>0</v>
      </c>
      <c r="I24" s="1760">
        <f>SUM(I3,I12)-I23</f>
        <v>0</v>
      </c>
      <c r="J24" s="1760">
        <f>SUM(J3,J12)-J23</f>
        <v>475020</v>
      </c>
      <c r="K24" s="1760">
        <f>SUM(K3,K12)-K23</f>
        <v>0</v>
      </c>
    </row>
    <row r="25" spans="1:11" ht="13.5" thickTop="1" x14ac:dyDescent="0.2">
      <c r="A25" s="795" t="s">
        <v>420</v>
      </c>
      <c r="B25" s="796"/>
      <c r="C25" s="796"/>
      <c r="D25" s="796"/>
      <c r="E25" s="797"/>
      <c r="F25" s="798">
        <v>714</v>
      </c>
      <c r="G25" s="799"/>
      <c r="H25" s="799"/>
      <c r="I25" s="799"/>
      <c r="J25" s="794">
        <v>475020</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51"/>
      <c r="I31" s="2352"/>
      <c r="J31" s="2352"/>
      <c r="K31" s="2352"/>
    </row>
    <row r="32" spans="1:11" x14ac:dyDescent="0.2">
      <c r="A32" s="806"/>
      <c r="B32" s="237"/>
      <c r="C32" s="237"/>
      <c r="D32" s="237"/>
      <c r="E32" s="802"/>
      <c r="F32" s="808" t="s">
        <v>540</v>
      </c>
      <c r="G32" s="761"/>
      <c r="H32" s="2353"/>
      <c r="I32" s="2352"/>
      <c r="J32" s="2352"/>
      <c r="K32" s="2352"/>
    </row>
    <row r="33" spans="1:11" ht="1.5" customHeight="1" x14ac:dyDescent="0.2">
      <c r="A33" s="809" t="s">
        <v>1169</v>
      </c>
      <c r="B33" s="364"/>
      <c r="C33" s="364"/>
      <c r="D33" s="364"/>
      <c r="E33" s="364"/>
      <c r="F33" s="364"/>
      <c r="G33" s="810"/>
      <c r="H33" s="2353"/>
      <c r="I33" s="2352"/>
      <c r="J33" s="2352"/>
      <c r="K33" s="2352"/>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21" t="s">
        <v>541</v>
      </c>
      <c r="B41" s="2322"/>
      <c r="C41" s="2322"/>
      <c r="D41" s="2322"/>
      <c r="E41" s="2322"/>
      <c r="F41" s="232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60" t="s">
        <v>1906</v>
      </c>
      <c r="B1" s="2361"/>
      <c r="C1" s="2362"/>
      <c r="D1" s="823"/>
      <c r="E1" s="824"/>
      <c r="F1" s="824"/>
      <c r="G1" s="825"/>
      <c r="H1" s="826"/>
      <c r="I1" s="827"/>
      <c r="J1" s="2358"/>
      <c r="K1" s="2359"/>
      <c r="L1" s="2359"/>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988388</v>
      </c>
      <c r="D5" s="838"/>
      <c r="E5" s="838"/>
      <c r="F5" s="1757">
        <f>(C5+D5)-E5</f>
        <v>988388</v>
      </c>
      <c r="G5" s="834"/>
      <c r="H5" s="839"/>
      <c r="I5" s="839"/>
      <c r="J5" s="839"/>
      <c r="K5" s="790"/>
      <c r="L5" s="1766">
        <f>F5-K5</f>
        <v>988388</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19949067</v>
      </c>
      <c r="D8" s="841">
        <v>4245</v>
      </c>
      <c r="E8" s="841"/>
      <c r="F8" s="1757">
        <f>(C8+D8)-E8</f>
        <v>19953312</v>
      </c>
      <c r="G8" s="840">
        <v>50</v>
      </c>
      <c r="H8" s="762">
        <v>4692471</v>
      </c>
      <c r="I8" s="762">
        <v>356956</v>
      </c>
      <c r="J8" s="762"/>
      <c r="K8" s="1766">
        <f>(H8+I8)-J8</f>
        <v>5049427</v>
      </c>
      <c r="L8" s="1766">
        <f>F8-K8</f>
        <v>14903885</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1263929</v>
      </c>
      <c r="D10" s="843">
        <v>37853</v>
      </c>
      <c r="E10" s="843"/>
      <c r="F10" s="1761">
        <f>(C10+D10)-E10</f>
        <v>1301782</v>
      </c>
      <c r="G10" s="840">
        <v>20</v>
      </c>
      <c r="H10" s="844">
        <v>459051</v>
      </c>
      <c r="I10" s="844">
        <v>63910</v>
      </c>
      <c r="J10" s="844"/>
      <c r="K10" s="1766">
        <f>(H10+I10)-J10</f>
        <v>522961</v>
      </c>
      <c r="L10" s="1766">
        <f>F10-K10</f>
        <v>778821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342517</v>
      </c>
      <c r="D12" s="841">
        <v>16044</v>
      </c>
      <c r="E12" s="841">
        <v>47965</v>
      </c>
      <c r="F12" s="1757">
        <f>(C12+D12)-E12</f>
        <v>310596</v>
      </c>
      <c r="G12" s="840">
        <v>10</v>
      </c>
      <c r="H12" s="762">
        <v>215097</v>
      </c>
      <c r="I12" s="762">
        <v>31059</v>
      </c>
      <c r="J12" s="762">
        <v>47965</v>
      </c>
      <c r="K12" s="1766">
        <f>(H12+I12)-J12</f>
        <v>198191</v>
      </c>
      <c r="L12" s="1766">
        <f>F12-K12</f>
        <v>112405</v>
      </c>
    </row>
    <row r="13" spans="1:14" ht="14.25" thickTop="1" thickBot="1" x14ac:dyDescent="0.25">
      <c r="A13" s="845" t="s">
        <v>1122</v>
      </c>
      <c r="B13" s="837">
        <v>252</v>
      </c>
      <c r="C13" s="841">
        <v>398711</v>
      </c>
      <c r="D13" s="841"/>
      <c r="E13" s="841"/>
      <c r="F13" s="1757">
        <f>(C13+D13)-E13</f>
        <v>398711</v>
      </c>
      <c r="G13" s="840">
        <v>5</v>
      </c>
      <c r="H13" s="762">
        <v>398711</v>
      </c>
      <c r="I13" s="762"/>
      <c r="J13" s="762"/>
      <c r="K13" s="1766">
        <f>(H13+I13)-J13</f>
        <v>398711</v>
      </c>
      <c r="L13" s="1766">
        <f>F13-K13</f>
        <v>0</v>
      </c>
    </row>
    <row r="14" spans="1:14" ht="14.25" thickTop="1" thickBot="1" x14ac:dyDescent="0.25">
      <c r="A14" s="845" t="s">
        <v>1123</v>
      </c>
      <c r="B14" s="837">
        <v>253</v>
      </c>
      <c r="C14" s="762">
        <v>26678</v>
      </c>
      <c r="D14" s="762"/>
      <c r="E14" s="762"/>
      <c r="F14" s="1757">
        <f>(C14+D14)-E14</f>
        <v>26678</v>
      </c>
      <c r="G14" s="840">
        <v>3</v>
      </c>
      <c r="H14" s="762">
        <v>26678</v>
      </c>
      <c r="I14" s="762"/>
      <c r="J14" s="762"/>
      <c r="K14" s="1766">
        <f>(H14+I14)-J14</f>
        <v>26678</v>
      </c>
      <c r="L14" s="1766">
        <f>F14-K14</f>
        <v>0</v>
      </c>
    </row>
    <row r="15" spans="1:14" ht="15" customHeight="1" thickTop="1" thickBot="1" x14ac:dyDescent="0.25">
      <c r="A15" s="1628" t="s">
        <v>528</v>
      </c>
      <c r="B15" s="1627">
        <v>260</v>
      </c>
      <c r="C15" s="841">
        <v>0</v>
      </c>
      <c r="D15" s="841">
        <v>68184</v>
      </c>
      <c r="E15" s="841"/>
      <c r="F15" s="1757">
        <f>(C15+D15)-E15</f>
        <v>68184</v>
      </c>
      <c r="G15" s="846" t="s">
        <v>862</v>
      </c>
      <c r="H15" s="778"/>
      <c r="I15" s="778"/>
      <c r="J15" s="778"/>
      <c r="K15" s="778"/>
      <c r="L15" s="1766">
        <f>F15-K15</f>
        <v>68184</v>
      </c>
    </row>
    <row r="16" spans="1:14" ht="15" customHeight="1" thickTop="1" thickBot="1" x14ac:dyDescent="0.25">
      <c r="A16" s="1762" t="s">
        <v>643</v>
      </c>
      <c r="B16" s="1763">
        <v>200</v>
      </c>
      <c r="C16" s="1757">
        <f>SUM(C3,C5:C6,C8:C10,C12:C15)</f>
        <v>22969290</v>
      </c>
      <c r="D16" s="1757">
        <f>SUM(D3,D5:D6,D8:D10,D12:D15)</f>
        <v>126326</v>
      </c>
      <c r="E16" s="1757">
        <f>SUM(E3,E5:E6,E8:E10,E12:E15)</f>
        <v>47965</v>
      </c>
      <c r="F16" s="1757">
        <f>SUM(F3,F5:F6,F8:F10,F12:F15)</f>
        <v>23047651</v>
      </c>
      <c r="G16" s="840"/>
      <c r="H16" s="1757">
        <f>SUM(H3,H6,H8:H10,H12:H14,)</f>
        <v>5792008</v>
      </c>
      <c r="I16" s="1757">
        <f>SUM(I3,I6,I8:I10,I12:I14,)</f>
        <v>451925</v>
      </c>
      <c r="J16" s="1757">
        <f>SUM(J3,J6,J8:J10,J12:J14,)</f>
        <v>47965</v>
      </c>
      <c r="K16" s="1757">
        <f>(H16+I16)-J16</f>
        <v>6195968</v>
      </c>
      <c r="L16" s="1757">
        <f>F16-K16</f>
        <v>16851683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45839</v>
      </c>
      <c r="G17" s="834">
        <v>10</v>
      </c>
      <c r="H17" s="766"/>
      <c r="I17" s="1766">
        <f>F17/G17</f>
        <v>4583.8999999999996</v>
      </c>
      <c r="J17" s="766"/>
      <c r="K17" s="792"/>
      <c r="L17" s="792"/>
    </row>
    <row r="18" spans="1:12" ht="14.25" thickTop="1" thickBot="1" x14ac:dyDescent="0.25">
      <c r="A18" s="1764" t="s">
        <v>685</v>
      </c>
      <c r="B18" s="1765"/>
      <c r="C18" s="768"/>
      <c r="D18" s="768"/>
      <c r="E18" s="768"/>
      <c r="F18" s="847"/>
      <c r="G18" s="848"/>
      <c r="H18" s="770"/>
      <c r="I18" s="1757">
        <f>SUM(I16,I17)</f>
        <v>456508.9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D33" sqref="D3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66" t="s">
        <v>1972</v>
      </c>
      <c r="B1" s="2367"/>
      <c r="C1" s="2367"/>
      <c r="D1" s="2367"/>
      <c r="E1" s="2367"/>
      <c r="F1" s="2368"/>
      <c r="G1" s="852"/>
    </row>
    <row r="2" spans="1:7" ht="15" customHeight="1" thickBot="1" x14ac:dyDescent="0.25">
      <c r="A2" s="2369" t="s">
        <v>477</v>
      </c>
      <c r="B2" s="2370"/>
      <c r="C2" s="2370"/>
      <c r="D2" s="2370"/>
      <c r="E2" s="2370"/>
      <c r="F2" s="237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72"/>
      <c r="B5" s="2373"/>
      <c r="C5" s="2373"/>
      <c r="D5" s="2373"/>
      <c r="E5" s="2373"/>
      <c r="F5" s="2373"/>
    </row>
    <row r="6" spans="1:7" ht="13.5" customHeight="1" thickBot="1" x14ac:dyDescent="0.25">
      <c r="A6" s="2363" t="s">
        <v>1104</v>
      </c>
      <c r="B6" s="2364"/>
      <c r="C6" s="2364"/>
      <c r="D6" s="2364"/>
      <c r="E6" s="2364"/>
      <c r="F6" s="236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5784461</v>
      </c>
      <c r="G8" s="862"/>
    </row>
    <row r="9" spans="1:7" x14ac:dyDescent="0.2">
      <c r="A9" s="866" t="s">
        <v>460</v>
      </c>
      <c r="B9" s="867" t="s">
        <v>1874</v>
      </c>
      <c r="C9" s="868"/>
      <c r="D9" s="866" t="s">
        <v>501</v>
      </c>
      <c r="E9" s="865"/>
      <c r="F9" s="1906">
        <f>'Expenditures 15-22'!K151</f>
        <v>329296</v>
      </c>
      <c r="G9" s="869"/>
    </row>
    <row r="10" spans="1:7" x14ac:dyDescent="0.2">
      <c r="A10" s="866" t="s">
        <v>499</v>
      </c>
      <c r="B10" s="867" t="s">
        <v>1875</v>
      </c>
      <c r="C10" s="868"/>
      <c r="D10" s="866" t="s">
        <v>501</v>
      </c>
      <c r="E10" s="865"/>
      <c r="F10" s="1906">
        <f>'Expenditures 15-22'!K174</f>
        <v>440386</v>
      </c>
      <c r="G10" s="869"/>
    </row>
    <row r="11" spans="1:7" x14ac:dyDescent="0.2">
      <c r="A11" s="866" t="s">
        <v>461</v>
      </c>
      <c r="B11" s="867" t="s">
        <v>1876</v>
      </c>
      <c r="C11" s="868"/>
      <c r="D11" s="866" t="s">
        <v>501</v>
      </c>
      <c r="E11" s="865"/>
      <c r="F11" s="1906">
        <f>'Expenditures 15-22'!K210</f>
        <v>278971</v>
      </c>
      <c r="G11" s="869"/>
    </row>
    <row r="12" spans="1:7" x14ac:dyDescent="0.2">
      <c r="A12" s="866" t="s">
        <v>462</v>
      </c>
      <c r="B12" s="867" t="s">
        <v>1877</v>
      </c>
      <c r="C12" s="868"/>
      <c r="D12" s="866" t="s">
        <v>501</v>
      </c>
      <c r="E12" s="865"/>
      <c r="F12" s="1906">
        <f>'Expenditures 15-22'!K295</f>
        <v>137384</v>
      </c>
      <c r="G12" s="869"/>
    </row>
    <row r="13" spans="1:7" x14ac:dyDescent="0.2">
      <c r="A13" s="866" t="s">
        <v>106</v>
      </c>
      <c r="B13" s="867" t="s">
        <v>1878</v>
      </c>
      <c r="C13" s="868"/>
      <c r="D13" s="866" t="s">
        <v>501</v>
      </c>
      <c r="E13" s="865"/>
      <c r="F13" s="1906">
        <f>'Expenditures 15-22'!K342</f>
        <v>102619</v>
      </c>
      <c r="G13" s="870"/>
    </row>
    <row r="14" spans="1:7" ht="12" customHeight="1" thickBot="1" x14ac:dyDescent="0.25">
      <c r="A14" s="1767"/>
      <c r="B14" s="1768"/>
      <c r="C14" s="1769"/>
      <c r="D14" s="1770" t="s">
        <v>501</v>
      </c>
      <c r="E14" s="1771" t="s">
        <v>958</v>
      </c>
      <c r="F14" s="1772">
        <f>SUM(F8:F13)</f>
        <v>7073117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24410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11">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1999</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147794</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13985</v>
      </c>
      <c r="G52" s="862"/>
    </row>
    <row r="53" spans="1:7" x14ac:dyDescent="0.2">
      <c r="A53" s="866" t="s">
        <v>459</v>
      </c>
      <c r="B53" s="866" t="s">
        <v>1475</v>
      </c>
      <c r="C53" s="886">
        <f>'Expenditures 15-22'!B102</f>
        <v>4000</v>
      </c>
      <c r="D53" s="885" t="str">
        <f>'Expenditures 15-22'!A102</f>
        <v>Total Payments to Other Govt Units</v>
      </c>
      <c r="E53" s="865"/>
      <c r="F53" s="1910">
        <f>'Expenditures 15-22'!K102</f>
        <v>506493</v>
      </c>
      <c r="G53" s="862"/>
    </row>
    <row r="54" spans="1:7" x14ac:dyDescent="0.2">
      <c r="A54" s="866" t="s">
        <v>459</v>
      </c>
      <c r="B54" s="866" t="s">
        <v>1476</v>
      </c>
      <c r="C54" s="886" t="s">
        <v>982</v>
      </c>
      <c r="D54" s="882" t="s">
        <v>1095</v>
      </c>
      <c r="E54" s="865"/>
      <c r="F54" s="1910">
        <f>'Expenditures 15-22'!G114</f>
        <v>35542</v>
      </c>
      <c r="G54" s="862"/>
    </row>
    <row r="55" spans="1:7" x14ac:dyDescent="0.2">
      <c r="A55" s="866" t="s">
        <v>459</v>
      </c>
      <c r="B55" s="866" t="s">
        <v>1477</v>
      </c>
      <c r="C55" s="886" t="s">
        <v>982</v>
      </c>
      <c r="D55" s="882" t="s">
        <v>291</v>
      </c>
      <c r="E55" s="865"/>
      <c r="F55" s="1910">
        <f>'Expenditures 15-22'!I114</f>
        <v>45839</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10">
        <f>'Expenditures 15-22'!K139</f>
        <v>104318</v>
      </c>
      <c r="G57" s="862"/>
    </row>
    <row r="58" spans="1:7" x14ac:dyDescent="0.2">
      <c r="A58" s="866" t="s">
        <v>460</v>
      </c>
      <c r="B58" s="866" t="s">
        <v>1880</v>
      </c>
      <c r="C58" s="883" t="s">
        <v>982</v>
      </c>
      <c r="D58" s="882" t="s">
        <v>1095</v>
      </c>
      <c r="E58" s="865"/>
      <c r="F58" s="1912">
        <f>'Expenditures 15-22'!G151</f>
        <v>3521</v>
      </c>
      <c r="G58" s="862"/>
    </row>
    <row r="59" spans="1:7" x14ac:dyDescent="0.2">
      <c r="A59" s="890" t="s">
        <v>460</v>
      </c>
      <c r="B59" s="853" t="s">
        <v>1881</v>
      </c>
      <c r="C59" s="891" t="s">
        <v>982</v>
      </c>
      <c r="D59" s="853" t="s">
        <v>291</v>
      </c>
      <c r="F59" s="1913">
        <f>'Expenditures 15-22'!I151</f>
        <v>0</v>
      </c>
      <c r="G59" s="862"/>
    </row>
    <row r="60" spans="1:7" x14ac:dyDescent="0.2">
      <c r="A60" s="890" t="s">
        <v>499</v>
      </c>
      <c r="B60" s="853" t="s">
        <v>1882</v>
      </c>
      <c r="C60" s="891">
        <v>4000</v>
      </c>
      <c r="D60" s="853" t="s">
        <v>312</v>
      </c>
      <c r="F60" s="1911">
        <f>'Expenditures 15-22'!K160</f>
        <v>0</v>
      </c>
      <c r="G60" s="862"/>
    </row>
    <row r="61" spans="1:7" x14ac:dyDescent="0.2">
      <c r="A61" s="892" t="s">
        <v>499</v>
      </c>
      <c r="B61" s="892" t="s">
        <v>1883</v>
      </c>
      <c r="C61" s="893" t="str">
        <f>'Expenditures 15-22'!B170</f>
        <v>5300</v>
      </c>
      <c r="D61" s="894" t="s">
        <v>311</v>
      </c>
      <c r="E61" s="876"/>
      <c r="F61" s="1910">
        <f>'Expenditures 15-22'!K170</f>
        <v>259000</v>
      </c>
      <c r="G61" s="862"/>
    </row>
    <row r="62" spans="1:7" x14ac:dyDescent="0.2">
      <c r="A62" s="866" t="s">
        <v>461</v>
      </c>
      <c r="B62" s="866" t="s">
        <v>1884</v>
      </c>
      <c r="C62" s="883">
        <f>'Expenditures 15-22'!B185</f>
        <v>3000</v>
      </c>
      <c r="D62" s="873" t="s">
        <v>449</v>
      </c>
      <c r="E62" s="865"/>
      <c r="F62" s="1910">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1886</v>
      </c>
      <c r="C64" s="893" t="str">
        <f>'Expenditures 15-22'!B206</f>
        <v>5300</v>
      </c>
      <c r="D64" s="889" t="s">
        <v>311</v>
      </c>
      <c r="E64" s="865"/>
      <c r="F64" s="1910">
        <f>'Expenditures 15-22'!K206</f>
        <v>72410</v>
      </c>
      <c r="G64" s="862"/>
    </row>
    <row r="65" spans="1:8" x14ac:dyDescent="0.2">
      <c r="A65" s="866" t="s">
        <v>461</v>
      </c>
      <c r="B65" s="866" t="s">
        <v>1887</v>
      </c>
      <c r="C65" s="883" t="s">
        <v>982</v>
      </c>
      <c r="D65" s="882" t="s">
        <v>1095</v>
      </c>
      <c r="E65" s="865"/>
      <c r="F65" s="1910">
        <f>'Expenditures 15-22'!G210</f>
        <v>0</v>
      </c>
      <c r="G65" s="862"/>
    </row>
    <row r="66" spans="1:8" x14ac:dyDescent="0.2">
      <c r="A66" s="866" t="s">
        <v>461</v>
      </c>
      <c r="B66" s="866" t="s">
        <v>1888</v>
      </c>
      <c r="C66" s="883" t="s">
        <v>982</v>
      </c>
      <c r="D66" s="882" t="s">
        <v>291</v>
      </c>
      <c r="E66" s="865"/>
      <c r="F66" s="1910">
        <f>'Expenditures 15-22'!I210</f>
        <v>0</v>
      </c>
      <c r="G66" s="862"/>
    </row>
    <row r="67" spans="1:8" x14ac:dyDescent="0.2">
      <c r="A67" s="866" t="s">
        <v>462</v>
      </c>
      <c r="B67" s="866" t="s">
        <v>1889</v>
      </c>
      <c r="C67" s="883" t="str">
        <f>'Expenditures 15-22'!B216</f>
        <v>1125</v>
      </c>
      <c r="D67" s="889" t="str">
        <f>'Expenditures 15-22'!A216</f>
        <v>Pre-K Programs</v>
      </c>
      <c r="E67" s="865"/>
      <c r="F67" s="1910">
        <f>'Expenditures 15-22'!K216</f>
        <v>4348</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1891</v>
      </c>
      <c r="C70" s="883">
        <f>'Expenditures 15-22'!B221</f>
        <v>1300</v>
      </c>
      <c r="D70" s="884" t="str">
        <f>'Expenditures 15-22'!A221</f>
        <v>Adult/Continuing Education Programs</v>
      </c>
      <c r="E70" s="865"/>
      <c r="F70" s="1910">
        <f>'Expenditures 15-22'!K221</f>
        <v>0</v>
      </c>
      <c r="G70" s="862"/>
    </row>
    <row r="71" spans="1:8" x14ac:dyDescent="0.2">
      <c r="A71" s="866" t="s">
        <v>462</v>
      </c>
      <c r="B71" s="866" t="s">
        <v>1892</v>
      </c>
      <c r="C71" s="883">
        <f>'Expenditures 15-22'!B224</f>
        <v>1600</v>
      </c>
      <c r="D71" s="884" t="str">
        <f>'Expenditures 15-22'!A224</f>
        <v>Summer School Programs</v>
      </c>
      <c r="E71" s="865"/>
      <c r="F71" s="1910">
        <f>'Expenditures 15-22'!K224</f>
        <v>0</v>
      </c>
      <c r="G71" s="862"/>
    </row>
    <row r="72" spans="1:8" x14ac:dyDescent="0.2">
      <c r="A72" s="866" t="s">
        <v>462</v>
      </c>
      <c r="B72" s="866" t="s">
        <v>1893</v>
      </c>
      <c r="C72" s="883">
        <f>'Expenditures 15-22'!B280</f>
        <v>3000</v>
      </c>
      <c r="D72" s="873" t="s">
        <v>449</v>
      </c>
      <c r="E72" s="865"/>
      <c r="F72" s="1910">
        <f>'Expenditures 15-22'!K280</f>
        <v>570</v>
      </c>
      <c r="G72" s="862"/>
    </row>
    <row r="73" spans="1:8" x14ac:dyDescent="0.2">
      <c r="A73" s="866" t="s">
        <v>462</v>
      </c>
      <c r="B73" s="866" t="s">
        <v>1894</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1895</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1218230</v>
      </c>
      <c r="G76" s="862"/>
    </row>
    <row r="77" spans="1:8" s="890" customFormat="1" ht="12" customHeight="1" thickTop="1" thickBot="1" x14ac:dyDescent="0.25">
      <c r="A77" s="1776"/>
      <c r="B77" s="1773"/>
      <c r="C77" s="1769"/>
      <c r="D77" s="1774" t="s">
        <v>1897</v>
      </c>
      <c r="E77" s="1771"/>
      <c r="F77" s="1777">
        <f>(F14-F76)</f>
        <v>5854887</v>
      </c>
      <c r="G77" s="866"/>
    </row>
    <row r="78" spans="1:8" s="890" customFormat="1" ht="12" customHeight="1" thickTop="1" x14ac:dyDescent="0.2">
      <c r="A78" s="1778"/>
      <c r="B78" s="1773"/>
      <c r="C78" s="1769"/>
      <c r="D78" s="1774" t="s">
        <v>2059</v>
      </c>
      <c r="E78" s="1771"/>
      <c r="F78" s="895">
        <v>566.4</v>
      </c>
      <c r="G78" s="896"/>
      <c r="H78" s="866"/>
    </row>
    <row r="79" spans="1:8" s="890" customFormat="1" ht="12" customHeight="1" thickBot="1" x14ac:dyDescent="0.25">
      <c r="A79" s="1779"/>
      <c r="B79" s="1773"/>
      <c r="C79" s="1769"/>
      <c r="D79" s="1774" t="s">
        <v>1898</v>
      </c>
      <c r="E79" s="1771" t="s">
        <v>958</v>
      </c>
      <c r="F79" s="1780">
        <f>IF(F78&gt;0,F77/F78," Complete Line 78")</f>
        <v>10337.018008474577</v>
      </c>
      <c r="G79" s="866"/>
    </row>
    <row r="80" spans="1:8" s="890" customFormat="1" ht="8.25" customHeight="1" thickTop="1" x14ac:dyDescent="0.2">
      <c r="A80" s="897"/>
      <c r="B80" s="866"/>
      <c r="C80" s="868"/>
      <c r="D80" s="898"/>
      <c r="E80" s="865"/>
      <c r="F80" s="899"/>
      <c r="G80" s="866"/>
    </row>
    <row r="81" spans="1:7" s="890" customFormat="1" ht="12" thickBot="1" x14ac:dyDescent="0.25">
      <c r="A81" s="2363" t="s">
        <v>1105</v>
      </c>
      <c r="B81" s="2364"/>
      <c r="C81" s="2364"/>
      <c r="D81" s="2364"/>
      <c r="E81" s="2364"/>
      <c r="F81" s="236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5608</v>
      </c>
      <c r="G94" s="909"/>
    </row>
    <row r="95" spans="1:7" x14ac:dyDescent="0.2">
      <c r="A95" s="905" t="s">
        <v>140</v>
      </c>
      <c r="B95" s="905" t="s">
        <v>175</v>
      </c>
      <c r="C95" s="907">
        <v>1700</v>
      </c>
      <c r="D95" s="915" t="str">
        <f>'Revenues 9-14'!A82</f>
        <v>Total District/School Activity Income</v>
      </c>
      <c r="E95" s="903"/>
      <c r="F95" s="1786">
        <f>SUM('Revenues 9-14'!C82,'Revenues 9-14'!D82)</f>
        <v>5634</v>
      </c>
      <c r="G95" s="909"/>
    </row>
    <row r="96" spans="1:7" x14ac:dyDescent="0.2">
      <c r="A96" s="905" t="s">
        <v>459</v>
      </c>
      <c r="B96" s="905" t="s">
        <v>176</v>
      </c>
      <c r="C96" s="907">
        <f>'Revenues 9-14'!B84</f>
        <v>1811</v>
      </c>
      <c r="D96" s="908" t="str">
        <f>'Revenues 9-14'!A84</f>
        <v>Rentals - Regular Textbooks</v>
      </c>
      <c r="E96" s="903"/>
      <c r="F96" s="1786">
        <f>'Revenues 9-14'!C84</f>
        <v>16684</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1505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9931</v>
      </c>
      <c r="G103" s="909"/>
    </row>
    <row r="104" spans="1:7" x14ac:dyDescent="0.2">
      <c r="A104" s="905" t="s">
        <v>459</v>
      </c>
      <c r="B104" s="905" t="s">
        <v>808</v>
      </c>
      <c r="C104" s="907">
        <f>'Revenues 9-14'!B106</f>
        <v>1993</v>
      </c>
      <c r="D104" s="908" t="str">
        <f>'Revenues 9-14'!A106</f>
        <v>Other Local Fees (Describe &amp; Itemize)</v>
      </c>
      <c r="E104" s="903"/>
      <c r="F104" s="1786">
        <f>('Revenues 9-14'!C106)</f>
        <v>33</v>
      </c>
      <c r="G104" s="909"/>
    </row>
    <row r="105" spans="1:7" x14ac:dyDescent="0.2">
      <c r="A105" s="905" t="s">
        <v>503</v>
      </c>
      <c r="B105" s="905" t="s">
        <v>2000</v>
      </c>
      <c r="C105" s="910">
        <v>3100</v>
      </c>
      <c r="D105" s="916" t="str">
        <f>'Revenues 9-14'!A132</f>
        <v>Total Special Education</v>
      </c>
      <c r="E105" s="903"/>
      <c r="F105" s="1786">
        <f>SUM('Revenues 9-14'!C132:D132,'Revenues 9-14'!F132)</f>
        <v>21071</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8024</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0</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118000</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4">
        <f>SUM('Revenues 9-14'!C163:G163)</f>
        <v>0</v>
      </c>
      <c r="G118" s="909"/>
    </row>
    <row r="119" spans="1:7" x14ac:dyDescent="0.2">
      <c r="A119" s="920" t="s">
        <v>504</v>
      </c>
      <c r="B119" s="920" t="s">
        <v>2014</v>
      </c>
      <c r="C119" s="921">
        <f>'Revenues 9-14'!B164</f>
        <v>3815</v>
      </c>
      <c r="D119" s="922" t="str">
        <f>'Revenues 9-14'!A164</f>
        <v>State Charter Schools</v>
      </c>
      <c r="E119" s="903"/>
      <c r="F119" s="1904">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32301</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6">
        <f>SUM('Revenues 9-14'!C198,'Revenues 9-14'!G198)</f>
        <v>425437</v>
      </c>
      <c r="G125" s="927"/>
    </row>
    <row r="126" spans="1:7" x14ac:dyDescent="0.2">
      <c r="A126" s="924" t="s">
        <v>668</v>
      </c>
      <c r="B126" s="924" t="s">
        <v>2021</v>
      </c>
      <c r="C126" s="929">
        <v>4300</v>
      </c>
      <c r="D126" s="930" t="str">
        <f>'Revenues 9-14'!A204</f>
        <v>Total Title I</v>
      </c>
      <c r="E126" s="903"/>
      <c r="F126" s="1786">
        <f>SUM('Revenues 9-14'!C204,'Revenues 9-14'!D204,'Revenues 9-14'!F204,'Revenues 9-14'!G204)</f>
        <v>250263</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2455</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124979</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3159</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4">
        <f>SUM('Revenues 9-14'!C259,'Revenues 9-14'!D259,'Revenues 9-14'!F259,'Revenues 9-14'!G259)</f>
        <v>21436</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10967</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20430</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1917</v>
      </c>
      <c r="C171" s="1917">
        <v>3100</v>
      </c>
      <c r="D171" s="1918" t="s">
        <v>1919</v>
      </c>
      <c r="E171" s="903"/>
      <c r="F171" s="1903">
        <v>171085.39</v>
      </c>
      <c r="G171" s="924"/>
    </row>
    <row r="172" spans="1:7" x14ac:dyDescent="0.2">
      <c r="A172" s="1915" t="s">
        <v>664</v>
      </c>
      <c r="B172" s="1916" t="s">
        <v>1917</v>
      </c>
      <c r="C172" s="1917">
        <v>3300</v>
      </c>
      <c r="D172" s="1918" t="s">
        <v>1920</v>
      </c>
      <c r="E172" s="903"/>
      <c r="F172" s="1903">
        <v>30899.53</v>
      </c>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1279901.9200000002</v>
      </c>
    </row>
    <row r="175" spans="1:7" ht="12" customHeight="1" x14ac:dyDescent="0.2">
      <c r="A175" s="1767"/>
      <c r="B175" s="1781"/>
      <c r="C175" s="1782"/>
      <c r="D175" s="1783" t="s">
        <v>2054</v>
      </c>
      <c r="E175" s="1784"/>
      <c r="F175" s="1786">
        <f>'PCTC-OEPP 27-28'!F77-F174</f>
        <v>4574985.08</v>
      </c>
    </row>
    <row r="176" spans="1:7" ht="12" customHeight="1" x14ac:dyDescent="0.2">
      <c r="A176" s="1767"/>
      <c r="B176" s="1781"/>
      <c r="C176" s="1782"/>
      <c r="D176" s="1783" t="s">
        <v>1814</v>
      </c>
      <c r="E176" s="1784"/>
      <c r="F176" s="1786">
        <f>'Cap Outlay Deprec 26'!I18</f>
        <v>456508.9</v>
      </c>
    </row>
    <row r="177" spans="1:7" ht="12" customHeight="1" x14ac:dyDescent="0.2">
      <c r="A177" s="1767"/>
      <c r="B177" s="1781"/>
      <c r="C177" s="1782"/>
      <c r="D177" s="1783" t="s">
        <v>2055</v>
      </c>
      <c r="E177" s="1784"/>
      <c r="F177" s="1786">
        <f>F175+F176</f>
        <v>5031493.9800000004</v>
      </c>
    </row>
    <row r="178" spans="1:7" ht="12" customHeight="1" x14ac:dyDescent="0.2">
      <c r="A178" s="1767"/>
      <c r="B178" s="1787"/>
      <c r="C178" s="1782"/>
      <c r="D178" s="1783" t="str">
        <f>D78</f>
        <v>9 Month ADA from District Average Daily Attendance/Prior General State Aid Inquiry 2018-2019</v>
      </c>
      <c r="E178" s="1784"/>
      <c r="F178" s="1788">
        <f>'PCTC-OEPP 27-28'!F78</f>
        <v>566.4</v>
      </c>
      <c r="G178" s="927"/>
    </row>
    <row r="179" spans="1:7" ht="12" customHeight="1" thickBot="1" x14ac:dyDescent="0.25">
      <c r="A179" s="1767"/>
      <c r="B179" s="1787"/>
      <c r="C179" s="1782"/>
      <c r="D179" s="1783" t="s">
        <v>2056</v>
      </c>
      <c r="E179" s="1784" t="s">
        <v>1545</v>
      </c>
      <c r="F179" s="1789">
        <f>F177/F178</f>
        <v>8883.2873940677982</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6"/>
      <c r="D184" s="927"/>
      <c r="E184" s="946"/>
      <c r="F184" s="927"/>
      <c r="G184" s="927"/>
    </row>
    <row r="185" spans="1:7" x14ac:dyDescent="0.2">
      <c r="A185" s="1923" t="s">
        <v>1922</v>
      </c>
      <c r="B185" s="1924"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D33" sqref="D33"/>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77" t="s">
        <v>1815</v>
      </c>
      <c r="B4" s="2378"/>
      <c r="C4" s="2378"/>
      <c r="D4" s="2378"/>
      <c r="E4" s="2378"/>
      <c r="F4" s="2378"/>
      <c r="G4" s="2379"/>
    </row>
    <row r="5" spans="1:7" x14ac:dyDescent="0.25">
      <c r="A5" s="2380"/>
      <c r="B5" s="2381"/>
      <c r="C5" s="2381"/>
      <c r="D5" s="2381"/>
      <c r="E5" s="2381"/>
      <c r="F5" s="2381"/>
      <c r="G5" s="2382"/>
    </row>
    <row r="6" spans="1:7" ht="18.75" x14ac:dyDescent="0.25">
      <c r="A6" s="1531" t="s">
        <v>1816</v>
      </c>
      <c r="B6" s="1532"/>
      <c r="C6" s="1532"/>
      <c r="D6" s="1532"/>
      <c r="E6" s="1532"/>
      <c r="F6" s="1532"/>
      <c r="G6" s="1533"/>
    </row>
    <row r="7" spans="1:7" ht="30.75" customHeight="1" x14ac:dyDescent="0.25">
      <c r="A7" s="2383" t="s">
        <v>1929</v>
      </c>
      <c r="B7" s="2384"/>
      <c r="C7" s="2384"/>
      <c r="D7" s="2384"/>
      <c r="E7" s="2384"/>
      <c r="F7" s="2384"/>
      <c r="G7" s="2385"/>
    </row>
    <row r="8" spans="1:7" ht="15.75" customHeight="1" x14ac:dyDescent="0.25">
      <c r="A8" s="2386" t="s">
        <v>1904</v>
      </c>
      <c r="B8" s="2387"/>
      <c r="C8" s="2387"/>
      <c r="D8" s="2387"/>
      <c r="E8" s="2387"/>
      <c r="F8" s="2387"/>
      <c r="G8" s="2388"/>
    </row>
    <row r="9" spans="1:7" ht="35.25" customHeight="1" x14ac:dyDescent="0.25">
      <c r="A9" s="2383" t="s">
        <v>1932</v>
      </c>
      <c r="B9" s="2384"/>
      <c r="C9" s="2384"/>
      <c r="D9" s="2384"/>
      <c r="E9" s="2384"/>
      <c r="F9" s="2384"/>
      <c r="G9" s="2385"/>
    </row>
    <row r="10" spans="1:7" ht="15" customHeight="1" x14ac:dyDescent="0.25">
      <c r="A10" s="1534" t="s">
        <v>1817</v>
      </c>
      <c r="B10" s="1535"/>
      <c r="C10" s="1535"/>
      <c r="D10" s="1535"/>
      <c r="E10" s="1535"/>
      <c r="F10" s="1535"/>
      <c r="G10" s="1536"/>
    </row>
    <row r="11" spans="1:7" ht="17.25" customHeight="1" x14ac:dyDescent="0.25">
      <c r="A11" s="2383" t="s">
        <v>1931</v>
      </c>
      <c r="B11" s="2384"/>
      <c r="C11" s="2384"/>
      <c r="D11" s="2384"/>
      <c r="E11" s="2384"/>
      <c r="F11" s="2384"/>
      <c r="G11" s="2385"/>
    </row>
    <row r="12" spans="1:7" ht="15" customHeight="1" x14ac:dyDescent="0.25">
      <c r="A12" s="1534" t="s">
        <v>1822</v>
      </c>
      <c r="B12" s="1535"/>
      <c r="C12" s="1535"/>
      <c r="D12" s="1535"/>
      <c r="E12" s="1535"/>
      <c r="F12" s="1535"/>
      <c r="G12" s="1536"/>
    </row>
    <row r="13" spans="1:7" ht="32.25" customHeight="1" x14ac:dyDescent="0.25">
      <c r="A13" s="2374" t="s">
        <v>1973</v>
      </c>
      <c r="B13" s="2375"/>
      <c r="C13" s="2375"/>
      <c r="D13" s="2375"/>
      <c r="E13" s="2375"/>
      <c r="F13" s="2375"/>
      <c r="G13" s="2376"/>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42" t="s">
        <v>2233</v>
      </c>
      <c r="B17" s="2043" t="s">
        <v>2234</v>
      </c>
      <c r="C17" s="2044" t="s">
        <v>2235</v>
      </c>
      <c r="D17" s="1841">
        <v>68345</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43345</v>
      </c>
      <c r="H17" s="1644"/>
    </row>
    <row r="18" spans="1:8" x14ac:dyDescent="0.25">
      <c r="A18" s="2042" t="s">
        <v>2236</v>
      </c>
      <c r="B18" s="2043" t="s">
        <v>2237</v>
      </c>
      <c r="C18" s="2044" t="s">
        <v>2238</v>
      </c>
      <c r="D18" s="1841">
        <v>54156</v>
      </c>
      <c r="E18" s="1537">
        <f t="shared" ref="E18:E140" si="2">IF(D18&lt;=25000,D18,IF(D18&gt;25000,25000,0))</f>
        <v>25000</v>
      </c>
      <c r="F18" s="1929">
        <f t="shared" si="1"/>
        <v>25000</v>
      </c>
      <c r="G18" s="1790">
        <f t="shared" ref="G18:G140" si="3">IF(F18=0,0,D18-F18)</f>
        <v>29156</v>
      </c>
    </row>
    <row r="19" spans="1:8" x14ac:dyDescent="0.25">
      <c r="A19" s="2045" t="s">
        <v>2236</v>
      </c>
      <c r="B19" s="2046" t="s">
        <v>2237</v>
      </c>
      <c r="C19" s="2047" t="s">
        <v>2239</v>
      </c>
      <c r="D19" s="1841">
        <v>34055</v>
      </c>
      <c r="E19" s="1537">
        <f t="shared" si="2"/>
        <v>25000</v>
      </c>
      <c r="F19" s="1929">
        <f t="shared" si="1"/>
        <v>25000</v>
      </c>
      <c r="G19" s="1790">
        <f t="shared" si="3"/>
        <v>9055</v>
      </c>
    </row>
    <row r="20" spans="1:8" x14ac:dyDescent="0.25">
      <c r="A20" s="2045" t="s">
        <v>2236</v>
      </c>
      <c r="B20" s="2046" t="s">
        <v>2237</v>
      </c>
      <c r="C20" s="2047" t="s">
        <v>2243</v>
      </c>
      <c r="D20" s="1841">
        <v>47362</v>
      </c>
      <c r="E20" s="1537">
        <f t="shared" si="2"/>
        <v>25000</v>
      </c>
      <c r="F20" s="1929">
        <f t="shared" si="1"/>
        <v>25000</v>
      </c>
      <c r="G20" s="1790">
        <f t="shared" si="3"/>
        <v>22362</v>
      </c>
    </row>
    <row r="21" spans="1:8" x14ac:dyDescent="0.25">
      <c r="A21" s="2045" t="s">
        <v>2245</v>
      </c>
      <c r="B21" s="2046" t="s">
        <v>2246</v>
      </c>
      <c r="C21" s="2047" t="s">
        <v>2244</v>
      </c>
      <c r="D21" s="1841">
        <v>55551</v>
      </c>
      <c r="E21" s="1537">
        <f t="shared" si="2"/>
        <v>25000</v>
      </c>
      <c r="F21" s="1929">
        <f t="shared" si="1"/>
        <v>25000</v>
      </c>
      <c r="G21" s="1790">
        <f t="shared" si="3"/>
        <v>30551</v>
      </c>
    </row>
    <row r="22" spans="1:8" x14ac:dyDescent="0.25">
      <c r="A22" s="2042" t="s">
        <v>2240</v>
      </c>
      <c r="B22" s="2043" t="s">
        <v>2241</v>
      </c>
      <c r="C22" s="2044" t="s">
        <v>2242</v>
      </c>
      <c r="D22" s="1841">
        <f>111565+9757</f>
        <v>121322</v>
      </c>
      <c r="E22" s="1537">
        <f t="shared" si="2"/>
        <v>25000</v>
      </c>
      <c r="F22" s="1929">
        <f t="shared" si="1"/>
        <v>25000</v>
      </c>
      <c r="G22" s="1790">
        <f t="shared" si="3"/>
        <v>96322</v>
      </c>
    </row>
    <row r="23" spans="1:8" x14ac:dyDescent="0.25">
      <c r="A23" s="2042"/>
      <c r="B23" s="2043"/>
      <c r="C23" s="2044"/>
      <c r="D23" s="1841"/>
      <c r="E23" s="1537">
        <f t="shared" si="2"/>
        <v>0</v>
      </c>
      <c r="F23" s="1929">
        <f t="shared" si="1"/>
        <v>0</v>
      </c>
      <c r="G23" s="1790">
        <f t="shared" si="3"/>
        <v>0</v>
      </c>
    </row>
    <row r="24" spans="1:8" x14ac:dyDescent="0.25">
      <c r="A24" s="2042"/>
      <c r="B24" s="2043"/>
      <c r="C24" s="2044"/>
      <c r="D24" s="1841"/>
      <c r="E24" s="1537">
        <f t="shared" si="2"/>
        <v>0</v>
      </c>
      <c r="F24" s="1929">
        <f t="shared" si="1"/>
        <v>0</v>
      </c>
      <c r="G24" s="1790">
        <f t="shared" si="3"/>
        <v>0</v>
      </c>
    </row>
    <row r="25" spans="1:8" x14ac:dyDescent="0.25">
      <c r="A25" s="2042"/>
      <c r="B25" s="2043"/>
      <c r="C25" s="2044"/>
      <c r="D25" s="1841"/>
      <c r="E25" s="1537">
        <f t="shared" si="2"/>
        <v>0</v>
      </c>
      <c r="F25" s="1929">
        <f t="shared" si="1"/>
        <v>0</v>
      </c>
      <c r="G25" s="1790">
        <f t="shared" si="3"/>
        <v>0</v>
      </c>
    </row>
    <row r="26" spans="1:8" x14ac:dyDescent="0.25">
      <c r="A26" s="2042"/>
      <c r="B26" s="2043"/>
      <c r="C26" s="2044"/>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380791</v>
      </c>
      <c r="E141" s="1538">
        <f t="shared" si="0"/>
        <v>25000</v>
      </c>
      <c r="F141" s="1930">
        <f>SUM(F17:F140)</f>
        <v>150000</v>
      </c>
      <c r="G141" s="1792">
        <f>SUM(G17:G140)</f>
        <v>230791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89" t="s">
        <v>1679</v>
      </c>
      <c r="B5" s="2390"/>
      <c r="C5" s="2390"/>
      <c r="D5" s="2390"/>
      <c r="E5" s="2390"/>
      <c r="F5" s="2390"/>
      <c r="G5" s="239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175024</v>
      </c>
      <c r="F10" s="971"/>
      <c r="G10" s="972"/>
      <c r="H10" s="162"/>
      <c r="I10" s="162"/>
    </row>
    <row r="11" spans="1:9" s="665" customFormat="1" ht="22.5" customHeight="1" x14ac:dyDescent="0.2">
      <c r="A11" s="2394" t="s">
        <v>1974</v>
      </c>
      <c r="B11" s="2395"/>
      <c r="C11" s="2395"/>
      <c r="D11" s="2396"/>
      <c r="E11" s="974">
        <v>32901</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3622011</v>
      </c>
      <c r="F19" s="1796"/>
      <c r="G19" s="1798">
        <f>'Expenditures 15-22'!K33-SUM('Expenditures 15-22'!G33,'Expenditures 15-22'!I33)+'Expenditures 15-22'!D229</f>
        <v>3622011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121436</v>
      </c>
      <c r="F21" s="1799"/>
      <c r="G21" s="1802">
        <f>'Expenditures 15-22'!K42-SUM('Expenditures 15-22'!G42,'Expenditures 15-22'!I42)+'Expenditures 15-22'!K120-SUM('Expenditures 15-22'!G120,'Expenditures 15-22'!I120)+'Expenditures 15-22'!K180-SUM('Expenditures 15-22'!G180,'Expenditures 15-22'!I180)+'Expenditures 15-22'!D238</f>
        <v>121436</v>
      </c>
      <c r="H21" s="984"/>
      <c r="I21" s="162"/>
    </row>
    <row r="22" spans="1:9" s="665" customFormat="1" ht="12" customHeight="1" x14ac:dyDescent="0.2">
      <c r="A22" s="991" t="s">
        <v>564</v>
      </c>
      <c r="B22" s="992"/>
      <c r="C22" s="990">
        <v>2200</v>
      </c>
      <c r="D22" s="1799"/>
      <c r="E22" s="1801">
        <f>'Expenditures 15-22'!K47-SUM('Expenditures 15-22'!G47,'Expenditures 15-22'!I47)+'Expenditures 15-22'!D243</f>
        <v>137659</v>
      </c>
      <c r="F22" s="1799"/>
      <c r="G22" s="1802">
        <f>'Expenditures 15-22'!K47-SUM('Expenditures 15-22'!G47,'Expenditures 15-22'!I47)+'Expenditures 15-22'!D243</f>
        <v>137659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321783</v>
      </c>
      <c r="F23" s="1799"/>
      <c r="G23" s="1801">
        <f>'Expenditures 15-22'!K53-SUM('Expenditures 15-22'!G53,'Expenditures 15-22'!I53)+'Expenditures 15-22'!D257+'Expenditures 15-22'!K330-SUM('Expenditures 15-22'!G330,'Expenditures 15-22'!I330)</f>
        <v>321783</v>
      </c>
      <c r="H23" s="984"/>
      <c r="I23" s="162"/>
    </row>
    <row r="24" spans="1:9" s="665" customFormat="1" ht="12" customHeight="1" x14ac:dyDescent="0.2">
      <c r="A24" s="991" t="s">
        <v>566</v>
      </c>
      <c r="B24" s="992"/>
      <c r="C24" s="990">
        <v>2400</v>
      </c>
      <c r="D24" s="1799"/>
      <c r="E24" s="1801">
        <f>'Expenditures 15-22'!K57-SUM('Expenditures 15-22'!G57,'Expenditures 15-22'!I57)+'Expenditures 15-22'!D261</f>
        <v>457485</v>
      </c>
      <c r="F24" s="1799"/>
      <c r="G24" s="1802">
        <f>'Expenditures 15-22'!K57-SUM('Expenditures 15-22'!G57,'Expenditures 15-22'!I57)+'Expenditures 15-22'!D261</f>
        <v>457485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93990</v>
      </c>
      <c r="E27" s="1801">
        <f>E8</f>
        <v>0</v>
      </c>
      <c r="F27" s="1801">
        <f>'Expenditures 15-22'!K60-SUM('Expenditures 15-22'!G60,'Expenditures 15-22'!I60)+'Expenditures 15-22'!D264-E8</f>
        <v>93990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458853</v>
      </c>
      <c r="F28" s="1803">
        <f>'Expenditures 15-22'!K61-SUM('Expenditures 15-22'!G61,'Expenditures 15-22'!I61)+'Expenditures 15-22'!K124-SUM('Expenditures 15-22'!G124,'Expenditures 15-22'!I124)+'Expenditures 15-22'!D266-E9</f>
        <v>458853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226262</v>
      </c>
      <c r="F29" s="1799"/>
      <c r="G29" s="1802">
        <f>'Expenditures 15-22'!K62-SUM('Expenditures 15-22'!G62,'Expenditures 15-22'!I62)+'Expenditures 15-22'!K125-SUM('Expenditures 15-22'!G125,'Expenditures 15-22'!I125)+'Expenditures 15-22'!K182-SUM('Expenditures 15-22'!G182,'Expenditures 15-22'!I182)+'Expenditures 15-22'!D267</f>
        <v>226262</v>
      </c>
      <c r="H29" s="982"/>
    </row>
    <row r="30" spans="1:9" ht="12" customHeight="1" x14ac:dyDescent="0.2">
      <c r="A30" s="991" t="s">
        <v>100</v>
      </c>
      <c r="B30" s="994"/>
      <c r="C30" s="990">
        <v>2560</v>
      </c>
      <c r="D30" s="1799"/>
      <c r="E30" s="1801">
        <f>'Expenditures 15-22'!K63-SUM('Expenditures 15-22'!G63,'Expenditures 15-22'!I63)+'Expenditures 15-22'!D268-E10</f>
        <v>214371</v>
      </c>
      <c r="F30" s="1799"/>
      <c r="G30" s="1801">
        <f>'Expenditures 15-22'!K63-SUM('Expenditures 15-22'!G63,'Expenditures 15-22'!I63)+'Expenditures 15-22'!D268-E10</f>
        <v>214371</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10188</v>
      </c>
      <c r="F34" s="1799"/>
      <c r="G34" s="1801">
        <f>'Expenditures 15-22'!K68-SUM('Expenditures 15-22'!G68,'Expenditures 15-22'!I68)+'Expenditures 15-22'!D273</f>
        <v>10188</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14555</v>
      </c>
      <c r="F39" s="1799"/>
      <c r="G39" s="1801">
        <f>'Expenditures 15-22'!K75-SUM('Expenditures 15-22'!G75,'Expenditures 15-22'!I75)+'Expenditures 15-22'!K130-SUM('Expenditures 15-22'!G130,'Expenditures 15-22'!I130)+'Expenditures 15-22'!K185-SUM('Expenditures 15-22'!G185,'Expenditures 15-22'!I185)+'Expenditures 15-22'!D280</f>
        <v>14555</v>
      </c>
    </row>
    <row r="40" spans="1:7" ht="12" customHeight="1" x14ac:dyDescent="0.2">
      <c r="A40" s="987" t="s">
        <v>1820</v>
      </c>
      <c r="B40" s="988"/>
      <c r="C40" s="990"/>
      <c r="D40" s="1799"/>
      <c r="E40" s="1803">
        <f>-'Contracts Paid in CY 29'!G141</f>
        <v>-230791</v>
      </c>
      <c r="F40" s="1799"/>
      <c r="G40" s="1803">
        <f>-'Contracts Paid in CY 29'!G141</f>
        <v>-230791</v>
      </c>
    </row>
    <row r="41" spans="1:7" ht="12" customHeight="1" x14ac:dyDescent="0.2">
      <c r="A41" s="995" t="s">
        <v>156</v>
      </c>
      <c r="B41" s="996"/>
      <c r="C41" s="997"/>
      <c r="D41" s="1803">
        <f>SUM(D19:D39)</f>
        <v>93990</v>
      </c>
      <c r="E41" s="1803">
        <f>SUM(E19:E40)</f>
        <v>5353812</v>
      </c>
      <c r="F41" s="1803">
        <f>SUM(F19:F39)</f>
        <v>552843</v>
      </c>
      <c r="G41" s="1803">
        <f>SUM(G19:G40)</f>
        <v>4894959</v>
      </c>
    </row>
    <row r="42" spans="1:7" x14ac:dyDescent="0.2">
      <c r="A42" s="984"/>
      <c r="B42" s="162"/>
      <c r="C42" s="998"/>
      <c r="D42" s="2392" t="s">
        <v>522</v>
      </c>
      <c r="E42" s="2393"/>
      <c r="F42" s="999" t="s">
        <v>523</v>
      </c>
      <c r="G42" s="1000"/>
    </row>
    <row r="43" spans="1:7" ht="12" customHeight="1" x14ac:dyDescent="0.2">
      <c r="A43" s="984"/>
      <c r="B43" s="162"/>
      <c r="C43" s="998"/>
      <c r="D43" s="1804" t="s">
        <v>473</v>
      </c>
      <c r="E43" s="1805">
        <f>D41</f>
        <v>93990</v>
      </c>
      <c r="F43" s="1804" t="s">
        <v>473</v>
      </c>
      <c r="G43" s="1805">
        <f>F41</f>
        <v>552843</v>
      </c>
    </row>
    <row r="44" spans="1:7" ht="12" customHeight="1" x14ac:dyDescent="0.2">
      <c r="A44" s="984"/>
      <c r="B44" s="162"/>
      <c r="C44" s="998"/>
      <c r="D44" s="1804" t="s">
        <v>474</v>
      </c>
      <c r="E44" s="1805">
        <f>E41</f>
        <v>5353812</v>
      </c>
      <c r="F44" s="1804" t="s">
        <v>474</v>
      </c>
      <c r="G44" s="1805">
        <f>G41</f>
        <v>4894959</v>
      </c>
    </row>
    <row r="45" spans="1:7" ht="12" customHeight="1" x14ac:dyDescent="0.2">
      <c r="A45" s="984"/>
      <c r="B45" s="162"/>
      <c r="C45" s="162"/>
      <c r="D45" s="1806" t="s">
        <v>1006</v>
      </c>
      <c r="E45" s="1807">
        <f>(E43/E44)</f>
        <v>1.755571544163299E-2</v>
      </c>
      <c r="F45" s="1806" t="s">
        <v>1006</v>
      </c>
      <c r="G45" s="1807">
        <f>(G43/G44)</f>
        <v>0.11294129327743092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400" t="s">
        <v>1379</v>
      </c>
      <c r="B1" s="2400"/>
      <c r="C1" s="2400"/>
      <c r="D1" s="2400"/>
      <c r="E1" s="2400"/>
      <c r="F1" s="2400"/>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401" t="s">
        <v>1546</v>
      </c>
      <c r="B5" s="2402"/>
      <c r="C5" s="2403"/>
      <c r="D5" s="2403"/>
      <c r="E5" s="2403"/>
      <c r="F5" s="2403"/>
    </row>
    <row r="6" spans="1:10" ht="12" customHeight="1" x14ac:dyDescent="0.25">
      <c r="A6" s="1847"/>
      <c r="B6" s="1848"/>
      <c r="C6" s="2404" t="str">
        <f>COVER!A17</f>
        <v>Silvis SD 34</v>
      </c>
      <c r="D6" s="2404"/>
      <c r="E6" s="2404"/>
      <c r="F6" s="1849"/>
    </row>
    <row r="7" spans="1:10" ht="11.25" customHeight="1" thickBot="1" x14ac:dyDescent="0.3">
      <c r="A7" s="1847"/>
      <c r="B7" s="1848"/>
      <c r="C7" s="2405">
        <f>COVER!A13</f>
        <v>49081034002</v>
      </c>
      <c r="D7" s="2405"/>
      <c r="E7" s="2405"/>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2083</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t="s">
        <v>2070</v>
      </c>
      <c r="D18" s="1862" t="s">
        <v>2070</v>
      </c>
      <c r="E18" s="1865"/>
      <c r="F18" s="1864" t="s">
        <v>2083</v>
      </c>
      <c r="H18" s="1875">
        <f t="shared" si="0"/>
        <v>5</v>
      </c>
      <c r="I18" s="1875">
        <f t="shared" si="1"/>
        <v>5</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2070</v>
      </c>
      <c r="D25" s="1862" t="s">
        <v>2070</v>
      </c>
      <c r="E25" s="1865"/>
      <c r="F25" s="1864" t="s">
        <v>2084</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2085</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2086</v>
      </c>
      <c r="H28" s="1875">
        <f t="shared" si="0"/>
        <v>5</v>
      </c>
      <c r="I28" s="1875">
        <f t="shared" si="1"/>
        <v>5</v>
      </c>
      <c r="J28" s="1875">
        <f t="shared" si="2"/>
        <v>0</v>
      </c>
    </row>
    <row r="29" spans="1:12" ht="12" customHeight="1" x14ac:dyDescent="0.2">
      <c r="A29" s="1860" t="s">
        <v>1537</v>
      </c>
      <c r="B29" s="1861"/>
      <c r="C29" s="1862" t="s">
        <v>2070</v>
      </c>
      <c r="D29" s="1862"/>
      <c r="E29" s="1865"/>
      <c r="F29" s="1864" t="s">
        <v>2083</v>
      </c>
      <c r="H29" s="1875">
        <f t="shared" si="0"/>
        <v>5</v>
      </c>
      <c r="I29" s="1875">
        <f t="shared" si="1"/>
        <v>0</v>
      </c>
      <c r="J29" s="1875">
        <f t="shared" si="2"/>
        <v>0</v>
      </c>
    </row>
    <row r="30" spans="1:12" ht="12" customHeight="1" x14ac:dyDescent="0.2">
      <c r="A30" s="1860" t="s">
        <v>1538</v>
      </c>
      <c r="B30" s="1861"/>
      <c r="C30" s="1862" t="s">
        <v>2070</v>
      </c>
      <c r="D30" s="1862" t="s">
        <v>2070</v>
      </c>
      <c r="E30" s="1865"/>
      <c r="F30" s="1864" t="s">
        <v>2087</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30</v>
      </c>
      <c r="J34" s="1875">
        <f>SUM(J11:J32)</f>
        <v>0</v>
      </c>
      <c r="K34" s="1875">
        <f>SUM(H34:J34)</f>
        <v>65</v>
      </c>
    </row>
    <row r="35" spans="1:11" ht="12" customHeight="1" x14ac:dyDescent="0.2">
      <c r="A35" s="1868" t="s">
        <v>1392</v>
      </c>
      <c r="B35" s="1869"/>
      <c r="C35" s="2406"/>
      <c r="D35" s="2406"/>
      <c r="E35" s="2406"/>
      <c r="F35" s="2407"/>
    </row>
    <row r="36" spans="1:11" ht="12" customHeight="1" x14ac:dyDescent="0.2">
      <c r="A36" s="2397"/>
      <c r="B36" s="2398"/>
      <c r="C36" s="2398"/>
      <c r="D36" s="2398"/>
      <c r="E36" s="2398"/>
      <c r="F36" s="2399"/>
    </row>
    <row r="37" spans="1:11" ht="12" customHeight="1" x14ac:dyDescent="0.2">
      <c r="A37" s="2397"/>
      <c r="B37" s="2398"/>
      <c r="C37" s="2398"/>
      <c r="D37" s="2398"/>
      <c r="E37" s="2398"/>
      <c r="F37" s="2399"/>
    </row>
    <row r="38" spans="1:11" ht="12" customHeight="1" x14ac:dyDescent="0.2">
      <c r="A38" s="2411"/>
      <c r="B38" s="2412"/>
      <c r="C38" s="2412"/>
      <c r="D38" s="2412"/>
      <c r="E38" s="2412"/>
      <c r="F38" s="2413"/>
    </row>
    <row r="39" spans="1:11" ht="4.5" hidden="1" customHeight="1" x14ac:dyDescent="0.2">
      <c r="A39" s="1870"/>
      <c r="B39" s="1870"/>
      <c r="C39" s="1870"/>
      <c r="D39" s="1870"/>
      <c r="E39" s="1870"/>
      <c r="F39" s="1870"/>
    </row>
    <row r="40" spans="1:11" s="1867" customFormat="1" ht="12" customHeight="1" x14ac:dyDescent="0.25">
      <c r="A40" s="1871" t="s">
        <v>1391</v>
      </c>
      <c r="B40" s="1872"/>
      <c r="C40" s="2414"/>
      <c r="D40" s="2414"/>
      <c r="E40" s="2414"/>
      <c r="F40" s="2415"/>
      <c r="H40" s="1876"/>
      <c r="I40" s="1876"/>
      <c r="J40" s="1876"/>
      <c r="K40" s="1876"/>
    </row>
    <row r="41" spans="1:11" s="1867" customFormat="1" ht="12" customHeight="1" x14ac:dyDescent="0.25">
      <c r="A41" s="2416"/>
      <c r="B41" s="2417"/>
      <c r="C41" s="2417"/>
      <c r="D41" s="2417"/>
      <c r="E41" s="2417"/>
      <c r="F41" s="2418"/>
      <c r="H41" s="1876"/>
      <c r="I41" s="1876"/>
      <c r="J41" s="1876"/>
      <c r="K41" s="1876"/>
    </row>
    <row r="42" spans="1:11" s="1867" customFormat="1" ht="12" customHeight="1" x14ac:dyDescent="0.25">
      <c r="A42" s="2416"/>
      <c r="B42" s="2417"/>
      <c r="C42" s="2417"/>
      <c r="D42" s="2417"/>
      <c r="E42" s="2417"/>
      <c r="F42" s="2418"/>
      <c r="H42" s="1876"/>
      <c r="I42" s="1876"/>
      <c r="J42" s="1876"/>
      <c r="K42" s="1876"/>
    </row>
    <row r="43" spans="1:11" s="1867" customFormat="1" ht="15" x14ac:dyDescent="0.25">
      <c r="A43" s="2408"/>
      <c r="B43" s="2409"/>
      <c r="C43" s="2409"/>
      <c r="D43" s="2409"/>
      <c r="E43" s="2409"/>
      <c r="F43" s="2410"/>
      <c r="H43" s="1876"/>
      <c r="I43" s="1876"/>
      <c r="J43" s="1876"/>
      <c r="K43" s="1876"/>
    </row>
    <row r="44" spans="1:11" s="1867" customFormat="1" ht="12" hidden="1" customHeight="1" x14ac:dyDescent="0.25">
      <c r="A44" s="2408"/>
      <c r="B44" s="2409"/>
      <c r="C44" s="2409"/>
      <c r="D44" s="2409"/>
      <c r="E44" s="2409"/>
      <c r="F44" s="241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424" t="str">
        <f>COVER!A17</f>
        <v>Silvis SD 34</v>
      </c>
      <c r="J6" s="2425"/>
      <c r="Q6" s="1661"/>
    </row>
    <row r="7" spans="1:17" x14ac:dyDescent="0.2">
      <c r="A7" s="2426" t="s">
        <v>869</v>
      </c>
      <c r="B7" s="2427"/>
      <c r="C7" s="2427"/>
      <c r="D7" s="2427"/>
      <c r="E7" s="2428"/>
      <c r="F7" s="1014"/>
      <c r="G7" s="1006"/>
      <c r="H7" s="1013" t="s">
        <v>372</v>
      </c>
      <c r="I7" s="2429">
        <f>COVER!A13</f>
        <v>49081034002</v>
      </c>
      <c r="J7" s="242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1976</v>
      </c>
      <c r="F9" s="1020"/>
      <c r="G9" s="1020"/>
      <c r="H9" s="1893"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30" t="s">
        <v>481</v>
      </c>
      <c r="B11" s="2431"/>
      <c r="C11" s="243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167896</v>
      </c>
      <c r="F12" s="1036"/>
      <c r="G12" s="1808">
        <f t="shared" ref="G12:G18" si="0">SUM(E12:F12)</f>
        <v>167896</v>
      </c>
      <c r="H12" s="1037">
        <v>172200</v>
      </c>
      <c r="I12" s="1036"/>
      <c r="J12" s="1808">
        <f t="shared" ref="J12:J18" si="1">SUM(H12:I12)</f>
        <v>172200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33" t="s">
        <v>7</v>
      </c>
      <c r="C18" s="2434"/>
      <c r="D18" s="243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167896</v>
      </c>
      <c r="F19" s="1810">
        <f t="shared" si="2"/>
        <v>0</v>
      </c>
      <c r="G19" s="1810">
        <f t="shared" si="2"/>
        <v>167896</v>
      </c>
      <c r="H19" s="1810">
        <f t="shared" si="2"/>
        <v>172200</v>
      </c>
      <c r="I19" s="1810">
        <f t="shared" si="2"/>
        <v>0</v>
      </c>
      <c r="J19" s="1810">
        <f t="shared" si="2"/>
        <v>172200</v>
      </c>
    </row>
    <row r="20" spans="1:10" ht="13.5" thickTop="1" x14ac:dyDescent="0.2">
      <c r="A20" s="1032">
        <v>9</v>
      </c>
      <c r="B20" s="2436" t="s">
        <v>1978</v>
      </c>
      <c r="C20" s="2436"/>
      <c r="D20" s="2437"/>
      <c r="E20" s="1043"/>
      <c r="F20" s="1043"/>
      <c r="G20" s="1043"/>
      <c r="H20" s="1043"/>
      <c r="I20" s="1043"/>
      <c r="J20" s="1811">
        <f>IF(AND(G19&gt;0,J19&gt;0),(((J19-G19)/G19)),"Enter Budget Data")</f>
        <v>2.5634916853290134E-2</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42"/>
      <c r="D26" s="2442"/>
      <c r="E26" s="1047"/>
      <c r="F26" s="2441"/>
      <c r="G26" s="2441"/>
    </row>
    <row r="27" spans="1:10" x14ac:dyDescent="0.2">
      <c r="B27" s="1044"/>
      <c r="C27" s="1048" t="s">
        <v>1033</v>
      </c>
      <c r="D27" s="1049"/>
      <c r="E27" s="1050"/>
      <c r="F27" s="2438" t="s">
        <v>1509</v>
      </c>
      <c r="G27" s="2438"/>
    </row>
    <row r="28" spans="1:10" ht="28.5" customHeight="1" x14ac:dyDescent="0.2">
      <c r="B28" s="1044"/>
      <c r="C28" s="2440"/>
      <c r="D28" s="2440"/>
      <c r="E28" s="1051"/>
      <c r="F28" s="2440"/>
      <c r="G28" s="2440"/>
    </row>
    <row r="29" spans="1:10" x14ac:dyDescent="0.2">
      <c r="B29" s="1044"/>
      <c r="C29" s="1052" t="s">
        <v>1561</v>
      </c>
      <c r="E29" s="1053"/>
      <c r="F29" s="2439" t="s">
        <v>1510</v>
      </c>
      <c r="G29" s="243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21" t="s">
        <v>132</v>
      </c>
      <c r="D33" s="2422"/>
      <c r="E33" s="2422"/>
      <c r="F33" s="2422"/>
      <c r="G33" s="2422"/>
      <c r="H33" s="2422"/>
      <c r="I33" s="2422"/>
    </row>
    <row r="34" spans="1:10" ht="10.35" customHeight="1" x14ac:dyDescent="0.2">
      <c r="C34" s="2422"/>
      <c r="D34" s="2422"/>
      <c r="E34" s="2422"/>
      <c r="F34" s="2422"/>
      <c r="G34" s="2422"/>
      <c r="H34" s="2422"/>
      <c r="I34" s="2422"/>
    </row>
    <row r="35" spans="1:10" ht="7.5" customHeight="1" x14ac:dyDescent="0.2">
      <c r="C35" s="1059"/>
    </row>
    <row r="36" spans="1:10" ht="13.5" customHeight="1" x14ac:dyDescent="0.2">
      <c r="B36" s="1058"/>
      <c r="C36" s="2423" t="s">
        <v>1980</v>
      </c>
      <c r="D36" s="2422"/>
      <c r="E36" s="2422"/>
      <c r="F36" s="2422"/>
      <c r="G36" s="2422"/>
      <c r="H36" s="2422"/>
      <c r="I36" s="2422"/>
      <c r="J36" s="1060"/>
    </row>
    <row r="37" spans="1:10" ht="22.5" customHeight="1" x14ac:dyDescent="0.2">
      <c r="C37" s="2422"/>
      <c r="D37" s="2422"/>
      <c r="E37" s="2422"/>
      <c r="F37" s="2422"/>
      <c r="G37" s="2422"/>
      <c r="H37" s="2422"/>
      <c r="I37" s="2422"/>
      <c r="J37" s="1060"/>
    </row>
    <row r="38" spans="1:10" ht="7.5" customHeight="1" x14ac:dyDescent="0.2">
      <c r="C38" s="1059"/>
      <c r="D38" s="1061"/>
      <c r="E38" s="1062"/>
      <c r="F38" s="1063"/>
      <c r="G38" s="1062"/>
    </row>
    <row r="39" spans="1:10" ht="13.5" customHeight="1" x14ac:dyDescent="0.2">
      <c r="B39" s="1058"/>
      <c r="C39" s="2419" t="s">
        <v>882</v>
      </c>
      <c r="D39" s="2420"/>
      <c r="E39" s="2420"/>
      <c r="F39" s="2420"/>
      <c r="G39" s="2420"/>
      <c r="H39" s="2420"/>
      <c r="I39" s="242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6">
        <v>1</v>
      </c>
      <c r="B5" s="329" t="s">
        <v>2248</v>
      </c>
    </row>
    <row r="6" spans="1:2" x14ac:dyDescent="0.2">
      <c r="A6" s="1066">
        <v>2</v>
      </c>
      <c r="B6" s="329" t="s">
        <v>2247</v>
      </c>
    </row>
    <row r="7" spans="1:2" x14ac:dyDescent="0.2">
      <c r="A7" s="1066">
        <v>3</v>
      </c>
      <c r="B7" s="329" t="s">
        <v>2249</v>
      </c>
    </row>
    <row r="8" spans="1:2" x14ac:dyDescent="0.2">
      <c r="A8" s="1065"/>
      <c r="B8" s="329" t="s">
        <v>2250</v>
      </c>
    </row>
    <row r="9" spans="1:2" x14ac:dyDescent="0.2">
      <c r="A9" s="1066">
        <v>4</v>
      </c>
      <c r="B9" s="329" t="s">
        <v>2251</v>
      </c>
    </row>
    <row r="10" spans="1:2" x14ac:dyDescent="0.2">
      <c r="A10" s="1066">
        <v>5</v>
      </c>
      <c r="B10" s="329" t="s">
        <v>2253</v>
      </c>
    </row>
    <row r="11" spans="1:2" x14ac:dyDescent="0.2">
      <c r="A11" s="1066">
        <v>6</v>
      </c>
      <c r="B11" s="329" t="s">
        <v>2255</v>
      </c>
    </row>
    <row r="12" spans="1:2" x14ac:dyDescent="0.2">
      <c r="A12" s="1066">
        <v>7</v>
      </c>
      <c r="B12" s="329" t="s">
        <v>2252</v>
      </c>
    </row>
    <row r="13" spans="1:2" x14ac:dyDescent="0.2">
      <c r="A13" s="1066">
        <v>8</v>
      </c>
      <c r="B13" s="329" t="s">
        <v>2254</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Silvis SD 34</v>
      </c>
    </row>
    <row r="65" spans="2:2" x14ac:dyDescent="0.2">
      <c r="B65" s="1067">
        <f>COVER!A13</f>
        <v>49081034002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60" t="s">
        <v>1065</v>
      </c>
      <c r="B35" s="2160"/>
      <c r="C35" s="2160"/>
      <c r="D35" s="2160"/>
      <c r="E35" s="21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7" t="s">
        <v>691</v>
      </c>
      <c r="B40" s="2157"/>
      <c r="C40" s="2157"/>
      <c r="D40" s="2157"/>
      <c r="E40" s="2157"/>
    </row>
    <row r="41" spans="1:5" x14ac:dyDescent="0.2">
      <c r="A41" s="2158" t="s">
        <v>1608</v>
      </c>
      <c r="B41" s="2158"/>
      <c r="C41" s="2158"/>
      <c r="D41" s="2158"/>
      <c r="E41" s="2158"/>
    </row>
    <row r="42" spans="1:5" ht="12.75" customHeight="1" x14ac:dyDescent="0.2">
      <c r="A42" s="2159" t="s">
        <v>1022</v>
      </c>
      <c r="B42" s="2159"/>
      <c r="C42" s="2159"/>
      <c r="D42" s="2159"/>
      <c r="E42" s="215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43" t="s">
        <v>1685</v>
      </c>
      <c r="B18" s="24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161925</xdr:colOff>
                <xdr:row>3</xdr:row>
                <xdr:rowOff>47625</xdr:rowOff>
              </from>
              <to>
                <xdr:col>1</xdr:col>
                <xdr:colOff>1076325</xdr:colOff>
                <xdr:row>7</xdr:row>
                <xdr:rowOff>85725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1257300</xdr:colOff>
                <xdr:row>3</xdr:row>
                <xdr:rowOff>57150</xdr:rowOff>
              </from>
              <to>
                <xdr:col>1</xdr:col>
                <xdr:colOff>2162175</xdr:colOff>
                <xdr:row>7</xdr:row>
                <xdr:rowOff>95250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4" t="s">
        <v>1690</v>
      </c>
      <c r="B1" s="2445"/>
      <c r="C1" s="2445"/>
      <c r="D1" s="2445"/>
      <c r="E1" s="2445"/>
      <c r="F1" s="2446"/>
    </row>
    <row r="2" spans="1:8" ht="45" customHeight="1" x14ac:dyDescent="0.2">
      <c r="A2" s="2454" t="s">
        <v>1984</v>
      </c>
      <c r="B2" s="2455"/>
      <c r="C2" s="2455"/>
      <c r="D2" s="2455"/>
      <c r="E2" s="2455"/>
      <c r="F2" s="2456"/>
      <c r="G2" s="1071"/>
      <c r="H2" s="1071"/>
    </row>
    <row r="3" spans="1:8" ht="57" customHeight="1" x14ac:dyDescent="0.2">
      <c r="A3" s="2457" t="s">
        <v>1686</v>
      </c>
      <c r="B3" s="2458"/>
      <c r="C3" s="2458"/>
      <c r="D3" s="2458"/>
      <c r="E3" s="2458"/>
      <c r="F3" s="2459"/>
      <c r="G3" s="1071"/>
      <c r="H3" s="1071"/>
    </row>
    <row r="4" spans="1:8" ht="14.25" customHeight="1" x14ac:dyDescent="0.2">
      <c r="A4" s="2463" t="s">
        <v>1985</v>
      </c>
      <c r="B4" s="2464"/>
      <c r="C4" s="2464"/>
      <c r="D4" s="2464"/>
      <c r="E4" s="2464"/>
      <c r="F4" s="2465"/>
      <c r="G4" s="1071"/>
      <c r="H4" s="1071"/>
    </row>
    <row r="5" spans="1:8" ht="14.25" customHeight="1" x14ac:dyDescent="0.2">
      <c r="A5" s="2466" t="s">
        <v>1981</v>
      </c>
      <c r="B5" s="2467"/>
      <c r="C5" s="2467"/>
      <c r="D5" s="2467"/>
      <c r="E5" s="2467"/>
      <c r="F5" s="2468"/>
      <c r="G5" s="1071"/>
      <c r="H5" s="1071"/>
    </row>
    <row r="6" spans="1:8" s="1072" customFormat="1" ht="41.25" customHeight="1" x14ac:dyDescent="0.2">
      <c r="A6" s="2460" t="s">
        <v>1691</v>
      </c>
      <c r="B6" s="2461"/>
      <c r="C6" s="2461"/>
      <c r="D6" s="2461"/>
      <c r="E6" s="2461"/>
      <c r="F6" s="246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6078705</v>
      </c>
      <c r="C8" s="1812">
        <f>'Acct Summary 7-8'!D8</f>
        <v>341719</v>
      </c>
      <c r="D8" s="1812">
        <f>'Acct Summary 7-8'!F8</f>
        <v>317321</v>
      </c>
      <c r="E8" s="1812">
        <f>'Acct Summary 7-8'!I8</f>
        <v>45016</v>
      </c>
      <c r="F8" s="1812">
        <f>SUM(B8:E8)</f>
        <v>6782761</v>
      </c>
    </row>
    <row r="9" spans="1:8" s="1076" customFormat="1" ht="14.25" customHeight="1" thickBot="1" x14ac:dyDescent="0.25">
      <c r="A9" s="1075" t="s">
        <v>1369</v>
      </c>
      <c r="B9" s="1813">
        <f>'Acct Summary 7-8'!C17</f>
        <v>5784461</v>
      </c>
      <c r="C9" s="1813">
        <f>'Acct Summary 7-8'!D17</f>
        <v>329296</v>
      </c>
      <c r="D9" s="1813">
        <f>'Acct Summary 7-8'!F17</f>
        <v>278971</v>
      </c>
      <c r="E9" s="1812"/>
      <c r="F9" s="1812">
        <f>SUM(B9:E9)</f>
        <v>6392728</v>
      </c>
    </row>
    <row r="10" spans="1:8" s="1076" customFormat="1" ht="14.25" thickTop="1" thickBot="1" x14ac:dyDescent="0.25">
      <c r="A10" s="1077" t="s">
        <v>1370</v>
      </c>
      <c r="B10" s="1814">
        <f>(B8-B9)</f>
        <v>294244</v>
      </c>
      <c r="C10" s="1814">
        <f>(C8-C9)</f>
        <v>12423</v>
      </c>
      <c r="D10" s="1814">
        <f>(D8-D9)</f>
        <v>38350</v>
      </c>
      <c r="E10" s="1813">
        <f>(E8-E9)</f>
        <v>45016</v>
      </c>
      <c r="F10" s="1815">
        <f>SUM(F8-F9)</f>
        <v>390033</v>
      </c>
    </row>
    <row r="11" spans="1:8" s="1076" customFormat="1" ht="14.25" thickTop="1" thickBot="1" x14ac:dyDescent="0.25">
      <c r="A11" s="1078" t="s">
        <v>1982</v>
      </c>
      <c r="B11" s="1816">
        <f>'Acct Summary 7-8'!C81</f>
        <v>5387921</v>
      </c>
      <c r="C11" s="1816">
        <f>'Acct Summary 7-8'!D81</f>
        <v>1915158</v>
      </c>
      <c r="D11" s="1816">
        <f>'Acct Summary 7-8'!F81</f>
        <v>435836</v>
      </c>
      <c r="E11" s="1816">
        <f>'Acct Summary 7-8'!I81</f>
        <v>643991</v>
      </c>
      <c r="F11" s="1817">
        <f>SUM(B11:E11)</f>
        <v>8382906</v>
      </c>
    </row>
    <row r="12" spans="1:8" ht="16.5" customHeight="1" thickTop="1" x14ac:dyDescent="0.2">
      <c r="A12" s="1079"/>
      <c r="B12" s="1080"/>
      <c r="C12" s="2448" t="str">
        <f>IF(AND(F10&lt;0,F11&gt;=0,ABS(F10*3)&gt;ABS(F11)),A16,IF(AND(F10&lt;0,F11&gt;0,ABS(F10*3)&lt;=ABS(F11)),A17,IF(AND(F10&lt;0,F11&lt;0),A16,IF(F11=0,A19,A18))))</f>
        <v>Balanced - no deficit reduction plan is required.</v>
      </c>
      <c r="D12" s="2449"/>
      <c r="E12" s="2449"/>
      <c r="F12" s="2450"/>
    </row>
    <row r="13" spans="1:8" ht="19.5" customHeight="1" x14ac:dyDescent="0.2">
      <c r="A13" s="1081"/>
      <c r="B13" s="1082"/>
      <c r="C13" s="2448"/>
      <c r="D13" s="2449"/>
      <c r="E13" s="2449"/>
      <c r="F13" s="2450"/>
      <c r="H13" s="1071"/>
    </row>
    <row r="14" spans="1:8" ht="19.5" customHeight="1" x14ac:dyDescent="0.2">
      <c r="A14" s="1081"/>
      <c r="B14" s="1082"/>
      <c r="C14" s="2448"/>
      <c r="D14" s="2449"/>
      <c r="E14" s="2449"/>
      <c r="F14" s="2450"/>
      <c r="H14" s="1071"/>
    </row>
    <row r="15" spans="1:8" ht="17.25" customHeight="1" x14ac:dyDescent="0.2">
      <c r="A15" s="1081"/>
      <c r="B15" s="1082"/>
      <c r="C15" s="2451"/>
      <c r="D15" s="2452"/>
      <c r="E15" s="2452"/>
      <c r="F15" s="2453"/>
      <c r="H15" s="1071"/>
    </row>
    <row r="16" spans="1:8" s="310" customFormat="1" ht="51.75" hidden="1" customHeight="1" x14ac:dyDescent="0.2">
      <c r="A16" s="2447" t="s">
        <v>1687</v>
      </c>
      <c r="B16" s="2447"/>
      <c r="C16" s="2447"/>
      <c r="D16" s="2447"/>
      <c r="E16" s="244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69" t="s">
        <v>665</v>
      </c>
      <c r="B3" s="2470"/>
      <c r="C3" s="2470"/>
      <c r="D3" s="2471"/>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80" t="s">
        <v>1504</v>
      </c>
      <c r="D7" s="2481"/>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72" t="s">
        <v>1008</v>
      </c>
      <c r="B15" s="2473"/>
      <c r="C15" s="2473"/>
      <c r="D15" s="2474"/>
    </row>
    <row r="16" spans="1:4" s="665" customFormat="1" ht="24" customHeight="1" x14ac:dyDescent="0.2">
      <c r="A16" s="2475" t="s">
        <v>663</v>
      </c>
      <c r="B16" s="2476"/>
      <c r="C16" s="2476"/>
      <c r="D16" s="247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84" t="s">
        <v>314</v>
      </c>
      <c r="D21" s="2485"/>
    </row>
    <row r="22" spans="1:10" ht="12.75" x14ac:dyDescent="0.2">
      <c r="A22" s="1136"/>
      <c r="B22" s="1137">
        <v>2</v>
      </c>
      <c r="C22" s="2482" t="s">
        <v>1524</v>
      </c>
      <c r="D22" s="248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86" t="s">
        <v>536</v>
      </c>
      <c r="D43" s="248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78" t="s">
        <v>784</v>
      </c>
      <c r="D56" s="247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478" t="s">
        <v>1696</v>
      </c>
      <c r="D70" s="247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49081034002</v>
      </c>
    </row>
    <row r="3" spans="1:2" x14ac:dyDescent="0.2">
      <c r="A3" t="s">
        <v>956</v>
      </c>
      <c r="B3" s="138" t="str">
        <f>COVER!A15</f>
        <v>Rock Island</v>
      </c>
    </row>
    <row r="4" spans="1:2" x14ac:dyDescent="0.2">
      <c r="A4" t="s">
        <v>1007</v>
      </c>
      <c r="B4" s="138" t="str">
        <f>COVER!A17</f>
        <v>Silvis SD 34</v>
      </c>
    </row>
    <row r="5" spans="1:2" x14ac:dyDescent="0.2">
      <c r="A5" t="s">
        <v>704</v>
      </c>
      <c r="B5" s="138" t="str">
        <f>COVER!A38</f>
        <v>Terri Vandewiele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183685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5387921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5379924</v>
      </c>
      <c r="D92" s="2" t="str">
        <f t="shared" si="0"/>
        <v>Error?</v>
      </c>
    </row>
    <row r="93" spans="1:4" x14ac:dyDescent="0.2">
      <c r="A93" s="5">
        <v>32</v>
      </c>
      <c r="B93" s="138">
        <f>'Assets-Liab 5-6'!C41</f>
        <v>5387921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1915158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1915158</v>
      </c>
      <c r="D123" s="2" t="str">
        <f t="shared" si="0"/>
        <v>Error?</v>
      </c>
    </row>
    <row r="124" spans="1:4" x14ac:dyDescent="0.2">
      <c r="A124" s="5">
        <v>63</v>
      </c>
      <c r="B124" s="138">
        <f>'Assets-Liab 5-6'!D41</f>
        <v>1915158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158966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158966</v>
      </c>
      <c r="D140" s="2" t="str">
        <f t="shared" si="1"/>
        <v>Error?</v>
      </c>
    </row>
    <row r="141" spans="1:4" x14ac:dyDescent="0.2">
      <c r="A141" s="5">
        <v>80</v>
      </c>
      <c r="B141" s="138">
        <f>'Assets-Liab 5-6'!E41</f>
        <v>158966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435836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435836</v>
      </c>
      <c r="D170" s="2" t="str">
        <f t="shared" si="1"/>
        <v>Error?</v>
      </c>
    </row>
    <row r="171" spans="1:4" x14ac:dyDescent="0.2">
      <c r="A171" s="5">
        <v>110</v>
      </c>
      <c r="B171" s="138">
        <f>'Assets-Liab 5-6'!F41</f>
        <v>435836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38907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273447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88195</v>
      </c>
      <c r="D189" s="2" t="str">
        <f t="shared" si="1"/>
        <v>Error?</v>
      </c>
    </row>
    <row r="190" spans="1:4" x14ac:dyDescent="0.2">
      <c r="A190" s="5">
        <v>129</v>
      </c>
      <c r="B190" s="138">
        <f>'Assets-Liab 5-6'!G41</f>
        <v>273447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475020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475020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988388</v>
      </c>
      <c r="D273" s="2" t="str">
        <f t="shared" si="3"/>
        <v>Error?</v>
      </c>
    </row>
    <row r="274" spans="1:4" x14ac:dyDescent="0.2">
      <c r="A274" s="5">
        <v>213</v>
      </c>
      <c r="B274" s="138">
        <f>'Assets-Liab 5-6'!M17</f>
        <v>19953312</v>
      </c>
      <c r="D274" s="2" t="str">
        <f t="shared" si="3"/>
        <v>Error?</v>
      </c>
    </row>
    <row r="275" spans="1:4" x14ac:dyDescent="0.2">
      <c r="A275" s="5">
        <v>214</v>
      </c>
      <c r="B275" s="138">
        <f>'Assets-Liab 5-6'!M18</f>
        <v>1301782</v>
      </c>
      <c r="D275" s="2" t="str">
        <f t="shared" si="3"/>
        <v>Error?</v>
      </c>
    </row>
    <row r="276" spans="1:4" x14ac:dyDescent="0.2">
      <c r="A276" s="5">
        <v>215</v>
      </c>
      <c r="B276" s="138">
        <f>'Assets-Liab 5-6'!M19</f>
        <v>735985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23047651</v>
      </c>
      <c r="C279" s="2" t="s">
        <v>573</v>
      </c>
      <c r="D279" s="2" t="str">
        <f t="shared" si="3"/>
        <v>Error?</v>
      </c>
    </row>
    <row r="280" spans="1:4" x14ac:dyDescent="0.2">
      <c r="A280" s="5">
        <v>219</v>
      </c>
      <c r="B280" s="138">
        <f>'Assets-Liab 5-6'!M40</f>
        <v>23047651</v>
      </c>
      <c r="D280" s="2" t="str">
        <f t="shared" si="3"/>
        <v>Error?</v>
      </c>
    </row>
    <row r="281" spans="1:4" x14ac:dyDescent="0.2">
      <c r="A281" s="5">
        <v>220</v>
      </c>
      <c r="B281" s="138">
        <f>'Assets-Liab 5-6'!M41</f>
        <v>23047651</v>
      </c>
      <c r="C281" s="2" t="s">
        <v>573</v>
      </c>
      <c r="D281" s="2" t="str">
        <f t="shared" si="3"/>
        <v>Error?</v>
      </c>
    </row>
    <row r="282" spans="1:4" x14ac:dyDescent="0.2">
      <c r="A282" s="5">
        <v>221</v>
      </c>
      <c r="B282" s="138">
        <f>'Assets-Liab 5-6'!N21</f>
        <v>158966</v>
      </c>
      <c r="D282" s="2" t="str">
        <f t="shared" si="3"/>
        <v>Error?</v>
      </c>
    </row>
    <row r="283" spans="1:4" x14ac:dyDescent="0.2">
      <c r="A283" s="5">
        <v>222</v>
      </c>
      <c r="B283" s="138">
        <f>'Assets-Liab 5-6'!N22</f>
        <v>2851034</v>
      </c>
      <c r="D283" s="2" t="str">
        <f t="shared" si="3"/>
        <v>Error?</v>
      </c>
    </row>
    <row r="284" spans="1:4" x14ac:dyDescent="0.2">
      <c r="A284" s="5">
        <v>223</v>
      </c>
      <c r="B284" s="138">
        <f>'Assets-Liab 5-6'!N23</f>
        <v>3010000</v>
      </c>
      <c r="C284" s="2" t="s">
        <v>573</v>
      </c>
      <c r="D284" s="2" t="str">
        <f t="shared" si="3"/>
        <v>Error?</v>
      </c>
    </row>
    <row r="285" spans="1:4" x14ac:dyDescent="0.2">
      <c r="A285" s="5">
        <v>224</v>
      </c>
      <c r="B285" s="138">
        <f>'Assets-Liab 5-6'!N36</f>
        <v>3010000</v>
      </c>
      <c r="D285" s="2" t="str">
        <f t="shared" si="3"/>
        <v>Error?</v>
      </c>
    </row>
    <row r="286" spans="1:4" x14ac:dyDescent="0.2">
      <c r="A286" s="10">
        <v>225</v>
      </c>
      <c r="D286" s="2" t="str">
        <f t="shared" si="3"/>
        <v>OK</v>
      </c>
    </row>
    <row r="287" spans="1:4" x14ac:dyDescent="0.2">
      <c r="A287" s="5">
        <v>226</v>
      </c>
      <c r="B287" s="138">
        <f>'Assets-Liab 5-6'!N37</f>
        <v>3010000</v>
      </c>
      <c r="C287" s="2" t="s">
        <v>573</v>
      </c>
      <c r="D287" s="2" t="str">
        <f t="shared" si="3"/>
        <v>Error?</v>
      </c>
    </row>
    <row r="288" spans="1:4" x14ac:dyDescent="0.2">
      <c r="A288" s="5">
        <v>227</v>
      </c>
      <c r="B288" s="138">
        <f>'Assets-Liab 5-6'!N41</f>
        <v>3010000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1918744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81653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54782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2638193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70835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19811</v>
      </c>
      <c r="D726" s="2" t="str">
        <f t="shared" si="10"/>
        <v>Error?</v>
      </c>
    </row>
    <row r="727" spans="1:4" x14ac:dyDescent="0.2">
      <c r="A727" s="5">
        <v>666</v>
      </c>
      <c r="B727" s="138">
        <f>'Expenditures 15-22'!C42</f>
        <v>90646</v>
      </c>
      <c r="C727" s="2" t="s">
        <v>573</v>
      </c>
      <c r="D727" s="2" t="str">
        <f t="shared" si="10"/>
        <v>Error?</v>
      </c>
    </row>
    <row r="728" spans="1:4" x14ac:dyDescent="0.2">
      <c r="A728" s="5">
        <v>667</v>
      </c>
      <c r="B728" s="138">
        <f>'Expenditures 15-22'!C44</f>
        <v>11875</v>
      </c>
      <c r="D728" s="2" t="str">
        <f t="shared" si="10"/>
        <v>Error?</v>
      </c>
    </row>
    <row r="729" spans="1:4" x14ac:dyDescent="0.2">
      <c r="A729" s="5">
        <v>668</v>
      </c>
      <c r="B729" s="138">
        <f>'Expenditures 15-22'!C45</f>
        <v>74107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85982</v>
      </c>
      <c r="C731" s="2" t="s">
        <v>573</v>
      </c>
      <c r="D731" s="2" t="str">
        <f t="shared" si="10"/>
        <v>Error?</v>
      </c>
    </row>
    <row r="732" spans="1:4" x14ac:dyDescent="0.2">
      <c r="A732" s="5">
        <v>671</v>
      </c>
      <c r="B732" s="138">
        <f>'Expenditures 15-22'!C49</f>
        <v>2158</v>
      </c>
      <c r="D732" s="2" t="str">
        <f t="shared" si="10"/>
        <v>Error?</v>
      </c>
    </row>
    <row r="733" spans="1:4" x14ac:dyDescent="0.2">
      <c r="A733" s="5">
        <v>672</v>
      </c>
      <c r="B733" s="138">
        <f>'Expenditures 15-22'!C50</f>
        <v>156851</v>
      </c>
      <c r="D733" s="2" t="str">
        <f t="shared" si="10"/>
        <v>Error?</v>
      </c>
    </row>
    <row r="734" spans="1:4" x14ac:dyDescent="0.2">
      <c r="A734" s="5">
        <v>673</v>
      </c>
      <c r="B734" s="138">
        <f>'Expenditures 15-22'!C53</f>
        <v>159009</v>
      </c>
      <c r="C734" s="2" t="s">
        <v>573</v>
      </c>
      <c r="D734" s="2" t="str">
        <f t="shared" si="10"/>
        <v>Error?</v>
      </c>
    </row>
    <row r="735" spans="1:4" x14ac:dyDescent="0.2">
      <c r="A735" s="5">
        <v>674</v>
      </c>
      <c r="B735" s="138">
        <f>'Expenditures 15-22'!C55</f>
        <v>339433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339433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81054</v>
      </c>
      <c r="D739" s="2" t="str">
        <f t="shared" si="10"/>
        <v>Error?</v>
      </c>
    </row>
    <row r="740" spans="1:4" x14ac:dyDescent="0.2">
      <c r="A740" s="5">
        <v>679</v>
      </c>
      <c r="B740" s="138">
        <f>'Expenditures 15-22'!C61</f>
        <v>149475</v>
      </c>
      <c r="D740" s="2" t="str">
        <f t="shared" si="10"/>
        <v>Error?</v>
      </c>
    </row>
    <row r="741" spans="1:4" x14ac:dyDescent="0.2">
      <c r="A741" s="5">
        <v>680</v>
      </c>
      <c r="B741" s="138">
        <f>'Expenditures 15-22'!C62</f>
        <v>10649</v>
      </c>
      <c r="D741" s="2" t="str">
        <f t="shared" si="10"/>
        <v>Error?</v>
      </c>
    </row>
    <row r="742" spans="1:4" x14ac:dyDescent="0.2">
      <c r="A742" s="5">
        <v>681</v>
      </c>
      <c r="B742" s="138">
        <f>'Expenditures 15-22'!C63</f>
        <v>133489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374667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1049737</v>
      </c>
      <c r="C755" s="2" t="s">
        <v>573</v>
      </c>
      <c r="D755" s="2" t="str">
        <f t="shared" si="10"/>
        <v>Error?</v>
      </c>
    </row>
    <row r="756" spans="1:4" x14ac:dyDescent="0.2">
      <c r="A756" s="5">
        <v>695</v>
      </c>
      <c r="B756" s="138">
        <f>'Expenditures 15-22'!C75</f>
        <v>13450</v>
      </c>
      <c r="D756" s="2" t="str">
        <f t="shared" si="10"/>
        <v>Error?</v>
      </c>
    </row>
    <row r="757" spans="1:4" x14ac:dyDescent="0.2">
      <c r="A757" s="5">
        <v>696</v>
      </c>
      <c r="B757" s="138">
        <f>'Expenditures 15-22'!C114</f>
        <v>3701380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335220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31220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527468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16663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5694</v>
      </c>
      <c r="D784" s="2" t="str">
        <f t="shared" si="11"/>
        <v>Error?</v>
      </c>
    </row>
    <row r="785" spans="1:4" x14ac:dyDescent="0.2">
      <c r="A785" s="5">
        <v>724</v>
      </c>
      <c r="B785" s="138">
        <f>'Expenditures 15-22'!D42</f>
        <v>22357</v>
      </c>
      <c r="C785" s="2" t="s">
        <v>573</v>
      </c>
      <c r="D785" s="2" t="str">
        <f t="shared" si="11"/>
        <v>Error?</v>
      </c>
    </row>
    <row r="786" spans="1:4" x14ac:dyDescent="0.2">
      <c r="A786" s="5">
        <v>725</v>
      </c>
      <c r="B786" s="138">
        <f>'Expenditures 15-22'!D44</f>
        <v>883</v>
      </c>
      <c r="D786" s="2" t="str">
        <f t="shared" si="11"/>
        <v>Error?</v>
      </c>
    </row>
    <row r="787" spans="1:4" x14ac:dyDescent="0.2">
      <c r="A787" s="5">
        <v>726</v>
      </c>
      <c r="B787" s="138">
        <f>'Expenditures 15-22'!D45</f>
        <v>9254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10137</v>
      </c>
      <c r="C789" s="2" t="s">
        <v>573</v>
      </c>
      <c r="D789" s="2" t="str">
        <f t="shared" si="11"/>
        <v>Error?</v>
      </c>
    </row>
    <row r="790" spans="1:4" x14ac:dyDescent="0.2">
      <c r="A790" s="5">
        <v>729</v>
      </c>
      <c r="B790" s="138">
        <f>'Expenditures 15-22'!D49</f>
        <v>32</v>
      </c>
      <c r="D790" s="2" t="str">
        <f t="shared" si="11"/>
        <v>Error?</v>
      </c>
    </row>
    <row r="791" spans="1:4" x14ac:dyDescent="0.2">
      <c r="A791" s="5">
        <v>730</v>
      </c>
      <c r="B791" s="138">
        <f>'Expenditures 15-22'!D50</f>
        <v>3353</v>
      </c>
      <c r="D791" s="2" t="str">
        <f t="shared" si="11"/>
        <v>Error?</v>
      </c>
    </row>
    <row r="792" spans="1:4" x14ac:dyDescent="0.2">
      <c r="A792" s="5">
        <v>731</v>
      </c>
      <c r="B792" s="138">
        <f>'Expenditures 15-22'!D53</f>
        <v>3385</v>
      </c>
      <c r="C792" s="2" t="s">
        <v>573</v>
      </c>
      <c r="D792" s="2" t="str">
        <f t="shared" si="11"/>
        <v>Error?</v>
      </c>
    </row>
    <row r="793" spans="1:4" x14ac:dyDescent="0.2">
      <c r="A793" s="5">
        <v>732</v>
      </c>
      <c r="B793" s="138">
        <f>'Expenditures 15-22'!D55</f>
        <v>77585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77585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8410</v>
      </c>
      <c r="D797" s="2" t="str">
        <f t="shared" si="11"/>
        <v>Error?</v>
      </c>
    </row>
    <row r="798" spans="1:4" x14ac:dyDescent="0.2">
      <c r="A798" s="5">
        <v>737</v>
      </c>
      <c r="B798" s="138">
        <f>'Expenditures 15-22'!D61</f>
        <v>45964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42871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97245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210709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738177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196035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2078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9133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229823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1036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1036</v>
      </c>
      <c r="C843" s="2" t="s">
        <v>573</v>
      </c>
      <c r="D843" s="2" t="str">
        <f t="shared" si="12"/>
        <v>Error?</v>
      </c>
    </row>
    <row r="844" spans="1:4" x14ac:dyDescent="0.2">
      <c r="A844" s="5">
        <v>783</v>
      </c>
      <c r="B844" s="138">
        <f>'Expenditures 15-22'!E44</f>
        <v>27244</v>
      </c>
      <c r="D844" s="2" t="str">
        <f t="shared" si="12"/>
        <v>Error?</v>
      </c>
    </row>
    <row r="845" spans="1:4" x14ac:dyDescent="0.2">
      <c r="A845" s="5">
        <v>784</v>
      </c>
      <c r="B845" s="138">
        <f>'Expenditures 15-22'!E45</f>
        <v>65</v>
      </c>
      <c r="D845" s="2" t="str">
        <f t="shared" si="12"/>
        <v>Error?</v>
      </c>
    </row>
    <row r="846" spans="1:4" x14ac:dyDescent="0.2">
      <c r="A846" s="5">
        <v>785</v>
      </c>
      <c r="B846" s="138">
        <f>'Expenditures 15-22'!E46</f>
        <v>8054</v>
      </c>
      <c r="D846" s="2" t="str">
        <f t="shared" si="12"/>
        <v>Error?</v>
      </c>
    </row>
    <row r="847" spans="1:4" x14ac:dyDescent="0.2">
      <c r="A847" s="5">
        <v>786</v>
      </c>
      <c r="B847" s="138">
        <f>'Expenditures 15-22'!E47</f>
        <v>35363</v>
      </c>
      <c r="C847" s="2" t="s">
        <v>573</v>
      </c>
      <c r="D847" s="2" t="str">
        <f t="shared" si="12"/>
        <v>Error?</v>
      </c>
    </row>
    <row r="848" spans="1:4" x14ac:dyDescent="0.2">
      <c r="A848" s="5">
        <v>787</v>
      </c>
      <c r="B848" s="138">
        <f>'Expenditures 15-22'!E49</f>
        <v>39308</v>
      </c>
      <c r="D848" s="2" t="str">
        <f t="shared" si="12"/>
        <v>Error?</v>
      </c>
    </row>
    <row r="849" spans="1:4" x14ac:dyDescent="0.2">
      <c r="A849" s="5">
        <v>788</v>
      </c>
      <c r="B849" s="138">
        <f>'Expenditures 15-22'!E50</f>
        <v>7177</v>
      </c>
      <c r="D849" s="2" t="str">
        <f t="shared" si="12"/>
        <v>Error?</v>
      </c>
    </row>
    <row r="850" spans="1:4" x14ac:dyDescent="0.2">
      <c r="A850" s="5">
        <v>789</v>
      </c>
      <c r="B850" s="138">
        <f>'Expenditures 15-22'!E53</f>
        <v>46485</v>
      </c>
      <c r="C850" s="2" t="s">
        <v>573</v>
      </c>
      <c r="D850" s="2" t="str">
        <f t="shared" si="12"/>
        <v>Error?</v>
      </c>
    </row>
    <row r="851" spans="1:4" x14ac:dyDescent="0.2">
      <c r="A851" s="5">
        <v>790</v>
      </c>
      <c r="B851" s="138">
        <f>'Expenditures 15-22'!E55</f>
        <v>20803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20803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2668</v>
      </c>
      <c r="D855" s="2" t="str">
        <f t="shared" si="12"/>
        <v>Error?</v>
      </c>
    </row>
    <row r="856" spans="1:4" x14ac:dyDescent="0.2">
      <c r="A856" s="5">
        <v>795</v>
      </c>
      <c r="B856" s="138">
        <f>'Expenditures 15-22'!E61</f>
        <v>9849</v>
      </c>
      <c r="D856" s="2" t="str">
        <f t="shared" si="12"/>
        <v>Error?</v>
      </c>
    </row>
    <row r="857" spans="1:4" x14ac:dyDescent="0.2">
      <c r="A857" s="5">
        <v>796</v>
      </c>
      <c r="B857" s="138">
        <f>'Expenditures 15-22'!E62</f>
        <v>140</v>
      </c>
      <c r="D857" s="2" t="str">
        <f t="shared" si="12"/>
        <v>Error?</v>
      </c>
    </row>
    <row r="858" spans="1:4" x14ac:dyDescent="0.2">
      <c r="A858" s="5">
        <v>797</v>
      </c>
      <c r="B858" s="138">
        <f>'Expenditures 15-22'!E63</f>
        <v>5963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18620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10188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10188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132495</v>
      </c>
      <c r="C871" s="2" t="s">
        <v>573</v>
      </c>
      <c r="D871" s="2" t="str">
        <f t="shared" si="12"/>
        <v>Error?</v>
      </c>
    </row>
    <row r="872" spans="1:4" x14ac:dyDescent="0.2">
      <c r="A872" s="5">
        <v>811</v>
      </c>
      <c r="B872" s="138">
        <f>'Expenditures 15-22'!E75</f>
        <v>25</v>
      </c>
      <c r="D872" s="2" t="str">
        <f t="shared" si="12"/>
        <v>Error?</v>
      </c>
    </row>
    <row r="873" spans="1:4" x14ac:dyDescent="0.2">
      <c r="A873" s="5">
        <v>812</v>
      </c>
      <c r="B873" s="138">
        <f>'Expenditures 15-22'!E114</f>
        <v>562798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135549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2124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175013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5012</v>
      </c>
      <c r="C905" s="2" t="s">
        <v>573</v>
      </c>
      <c r="D905" s="2" t="str">
        <f t="shared" si="13"/>
        <v>Error?</v>
      </c>
    </row>
    <row r="906" spans="1:4" x14ac:dyDescent="0.2">
      <c r="A906" s="5">
        <v>845</v>
      </c>
      <c r="B906" s="138">
        <f>'Expenditures 15-22'!F49</f>
        <v>6360</v>
      </c>
      <c r="D906" s="2" t="str">
        <f t="shared" si="13"/>
        <v>Error?</v>
      </c>
    </row>
    <row r="907" spans="1:4" x14ac:dyDescent="0.2">
      <c r="A907" s="5">
        <v>846</v>
      </c>
      <c r="B907" s="138">
        <f>'Expenditures 15-22'!F50</f>
        <v>515</v>
      </c>
      <c r="D907" s="2" t="str">
        <f t="shared" si="13"/>
        <v>Error?</v>
      </c>
    </row>
    <row r="908" spans="1:4" x14ac:dyDescent="0.2">
      <c r="A908" s="5">
        <v>847</v>
      </c>
      <c r="B908" s="138">
        <f>'Expenditures 15-22'!F53</f>
        <v>6875</v>
      </c>
      <c r="C908" s="2" t="s">
        <v>573</v>
      </c>
      <c r="D908" s="2" t="str">
        <f t="shared" si="13"/>
        <v>Error?</v>
      </c>
    </row>
    <row r="909" spans="1:4" x14ac:dyDescent="0.2">
      <c r="A909" s="5">
        <v>848</v>
      </c>
      <c r="B909" s="138">
        <f>'Expenditures 15-22'!F55</f>
        <v>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686</v>
      </c>
      <c r="D913" s="2" t="str">
        <f t="shared" si="13"/>
        <v>Error?</v>
      </c>
    </row>
    <row r="914" spans="1:4" x14ac:dyDescent="0.2">
      <c r="A914" s="5">
        <v>853</v>
      </c>
      <c r="B914" s="138">
        <f>'Expenditures 15-22'!F61</f>
        <v>15741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189963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206390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219164</v>
      </c>
      <c r="C929" s="2" t="s">
        <v>573</v>
      </c>
      <c r="D929" s="2" t="str">
        <f t="shared" si="13"/>
        <v>Error?</v>
      </c>
    </row>
    <row r="930" spans="1:4" x14ac:dyDescent="0.2">
      <c r="A930" s="5">
        <v>869</v>
      </c>
      <c r="B930" s="138">
        <f>'Expenditures 15-22'!F75</f>
        <v>510</v>
      </c>
      <c r="D930" s="2" t="str">
        <f t="shared" si="13"/>
        <v>Error?</v>
      </c>
    </row>
    <row r="931" spans="1:4" x14ac:dyDescent="0.2">
      <c r="A931" s="5">
        <v>870</v>
      </c>
      <c r="B931" s="138">
        <f>'Expenditures 15-22'!F114</f>
        <v>394687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3895</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10196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25346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25346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25346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35542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306038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306038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2632026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120970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66177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3622276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89335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25505</v>
      </c>
      <c r="C1114" s="2" t="s">
        <v>573</v>
      </c>
      <c r="D1114" s="2" t="str">
        <f t="shared" si="16"/>
        <v>Error?</v>
      </c>
    </row>
    <row r="1115" spans="1:4" x14ac:dyDescent="0.2">
      <c r="A1115" s="5">
        <v>1054</v>
      </c>
      <c r="B1115" s="138">
        <f>'Expenditures 15-22'!K42</f>
        <v>114840</v>
      </c>
      <c r="C1115" s="2" t="s">
        <v>573</v>
      </c>
      <c r="D1115" s="2" t="str">
        <f t="shared" si="16"/>
        <v>Error?</v>
      </c>
    </row>
    <row r="1116" spans="1:4" x14ac:dyDescent="0.2">
      <c r="A1116" s="5">
        <v>1055</v>
      </c>
      <c r="B1116" s="138">
        <f>'Expenditures 15-22'!K44</f>
        <v>40002</v>
      </c>
      <c r="C1116" s="2" t="s">
        <v>573</v>
      </c>
      <c r="D1116" s="2" t="str">
        <f t="shared" si="16"/>
        <v>Error?</v>
      </c>
    </row>
    <row r="1117" spans="1:4" x14ac:dyDescent="0.2">
      <c r="A1117" s="5">
        <v>1056</v>
      </c>
      <c r="B1117" s="138">
        <f>'Expenditures 15-22'!K45</f>
        <v>88438</v>
      </c>
      <c r="C1117" s="2" t="s">
        <v>573</v>
      </c>
      <c r="D1117" s="2" t="str">
        <f t="shared" si="16"/>
        <v>Error?</v>
      </c>
    </row>
    <row r="1118" spans="1:4" x14ac:dyDescent="0.2">
      <c r="A1118" s="5">
        <v>1057</v>
      </c>
      <c r="B1118" s="138">
        <f>'Expenditures 15-22'!K46</f>
        <v>8054</v>
      </c>
      <c r="C1118" s="2" t="s">
        <v>573</v>
      </c>
      <c r="D1118" s="2" t="str">
        <f t="shared" si="16"/>
        <v>Error?</v>
      </c>
    </row>
    <row r="1119" spans="1:4" x14ac:dyDescent="0.2">
      <c r="A1119" s="5">
        <v>1058</v>
      </c>
      <c r="B1119" s="138">
        <f>'Expenditures 15-22'!K47</f>
        <v>136494</v>
      </c>
      <c r="C1119" s="2" t="s">
        <v>573</v>
      </c>
      <c r="D1119" s="2" t="str">
        <f t="shared" si="16"/>
        <v>Error?</v>
      </c>
    </row>
    <row r="1120" spans="1:4" x14ac:dyDescent="0.2">
      <c r="A1120" s="5">
        <v>1059</v>
      </c>
      <c r="B1120" s="138">
        <f>'Expenditures 15-22'!K49</f>
        <v>47858</v>
      </c>
      <c r="C1120" s="2" t="s">
        <v>573</v>
      </c>
      <c r="D1120" s="2" t="str">
        <f t="shared" si="16"/>
        <v>Error?</v>
      </c>
    </row>
    <row r="1121" spans="1:4" x14ac:dyDescent="0.2">
      <c r="A1121" s="5">
        <v>1060</v>
      </c>
      <c r="B1121" s="138">
        <f>'Expenditures 15-22'!K50</f>
        <v>167896</v>
      </c>
      <c r="C1121" s="2" t="s">
        <v>573</v>
      </c>
      <c r="D1121" s="2" t="str">
        <f t="shared" si="16"/>
        <v>Error?</v>
      </c>
    </row>
    <row r="1122" spans="1:4" x14ac:dyDescent="0.2">
      <c r="A1122" s="5">
        <v>1061</v>
      </c>
      <c r="B1122" s="138">
        <f>'Expenditures 15-22'!K53</f>
        <v>215754</v>
      </c>
      <c r="C1122" s="2" t="s">
        <v>573</v>
      </c>
      <c r="D1122" s="2" t="str">
        <f t="shared" si="16"/>
        <v>Error?</v>
      </c>
    </row>
    <row r="1123" spans="1:4" x14ac:dyDescent="0.2">
      <c r="A1123" s="5">
        <v>1062</v>
      </c>
      <c r="B1123" s="138">
        <f>'Expenditures 15-22'!K55</f>
        <v>437907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437907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93414</v>
      </c>
      <c r="C1127" s="2" t="s">
        <v>573</v>
      </c>
      <c r="D1127" s="2" t="str">
        <f t="shared" si="16"/>
        <v>Error?</v>
      </c>
    </row>
    <row r="1128" spans="1:4" x14ac:dyDescent="0.2">
      <c r="A1128" s="5">
        <v>1067</v>
      </c>
      <c r="B1128" s="138">
        <f>'Expenditures 15-22'!K61</f>
        <v>248532</v>
      </c>
      <c r="C1128" s="2" t="s">
        <v>573</v>
      </c>
      <c r="D1128" s="2" t="str">
        <f t="shared" si="16"/>
        <v>Error?</v>
      </c>
    </row>
    <row r="1129" spans="1:4" x14ac:dyDescent="0.2">
      <c r="A1129" s="5">
        <v>1068</v>
      </c>
      <c r="B1129" s="138">
        <f>'Expenditures 15-22'!K62</f>
        <v>10789</v>
      </c>
      <c r="C1129" s="2" t="s">
        <v>573</v>
      </c>
      <c r="D1129" s="2" t="str">
        <f t="shared" si="16"/>
        <v>Error?</v>
      </c>
    </row>
    <row r="1130" spans="1:4" x14ac:dyDescent="0.2">
      <c r="A1130" s="5">
        <v>1069</v>
      </c>
      <c r="B1130" s="138">
        <f>'Expenditures 15-22'!K63</f>
        <v>373789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726524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10188</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10188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1641707</v>
      </c>
      <c r="C1143" s="2" t="s">
        <v>573</v>
      </c>
      <c r="D1143" s="2" t="str">
        <f t="shared" si="16"/>
        <v>Error?</v>
      </c>
    </row>
    <row r="1144" spans="1:4" x14ac:dyDescent="0.2">
      <c r="A1144" s="5">
        <v>1083</v>
      </c>
      <c r="B1144" s="138">
        <f>'Expenditures 15-22'!K75</f>
        <v>13985</v>
      </c>
      <c r="C1144" s="2" t="s">
        <v>573</v>
      </c>
      <c r="D1144" s="2" t="str">
        <f t="shared" si="16"/>
        <v>Error?</v>
      </c>
    </row>
    <row r="1145" spans="1:4" x14ac:dyDescent="0.2">
      <c r="A1145" s="5">
        <v>1084</v>
      </c>
      <c r="B1145" s="138">
        <f>'Expenditures 15-22'!K102</f>
        <v>506493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5784461</v>
      </c>
      <c r="C1152" s="2" t="s">
        <v>573</v>
      </c>
      <c r="D1152" s="2" t="str">
        <f t="shared" si="17"/>
        <v>Error?</v>
      </c>
    </row>
    <row r="1153" spans="1:4" x14ac:dyDescent="0.2">
      <c r="A1153" s="5">
        <v>1092</v>
      </c>
      <c r="B1153" s="138">
        <f>'Expenditures 15-22'!K115</f>
        <v>294244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87719</v>
      </c>
      <c r="D1237" s="2" t="str">
        <f t="shared" si="18"/>
        <v>Error?</v>
      </c>
    </row>
    <row r="1238" spans="1:4" x14ac:dyDescent="0.2">
      <c r="A1238" s="10">
        <v>1177</v>
      </c>
      <c r="D1238" s="2" t="str">
        <f t="shared" si="18"/>
        <v>OK</v>
      </c>
    </row>
    <row r="1239" spans="1:4" x14ac:dyDescent="0.2">
      <c r="A1239" s="5">
        <v>1178</v>
      </c>
      <c r="B1239" s="138">
        <f>'Expenditures 15-22'!E127</f>
        <v>87719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87719</v>
      </c>
      <c r="C1241" s="2" t="s">
        <v>573</v>
      </c>
      <c r="D1241" s="2" t="str">
        <f t="shared" si="18"/>
        <v>Error?</v>
      </c>
    </row>
    <row r="1242" spans="1:4" x14ac:dyDescent="0.2">
      <c r="A1242" s="5">
        <v>1181</v>
      </c>
      <c r="B1242" s="138">
        <f>'Expenditures 15-22'!E151</f>
        <v>192037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130506</v>
      </c>
      <c r="D1245" s="2" t="str">
        <f t="shared" si="18"/>
        <v>Error?</v>
      </c>
    </row>
    <row r="1246" spans="1:4" x14ac:dyDescent="0.2">
      <c r="A1246" s="10">
        <v>1185</v>
      </c>
      <c r="D1246" s="2" t="str">
        <f t="shared" si="18"/>
        <v>OK</v>
      </c>
    </row>
    <row r="1247" spans="1:4" x14ac:dyDescent="0.2">
      <c r="A1247" s="5">
        <v>1186</v>
      </c>
      <c r="B1247" s="138">
        <f>'Expenditures 15-22'!F127</f>
        <v>133738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133738</v>
      </c>
      <c r="C1249" s="2" t="s">
        <v>573</v>
      </c>
      <c r="D1249" s="2" t="str">
        <f t="shared" si="18"/>
        <v>Error?</v>
      </c>
    </row>
    <row r="1250" spans="1:4" x14ac:dyDescent="0.2">
      <c r="A1250" s="5">
        <v>1189</v>
      </c>
      <c r="B1250" s="138">
        <f>'Expenditures 15-22'!F151</f>
        <v>133738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3521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3521</v>
      </c>
      <c r="C1258" s="2" t="s">
        <v>573</v>
      </c>
      <c r="D1258" s="2" t="str">
        <f t="shared" si="18"/>
        <v>Error?</v>
      </c>
    </row>
    <row r="1259" spans="1:4" x14ac:dyDescent="0.2">
      <c r="A1259" s="5">
        <v>1198</v>
      </c>
      <c r="B1259" s="138">
        <f>'Expenditures 15-22'!G151</f>
        <v>3521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221746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224978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224978</v>
      </c>
      <c r="C1281" s="2" t="s">
        <v>573</v>
      </c>
      <c r="D1281" s="2" t="str">
        <f t="shared" si="19"/>
        <v>Error?</v>
      </c>
    </row>
    <row r="1282" spans="1:4" x14ac:dyDescent="0.2">
      <c r="A1282" s="5">
        <v>1221</v>
      </c>
      <c r="B1282" s="138">
        <f>'Expenditures 15-22'!K139</f>
        <v>104318</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329296</v>
      </c>
      <c r="C1288" s="2" t="s">
        <v>573</v>
      </c>
      <c r="D1288" s="2" t="str">
        <f t="shared" si="19"/>
        <v>Error?</v>
      </c>
    </row>
    <row r="1289" spans="1:4" x14ac:dyDescent="0.2">
      <c r="A1289" s="5">
        <v>1228</v>
      </c>
      <c r="B1289" s="138">
        <f>'Expenditures 15-22'!K152</f>
        <v>12423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1850</v>
      </c>
      <c r="D1307" s="2" t="str">
        <f t="shared" si="19"/>
        <v>Error?</v>
      </c>
    </row>
    <row r="1308" spans="1:4" x14ac:dyDescent="0.2">
      <c r="A1308" s="5">
        <v>1247</v>
      </c>
      <c r="B1308" s="138">
        <f>'Expenditures 15-22'!E172</f>
        <v>1850</v>
      </c>
      <c r="C1308" s="2" t="s">
        <v>573</v>
      </c>
      <c r="D1308" s="2" t="str">
        <f t="shared" si="19"/>
        <v>Error?</v>
      </c>
    </row>
    <row r="1309" spans="1:4" x14ac:dyDescent="0.2">
      <c r="A1309" s="5">
        <v>1248</v>
      </c>
      <c r="B1309" s="138">
        <f>'Expenditures 15-22'!E174</f>
        <v>1850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179536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259000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438536</v>
      </c>
      <c r="C1317" s="2" t="s">
        <v>573</v>
      </c>
      <c r="D1317" s="2" t="str">
        <f t="shared" si="19"/>
        <v>Error?</v>
      </c>
    </row>
    <row r="1318" spans="1:4" x14ac:dyDescent="0.2">
      <c r="A1318" s="5">
        <v>1257</v>
      </c>
      <c r="B1318" s="138">
        <f>'Expenditures 15-22'!H174</f>
        <v>438536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179536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259000</v>
      </c>
      <c r="C1329" s="2" t="s">
        <v>573</v>
      </c>
      <c r="D1329" s="2" t="str">
        <f t="shared" si="19"/>
        <v>Error?</v>
      </c>
    </row>
    <row r="1330" spans="1:4" x14ac:dyDescent="0.2">
      <c r="A1330" s="5">
        <v>1269</v>
      </c>
      <c r="B1330" s="138">
        <f>'Expenditures 15-22'!K171</f>
        <v>1850</v>
      </c>
      <c r="C1330" s="2" t="s">
        <v>573</v>
      </c>
      <c r="D1330" s="2" t="str">
        <f t="shared" si="19"/>
        <v>Error?</v>
      </c>
    </row>
    <row r="1331" spans="1:4" x14ac:dyDescent="0.2">
      <c r="A1331" s="5">
        <v>1270</v>
      </c>
      <c r="B1331" s="138">
        <f>'Expenditures 15-22'!K172</f>
        <v>440386</v>
      </c>
      <c r="C1331" s="2" t="s">
        <v>573</v>
      </c>
      <c r="D1331" s="2" t="str">
        <f t="shared" si="19"/>
        <v>Error?</v>
      </c>
    </row>
    <row r="1332" spans="1:4" x14ac:dyDescent="0.2">
      <c r="A1332" s="5">
        <v>1271</v>
      </c>
      <c r="B1332" s="138">
        <f>'Expenditures 15-22'!K174</f>
        <v>440386</v>
      </c>
      <c r="C1332" s="2" t="s">
        <v>573</v>
      </c>
      <c r="D1332" s="2" t="str">
        <f t="shared" si="19"/>
        <v>Error?</v>
      </c>
    </row>
    <row r="1333" spans="1:4" x14ac:dyDescent="0.2">
      <c r="A1333" s="5">
        <v>1272</v>
      </c>
      <c r="B1333" s="138">
        <f>'Expenditures 15-22'!K175</f>
        <v>-32988</v>
      </c>
      <c r="C1333" s="2" t="s">
        <v>573</v>
      </c>
      <c r="D1333" s="2" t="str">
        <f t="shared" si="19"/>
        <v>Error?</v>
      </c>
    </row>
    <row r="1334" spans="1:4" x14ac:dyDescent="0.2">
      <c r="A1334" s="10">
        <v>1273</v>
      </c>
      <c r="D1334" s="2" t="str">
        <f t="shared" si="19"/>
        <v>OK</v>
      </c>
    </row>
    <row r="1335" spans="1:4" x14ac:dyDescent="0.2">
      <c r="A1335" s="5">
        <v>1274</v>
      </c>
      <c r="B1335" s="138">
        <f>'Expenditures 15-22'!C182</f>
        <v>148672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148672</v>
      </c>
      <c r="C1339" s="2" t="s">
        <v>573</v>
      </c>
      <c r="D1339" s="2" t="str">
        <f t="shared" si="19"/>
        <v>Error?</v>
      </c>
    </row>
    <row r="1340" spans="1:4" x14ac:dyDescent="0.2">
      <c r="A1340" s="5">
        <v>1279</v>
      </c>
      <c r="B1340" s="138">
        <f>'Expenditures 15-22'!C210</f>
        <v>148672</v>
      </c>
      <c r="C1340" s="2" t="s">
        <v>573</v>
      </c>
      <c r="D1340" s="2" t="str">
        <f t="shared" si="19"/>
        <v>Error?</v>
      </c>
    </row>
    <row r="1341" spans="1:4" x14ac:dyDescent="0.2">
      <c r="A1341" s="5">
        <v>1280</v>
      </c>
      <c r="B1341" s="138">
        <f>'Expenditures 15-22'!D182</f>
        <v>10029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10029</v>
      </c>
      <c r="C1345" s="2" t="s">
        <v>573</v>
      </c>
      <c r="D1345" s="2" t="str">
        <f t="shared" si="20"/>
        <v>Error?</v>
      </c>
    </row>
    <row r="1346" spans="1:4" x14ac:dyDescent="0.2">
      <c r="A1346" s="5">
        <v>1285</v>
      </c>
      <c r="B1346" s="138">
        <f>'Expenditures 15-22'!D210</f>
        <v>10029</v>
      </c>
      <c r="C1346" s="2" t="s">
        <v>573</v>
      </c>
      <c r="D1346" s="2" t="str">
        <f t="shared" si="20"/>
        <v>Error?</v>
      </c>
    </row>
    <row r="1347" spans="1:4" x14ac:dyDescent="0.2">
      <c r="A1347" s="5">
        <v>1286</v>
      </c>
      <c r="B1347" s="138">
        <f>'Expenditures 15-22'!E182</f>
        <v>16672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16672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16672</v>
      </c>
      <c r="C1353" s="2" t="s">
        <v>573</v>
      </c>
      <c r="D1353" s="2" t="str">
        <f t="shared" si="20"/>
        <v>Error?</v>
      </c>
    </row>
    <row r="1354" spans="1:4" x14ac:dyDescent="0.2">
      <c r="A1354" s="5">
        <v>1293</v>
      </c>
      <c r="B1354" s="138">
        <f>'Expenditures 15-22'!F182</f>
        <v>20197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20197</v>
      </c>
      <c r="C1358" s="2" t="s">
        <v>573</v>
      </c>
      <c r="D1358" s="2" t="str">
        <f t="shared" si="20"/>
        <v>Error?</v>
      </c>
    </row>
    <row r="1359" spans="1:4" x14ac:dyDescent="0.2">
      <c r="A1359" s="5">
        <v>1298</v>
      </c>
      <c r="B1359" s="138">
        <f>'Expenditures 15-22'!F210</f>
        <v>20197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83401</v>
      </c>
      <c r="C1375" s="2" t="s">
        <v>573</v>
      </c>
      <c r="D1375" s="2" t="str">
        <f t="shared" si="20"/>
        <v>Error?</v>
      </c>
    </row>
    <row r="1376" spans="1:4" x14ac:dyDescent="0.2">
      <c r="A1376" s="5">
        <v>1315</v>
      </c>
      <c r="B1376" s="138">
        <f>'Expenditures 15-22'!H210</f>
        <v>83401</v>
      </c>
      <c r="C1376" s="2" t="s">
        <v>573</v>
      </c>
      <c r="D1376" s="2" t="str">
        <f t="shared" si="20"/>
        <v>Error?</v>
      </c>
    </row>
    <row r="1377" spans="1:4" x14ac:dyDescent="0.2">
      <c r="A1377" s="5">
        <v>1316</v>
      </c>
      <c r="B1377" s="138">
        <f>'Expenditures 15-22'!K182</f>
        <v>195570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195570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83401</v>
      </c>
      <c r="C1387" s="2" t="s">
        <v>573</v>
      </c>
      <c r="D1387" s="2" t="str">
        <f t="shared" si="20"/>
        <v>Error?</v>
      </c>
    </row>
    <row r="1388" spans="1:4" x14ac:dyDescent="0.2">
      <c r="A1388" s="5">
        <v>1327</v>
      </c>
      <c r="B1388" s="138">
        <f>'Expenditures 15-22'!K210</f>
        <v>278971</v>
      </c>
      <c r="C1388" s="2" t="s">
        <v>573</v>
      </c>
      <c r="D1388" s="2" t="str">
        <f t="shared" si="20"/>
        <v>Error?</v>
      </c>
    </row>
    <row r="1389" spans="1:4" x14ac:dyDescent="0.2">
      <c r="A1389" s="5">
        <v>1328</v>
      </c>
      <c r="B1389" s="138">
        <f>'Expenditures 15-22'!K211</f>
        <v>38350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2973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3279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51514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3951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2645</v>
      </c>
      <c r="D1416" s="2" t="str">
        <f t="shared" si="21"/>
        <v>Error?</v>
      </c>
    </row>
    <row r="1417" spans="1:4" x14ac:dyDescent="0.2">
      <c r="A1417" s="5">
        <v>1356</v>
      </c>
      <c r="B1417" s="138">
        <f>'Expenditures 15-22'!D238</f>
        <v>6596</v>
      </c>
      <c r="C1417" s="2" t="s">
        <v>573</v>
      </c>
      <c r="D1417" s="2" t="str">
        <f t="shared" si="21"/>
        <v>Error?</v>
      </c>
    </row>
    <row r="1418" spans="1:4" x14ac:dyDescent="0.2">
      <c r="A1418" s="5">
        <v>1357</v>
      </c>
      <c r="B1418" s="138">
        <f>'Expenditures 15-22'!D240</f>
        <v>125</v>
      </c>
      <c r="D1418" s="2" t="str">
        <f t="shared" si="21"/>
        <v>Error?</v>
      </c>
    </row>
    <row r="1419" spans="1:4" x14ac:dyDescent="0.2">
      <c r="A1419" s="5">
        <v>1358</v>
      </c>
      <c r="B1419" s="138">
        <f>'Expenditures 15-22'!D241</f>
        <v>1040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1165</v>
      </c>
      <c r="C1421" s="2" t="s">
        <v>573</v>
      </c>
      <c r="D1421" s="2" t="str">
        <f t="shared" si="21"/>
        <v>Error?</v>
      </c>
    </row>
    <row r="1422" spans="1:4" x14ac:dyDescent="0.2">
      <c r="A1422" s="5">
        <v>1361</v>
      </c>
      <c r="B1422" s="138">
        <f>'Expenditures 15-22'!D245</f>
        <v>31</v>
      </c>
      <c r="D1422" s="2" t="str">
        <f t="shared" si="21"/>
        <v>Error?</v>
      </c>
    </row>
    <row r="1423" spans="1:4" x14ac:dyDescent="0.2">
      <c r="A1423" s="5">
        <v>1362</v>
      </c>
      <c r="B1423" s="138">
        <f>'Expenditures 15-22'!D246</f>
        <v>2274</v>
      </c>
      <c r="D1423" s="2" t="str">
        <f t="shared" si="21"/>
        <v>Error?</v>
      </c>
    </row>
    <row r="1424" spans="1:4" x14ac:dyDescent="0.2">
      <c r="A1424" s="5">
        <v>1363</v>
      </c>
      <c r="B1424" s="138">
        <f>'Expenditures 15-22'!D257</f>
        <v>3410</v>
      </c>
      <c r="C1424" s="2" t="s">
        <v>573</v>
      </c>
      <c r="D1424" s="2" t="str">
        <f t="shared" si="21"/>
        <v>Error?</v>
      </c>
    </row>
    <row r="1425" spans="1:4" x14ac:dyDescent="0.2">
      <c r="A1425" s="5">
        <v>1364</v>
      </c>
      <c r="B1425" s="138">
        <f>'Expenditures 15-22'!D259</f>
        <v>19578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19578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19599</v>
      </c>
      <c r="D1431" s="2" t="str">
        <f t="shared" si="21"/>
        <v>Error?</v>
      </c>
    </row>
    <row r="1432" spans="1:4" x14ac:dyDescent="0.2">
      <c r="A1432" s="5">
        <v>1371</v>
      </c>
      <c r="B1432" s="138">
        <f>'Expenditures 15-22'!D267</f>
        <v>16671</v>
      </c>
      <c r="D1432" s="2" t="str">
        <f t="shared" si="21"/>
        <v>Error?</v>
      </c>
    </row>
    <row r="1433" spans="1:4" x14ac:dyDescent="0.2">
      <c r="A1433" s="5">
        <v>1372</v>
      </c>
      <c r="B1433" s="138">
        <f>'Expenditures 15-22'!D268</f>
        <v>17109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54551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85300</v>
      </c>
      <c r="C1446" s="2" t="s">
        <v>573</v>
      </c>
      <c r="D1446" s="2" t="str">
        <f t="shared" si="21"/>
        <v>Error?</v>
      </c>
    </row>
    <row r="1447" spans="1:4" x14ac:dyDescent="0.2">
      <c r="A1447" s="5">
        <v>1386</v>
      </c>
      <c r="B1447" s="138">
        <f>'Expenditures 15-22'!D280</f>
        <v>570</v>
      </c>
      <c r="D1447" s="2" t="str">
        <f t="shared" si="21"/>
        <v>Error?</v>
      </c>
    </row>
    <row r="1448" spans="1:4" x14ac:dyDescent="0.2">
      <c r="A1448" s="5">
        <v>1387</v>
      </c>
      <c r="B1448" s="138">
        <f>'Expenditures 15-22'!D295</f>
        <v>137384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2973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3279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51514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3951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2645</v>
      </c>
      <c r="C1480" s="2" t="s">
        <v>573</v>
      </c>
      <c r="D1480" s="2" t="str">
        <f t="shared" si="22"/>
        <v>Error?</v>
      </c>
    </row>
    <row r="1481" spans="1:4" x14ac:dyDescent="0.2">
      <c r="A1481" s="5">
        <v>1420</v>
      </c>
      <c r="B1481" s="138">
        <f>'Expenditures 15-22'!K238</f>
        <v>6596</v>
      </c>
      <c r="C1481" s="2" t="s">
        <v>573</v>
      </c>
      <c r="D1481" s="2" t="str">
        <f t="shared" si="22"/>
        <v>Error?</v>
      </c>
    </row>
    <row r="1482" spans="1:4" x14ac:dyDescent="0.2">
      <c r="A1482" s="5">
        <v>1421</v>
      </c>
      <c r="B1482" s="138">
        <f>'Expenditures 15-22'!K240</f>
        <v>125</v>
      </c>
      <c r="C1482" s="2" t="s">
        <v>573</v>
      </c>
      <c r="D1482" s="2" t="str">
        <f t="shared" si="22"/>
        <v>Error?</v>
      </c>
    </row>
    <row r="1483" spans="1:4" x14ac:dyDescent="0.2">
      <c r="A1483" s="5">
        <v>1422</v>
      </c>
      <c r="B1483" s="138">
        <f>'Expenditures 15-22'!K241</f>
        <v>1040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1165</v>
      </c>
      <c r="C1485" s="2" t="s">
        <v>573</v>
      </c>
      <c r="D1485" s="2" t="str">
        <f t="shared" si="22"/>
        <v>Error?</v>
      </c>
    </row>
    <row r="1486" spans="1:4" x14ac:dyDescent="0.2">
      <c r="A1486" s="5">
        <v>1425</v>
      </c>
      <c r="B1486" s="138">
        <f>'Expenditures 15-22'!K245</f>
        <v>31</v>
      </c>
      <c r="C1486" s="2" t="s">
        <v>573</v>
      </c>
      <c r="D1486" s="2" t="str">
        <f t="shared" si="22"/>
        <v>Error?</v>
      </c>
    </row>
    <row r="1487" spans="1:4" x14ac:dyDescent="0.2">
      <c r="A1487" s="5">
        <v>1426</v>
      </c>
      <c r="B1487" s="138">
        <f>'Expenditures 15-22'!K246</f>
        <v>2274</v>
      </c>
      <c r="C1487" s="2" t="s">
        <v>573</v>
      </c>
      <c r="D1487" s="2" t="str">
        <f t="shared" si="22"/>
        <v>Error?</v>
      </c>
    </row>
    <row r="1488" spans="1:4" x14ac:dyDescent="0.2">
      <c r="A1488" s="5">
        <v>1427</v>
      </c>
      <c r="B1488" s="138">
        <f>'Expenditures 15-22'!K257</f>
        <v>3410</v>
      </c>
      <c r="C1488" s="2" t="s">
        <v>573</v>
      </c>
      <c r="D1488" s="2" t="str">
        <f t="shared" si="22"/>
        <v>Error?</v>
      </c>
    </row>
    <row r="1489" spans="1:4" x14ac:dyDescent="0.2">
      <c r="A1489" s="5">
        <v>1428</v>
      </c>
      <c r="B1489" s="138">
        <f>'Expenditures 15-22'!K259</f>
        <v>19578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19578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1172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19599</v>
      </c>
      <c r="C1495" s="2" t="s">
        <v>573</v>
      </c>
      <c r="D1495" s="2" t="str">
        <f t="shared" si="22"/>
        <v>Error?</v>
      </c>
    </row>
    <row r="1496" spans="1:4" x14ac:dyDescent="0.2">
      <c r="A1496" s="5">
        <v>1435</v>
      </c>
      <c r="B1496" s="138">
        <f>'Expenditures 15-22'!K267</f>
        <v>16671</v>
      </c>
      <c r="C1496" s="2" t="s">
        <v>573</v>
      </c>
      <c r="D1496" s="2" t="str">
        <f t="shared" si="22"/>
        <v>Error?</v>
      </c>
    </row>
    <row r="1497" spans="1:4" x14ac:dyDescent="0.2">
      <c r="A1497" s="5">
        <v>1436</v>
      </c>
      <c r="B1497" s="138">
        <f>'Expenditures 15-22'!K268</f>
        <v>17109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54551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85300</v>
      </c>
      <c r="C1510" s="2" t="s">
        <v>573</v>
      </c>
      <c r="D1510" s="2" t="str">
        <f t="shared" si="22"/>
        <v>Error?</v>
      </c>
    </row>
    <row r="1511" spans="1:4" x14ac:dyDescent="0.2">
      <c r="A1511" s="5">
        <v>1450</v>
      </c>
      <c r="B1511" s="138">
        <f>'Expenditures 15-22'!K280</f>
        <v>570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137384</v>
      </c>
      <c r="C1517" s="2" t="s">
        <v>573</v>
      </c>
      <c r="D1517" s="2" t="str">
        <f t="shared" si="22"/>
        <v>Error?</v>
      </c>
    </row>
    <row r="1518" spans="1:4" x14ac:dyDescent="0.2">
      <c r="A1518" s="5">
        <v>1457</v>
      </c>
      <c r="B1518" s="138">
        <f>'Expenditures 15-22'!K296</f>
        <v>52181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1330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1330</v>
      </c>
      <c r="C1535" s="2" t="s">
        <v>573</v>
      </c>
      <c r="D1535" s="2" t="str">
        <f t="shared" ref="D1535:D1598" si="23">IF(ISBLANK(B1535),"OK",IF(A1535-B1535=0,"OK","Error?"))</f>
        <v>Error?</v>
      </c>
    </row>
    <row r="1536" spans="1:4" x14ac:dyDescent="0.2">
      <c r="A1536" s="5">
        <v>1475</v>
      </c>
      <c r="B1536" s="138">
        <f>'Expenditures 15-22'!E312</f>
        <v>1330</v>
      </c>
      <c r="C1536" s="2" t="s">
        <v>573</v>
      </c>
      <c r="D1536" s="2" t="str">
        <f t="shared" si="23"/>
        <v>Error?</v>
      </c>
    </row>
    <row r="1537" spans="1:4" x14ac:dyDescent="0.2">
      <c r="A1537" s="5">
        <v>1476</v>
      </c>
      <c r="B1537" s="138">
        <f>'Expenditures 15-22'!F301</f>
        <v>1900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1900</v>
      </c>
      <c r="C1541" s="2" t="s">
        <v>573</v>
      </c>
      <c r="D1541" s="2" t="str">
        <f t="shared" si="23"/>
        <v>Error?</v>
      </c>
    </row>
    <row r="1542" spans="1:4" x14ac:dyDescent="0.2">
      <c r="A1542" s="5">
        <v>1481</v>
      </c>
      <c r="B1542" s="138">
        <f>'Expenditures 15-22'!F312</f>
        <v>1900</v>
      </c>
      <c r="C1542" s="2" t="s">
        <v>573</v>
      </c>
      <c r="D1542" s="2" t="str">
        <f t="shared" si="23"/>
        <v>Error?</v>
      </c>
    </row>
    <row r="1543" spans="1:4" x14ac:dyDescent="0.2">
      <c r="A1543" s="5">
        <v>1482</v>
      </c>
      <c r="B1543" s="138">
        <f>'Expenditures 15-22'!G301</f>
        <v>87263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87263</v>
      </c>
      <c r="C1547" s="2" t="s">
        <v>573</v>
      </c>
      <c r="D1547" s="2" t="str">
        <f t="shared" si="23"/>
        <v>Error?</v>
      </c>
    </row>
    <row r="1548" spans="1:4" x14ac:dyDescent="0.2">
      <c r="A1548" s="5">
        <v>1487</v>
      </c>
      <c r="B1548" s="138">
        <f>'Expenditures 15-22'!G312</f>
        <v>87263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90493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90493</v>
      </c>
      <c r="C1559" s="2" t="s">
        <v>573</v>
      </c>
      <c r="D1559" s="2" t="str">
        <f t="shared" si="23"/>
        <v>Error?</v>
      </c>
    </row>
    <row r="1560" spans="1:4" x14ac:dyDescent="0.2">
      <c r="A1560" s="5">
        <v>1499</v>
      </c>
      <c r="B1560" s="138">
        <f>'Expenditures 15-22'!K312</f>
        <v>90493</v>
      </c>
      <c r="C1560" s="2" t="s">
        <v>573</v>
      </c>
      <c r="D1560" s="2" t="str">
        <f t="shared" si="23"/>
        <v>Error?</v>
      </c>
    </row>
    <row r="1561" spans="1:4" x14ac:dyDescent="0.2">
      <c r="A1561" s="5">
        <v>1500</v>
      </c>
      <c r="B1561" s="138">
        <f>'Expenditures 15-22'!K313</f>
        <v>251398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5093677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5387921</v>
      </c>
      <c r="C1630" s="2" t="s">
        <v>573</v>
      </c>
      <c r="D1630" s="2" t="str">
        <f t="shared" si="24"/>
        <v>Error?</v>
      </c>
    </row>
    <row r="1631" spans="1:4" x14ac:dyDescent="0.2">
      <c r="A1631" s="5">
        <v>1570</v>
      </c>
      <c r="B1631" s="138">
        <f>'Acct Summary 7-8'!D79</f>
        <v>1902735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1915158</v>
      </c>
      <c r="C1644" s="2" t="s">
        <v>573</v>
      </c>
      <c r="D1644" s="2" t="str">
        <f t="shared" si="24"/>
        <v>Error?</v>
      </c>
    </row>
    <row r="1645" spans="1:4" x14ac:dyDescent="0.2">
      <c r="A1645" s="5">
        <v>1584</v>
      </c>
      <c r="B1645" s="138">
        <f>'Acct Summary 7-8'!E79</f>
        <v>191954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158966</v>
      </c>
      <c r="C1658" s="2" t="s">
        <v>573</v>
      </c>
      <c r="D1658" s="2" t="str">
        <f t="shared" si="24"/>
        <v>Error?</v>
      </c>
    </row>
    <row r="1659" spans="1:4" x14ac:dyDescent="0.2">
      <c r="A1659" s="5">
        <v>1598</v>
      </c>
      <c r="B1659" s="138">
        <f>'Acct Summary 7-8'!F79</f>
        <v>397486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435836</v>
      </c>
      <c r="C1672" s="2" t="s">
        <v>573</v>
      </c>
      <c r="D1672" s="2" t="str">
        <f t="shared" si="25"/>
        <v>Error?</v>
      </c>
    </row>
    <row r="1673" spans="1:4" x14ac:dyDescent="0.2">
      <c r="A1673" s="5">
        <v>1612</v>
      </c>
      <c r="B1673" s="138">
        <f>'Acct Summary 7-8'!G79</f>
        <v>221266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273447</v>
      </c>
      <c r="C1686" s="2" t="s">
        <v>573</v>
      </c>
      <c r="D1686" s="2" t="str">
        <f t="shared" si="25"/>
        <v>Error?</v>
      </c>
    </row>
    <row r="1687" spans="1:4" x14ac:dyDescent="0.2">
      <c r="A1687" s="5">
        <v>1626</v>
      </c>
      <c r="B1687" s="138">
        <f>'Acct Summary 7-8'!H79</f>
        <v>223622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475020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2007697</v>
      </c>
      <c r="C1744" s="2" t="s">
        <v>573</v>
      </c>
      <c r="D1744" s="2" t="str">
        <f t="shared" si="26"/>
        <v>Error?</v>
      </c>
    </row>
    <row r="1745" spans="1:5" x14ac:dyDescent="0.2">
      <c r="A1745" s="5">
        <v>1684</v>
      </c>
      <c r="B1745" s="138">
        <f>'Tax Sched 23'!B5</f>
        <v>191574</v>
      </c>
      <c r="C1745" s="2" t="s">
        <v>573</v>
      </c>
      <c r="D1745" s="2" t="str">
        <f t="shared" si="26"/>
        <v>Error?</v>
      </c>
    </row>
    <row r="1746" spans="1:5" x14ac:dyDescent="0.2">
      <c r="A1746" s="5">
        <v>1685</v>
      </c>
      <c r="B1746" s="138">
        <f>'Tax Sched 23'!B6</f>
        <v>403249</v>
      </c>
      <c r="C1746" s="2" t="s">
        <v>573</v>
      </c>
      <c r="D1746" s="2" t="str">
        <f t="shared" si="26"/>
        <v>Error?</v>
      </c>
    </row>
    <row r="1747" spans="1:5" x14ac:dyDescent="0.2">
      <c r="A1747" s="5">
        <v>1686</v>
      </c>
      <c r="B1747" s="138">
        <f>'Tax Sched 23'!B7</f>
        <v>91955</v>
      </c>
      <c r="C1747" s="2" t="s">
        <v>573</v>
      </c>
      <c r="D1747" s="2" t="str">
        <f t="shared" si="26"/>
        <v>Error?</v>
      </c>
    </row>
    <row r="1748" spans="1:5" x14ac:dyDescent="0.2">
      <c r="A1748" s="5">
        <v>1687</v>
      </c>
      <c r="B1748" s="138">
        <f>'Tax Sched 23'!B8</f>
        <v>60597</v>
      </c>
      <c r="C1748" s="2" t="s">
        <v>573</v>
      </c>
      <c r="D1748" s="2" t="str">
        <f t="shared" si="26"/>
        <v>Error?</v>
      </c>
    </row>
    <row r="1749" spans="1:5" x14ac:dyDescent="0.2">
      <c r="A1749" s="5">
        <v>1688</v>
      </c>
      <c r="B1749" s="138">
        <f>'Tax Sched 23'!B10</f>
        <v>38315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144364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15325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3070408</v>
      </c>
      <c r="C1759" s="2" t="s">
        <v>573</v>
      </c>
      <c r="D1759" s="2" t="str">
        <f t="shared" si="26"/>
        <v>Error?</v>
      </c>
    </row>
    <row r="1760" spans="1:5" x14ac:dyDescent="0.2">
      <c r="A1760" s="5">
        <v>1699</v>
      </c>
      <c r="B1760" s="138">
        <f>'Tax Sched 23'!D4</f>
        <v>1201207</v>
      </c>
      <c r="C1760" s="2" t="s">
        <v>573</v>
      </c>
      <c r="D1760" s="2" t="str">
        <f t="shared" si="26"/>
        <v>Error?</v>
      </c>
    </row>
    <row r="1761" spans="1:5" x14ac:dyDescent="0.2">
      <c r="A1761" s="5">
        <v>1700</v>
      </c>
      <c r="B1761" s="138">
        <f>'Tax Sched 23'!D5</f>
        <v>114619</v>
      </c>
      <c r="C1761" s="2" t="s">
        <v>573</v>
      </c>
      <c r="D1761" s="2" t="str">
        <f t="shared" si="26"/>
        <v>Error?</v>
      </c>
    </row>
    <row r="1762" spans="1:5" s="8" customFormat="1" x14ac:dyDescent="0.2">
      <c r="A1762" s="5">
        <v>1701</v>
      </c>
      <c r="B1762" s="138">
        <f>'Tax Sched 23'!D6</f>
        <v>263806</v>
      </c>
      <c r="C1762" s="2" t="s">
        <v>573</v>
      </c>
      <c r="D1762" s="2" t="str">
        <f t="shared" si="26"/>
        <v>Error?</v>
      </c>
      <c r="E1762" s="9"/>
    </row>
    <row r="1763" spans="1:5" x14ac:dyDescent="0.2">
      <c r="A1763" s="5">
        <v>1702</v>
      </c>
      <c r="B1763" s="138">
        <f>'Tax Sched 23'!D7</f>
        <v>55017</v>
      </c>
      <c r="C1763" s="2" t="s">
        <v>573</v>
      </c>
      <c r="D1763" s="2" t="str">
        <f t="shared" si="26"/>
        <v>Error?</v>
      </c>
    </row>
    <row r="1764" spans="1:5" x14ac:dyDescent="0.2">
      <c r="A1764" s="5">
        <v>1703</v>
      </c>
      <c r="B1764" s="138">
        <f>'Tax Sched 23'!D8</f>
        <v>32524</v>
      </c>
      <c r="C1764" s="2" t="s">
        <v>573</v>
      </c>
      <c r="D1764" s="2" t="str">
        <f t="shared" si="26"/>
        <v>Error?</v>
      </c>
    </row>
    <row r="1765" spans="1:5" x14ac:dyDescent="0.2">
      <c r="A1765" s="5">
        <v>1704</v>
      </c>
      <c r="B1765" s="138">
        <f>'Tax Sched 23'!D10</f>
        <v>22924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88218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9169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1867385</v>
      </c>
      <c r="C1775" s="2" t="s">
        <v>573</v>
      </c>
      <c r="D1775" s="2" t="str">
        <f t="shared" si="26"/>
        <v>Error?</v>
      </c>
    </row>
    <row r="1776" spans="1:5" x14ac:dyDescent="0.2">
      <c r="A1776" s="5">
        <v>1715</v>
      </c>
      <c r="B1776" s="138">
        <f>'Tax Sched 23'!C4</f>
        <v>806490</v>
      </c>
      <c r="D1776" s="2" t="str">
        <f t="shared" si="26"/>
        <v>Error?</v>
      </c>
    </row>
    <row r="1777" spans="1:4" x14ac:dyDescent="0.2">
      <c r="A1777" s="5">
        <v>1716</v>
      </c>
      <c r="B1777" s="138">
        <f>'Tax Sched 23'!C5</f>
        <v>76955</v>
      </c>
      <c r="D1777" s="2" t="str">
        <f t="shared" si="26"/>
        <v>Error?</v>
      </c>
    </row>
    <row r="1778" spans="1:4" x14ac:dyDescent="0.2">
      <c r="A1778" s="5">
        <v>1717</v>
      </c>
      <c r="B1778" s="138">
        <f>'Tax Sched 23'!C6</f>
        <v>139443</v>
      </c>
      <c r="D1778" s="2" t="str">
        <f t="shared" si="26"/>
        <v>Error?</v>
      </c>
    </row>
    <row r="1779" spans="1:4" x14ac:dyDescent="0.2">
      <c r="A1779" s="5">
        <v>1718</v>
      </c>
      <c r="B1779" s="138">
        <f>'Tax Sched 23'!C7</f>
        <v>36938</v>
      </c>
      <c r="D1779" s="2" t="str">
        <f t="shared" si="26"/>
        <v>Error?</v>
      </c>
    </row>
    <row r="1780" spans="1:4" x14ac:dyDescent="0.2">
      <c r="A1780" s="5">
        <v>1719</v>
      </c>
      <c r="B1780" s="138">
        <f>'Tax Sched 23'!C8</f>
        <v>28073</v>
      </c>
      <c r="D1780" s="2" t="str">
        <f t="shared" si="26"/>
        <v>Error?</v>
      </c>
    </row>
    <row r="1781" spans="1:4" x14ac:dyDescent="0.2">
      <c r="A1781" s="5">
        <v>1720</v>
      </c>
      <c r="B1781" s="138">
        <f>'Tax Sched 23'!C10</f>
        <v>15391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56146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6156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1203023</v>
      </c>
      <c r="C1791" s="2" t="s">
        <v>573</v>
      </c>
      <c r="D1791" s="2" t="str">
        <f t="shared" ref="D1791:D1854" si="27">IF(ISBLANK(B1791),"OK",IF(A1791-B1791=0,"OK","Error?"))</f>
        <v>Error?</v>
      </c>
    </row>
    <row r="1792" spans="1:4" x14ac:dyDescent="0.2">
      <c r="A1792" s="5">
        <v>1731</v>
      </c>
      <c r="B1792" s="138">
        <f>'Tax Sched 23'!F4</f>
        <v>1224829</v>
      </c>
      <c r="C1792" s="2" t="s">
        <v>573</v>
      </c>
      <c r="D1792" s="2" t="str">
        <f t="shared" si="27"/>
        <v>Error?</v>
      </c>
    </row>
    <row r="1793" spans="1:4" x14ac:dyDescent="0.2">
      <c r="A1793" s="5">
        <v>1732</v>
      </c>
      <c r="B1793" s="138">
        <f>'Tax Sched 23'!F5</f>
        <v>116873</v>
      </c>
      <c r="C1793" s="2" t="s">
        <v>573</v>
      </c>
      <c r="D1793" s="2" t="str">
        <f t="shared" si="27"/>
        <v>Error?</v>
      </c>
    </row>
    <row r="1794" spans="1:4" x14ac:dyDescent="0.2">
      <c r="A1794" s="5">
        <v>1733</v>
      </c>
      <c r="B1794" s="138">
        <f>'Tax Sched 23'!F6</f>
        <v>211774</v>
      </c>
      <c r="C1794" s="2" t="s">
        <v>573</v>
      </c>
      <c r="D1794" s="2" t="str">
        <f t="shared" si="27"/>
        <v>Error?</v>
      </c>
    </row>
    <row r="1795" spans="1:4" x14ac:dyDescent="0.2">
      <c r="A1795" s="5">
        <v>1734</v>
      </c>
      <c r="B1795" s="138">
        <f>'Tax Sched 23'!F7</f>
        <v>56099</v>
      </c>
      <c r="C1795" s="2" t="s">
        <v>573</v>
      </c>
      <c r="D1795" s="2" t="str">
        <f t="shared" si="27"/>
        <v>Error?</v>
      </c>
    </row>
    <row r="1796" spans="1:4" x14ac:dyDescent="0.2">
      <c r="A1796" s="5">
        <v>1735</v>
      </c>
      <c r="B1796" s="138">
        <f>'Tax Sched 23'!F8</f>
        <v>42635</v>
      </c>
      <c r="C1796" s="2" t="s">
        <v>573</v>
      </c>
      <c r="D1796" s="2" t="str">
        <f t="shared" si="27"/>
        <v>Error?</v>
      </c>
    </row>
    <row r="1797" spans="1:4" x14ac:dyDescent="0.2">
      <c r="A1797" s="5">
        <v>1736</v>
      </c>
      <c r="B1797" s="138">
        <f>'Tax Sched 23'!F10</f>
        <v>23375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85271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9350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1827053</v>
      </c>
      <c r="C1807" s="2" t="s">
        <v>573</v>
      </c>
      <c r="D1807" s="2" t="str">
        <f t="shared" si="27"/>
        <v>Error?</v>
      </c>
    </row>
    <row r="1808" spans="1:4" x14ac:dyDescent="0.2">
      <c r="A1808" s="5">
        <v>1747</v>
      </c>
      <c r="B1808" s="138">
        <f>'Tax Sched 23'!E4</f>
        <v>2031319</v>
      </c>
      <c r="D1808" s="2" t="str">
        <f t="shared" si="27"/>
        <v>Error?</v>
      </c>
    </row>
    <row r="1809" spans="1:4" x14ac:dyDescent="0.2">
      <c r="A1809" s="5">
        <v>1748</v>
      </c>
      <c r="B1809" s="138">
        <f>'Tax Sched 23'!E5</f>
        <v>193828</v>
      </c>
      <c r="D1809" s="2" t="str">
        <f t="shared" si="27"/>
        <v>Error?</v>
      </c>
    </row>
    <row r="1810" spans="1:4" x14ac:dyDescent="0.2">
      <c r="A1810" s="5">
        <v>1749</v>
      </c>
      <c r="B1810" s="138">
        <f>'Tax Sched 23'!E6</f>
        <v>351217</v>
      </c>
      <c r="D1810" s="2" t="str">
        <f t="shared" si="27"/>
        <v>Error?</v>
      </c>
    </row>
    <row r="1811" spans="1:4" x14ac:dyDescent="0.2">
      <c r="A1811" s="5">
        <v>1750</v>
      </c>
      <c r="B1811" s="138">
        <f>'Tax Sched 23'!E7</f>
        <v>93037</v>
      </c>
      <c r="D1811" s="2" t="str">
        <f t="shared" si="27"/>
        <v>Error?</v>
      </c>
    </row>
    <row r="1812" spans="1:4" x14ac:dyDescent="0.2">
      <c r="A1812" s="5">
        <v>1751</v>
      </c>
      <c r="B1812" s="138">
        <f>'Tax Sched 23'!E8</f>
        <v>70708</v>
      </c>
      <c r="D1812" s="2" t="str">
        <f t="shared" si="27"/>
        <v>Error?</v>
      </c>
    </row>
    <row r="1813" spans="1:4" x14ac:dyDescent="0.2">
      <c r="A1813" s="5">
        <v>1752</v>
      </c>
      <c r="B1813" s="138">
        <f>'Tax Sched 23'!E10</f>
        <v>38766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141417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15506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3030076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3269000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15325</v>
      </c>
      <c r="D1972" s="2" t="str">
        <f t="shared" si="29"/>
        <v>Error?</v>
      </c>
    </row>
    <row r="1973" spans="1:5" x14ac:dyDescent="0.2">
      <c r="A1973" s="5">
        <v>1912</v>
      </c>
      <c r="B1973" s="138">
        <f>'Rest Tax Levies-Tort Im 25'!H6</f>
        <v>11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15336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15336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988388</v>
      </c>
      <c r="D2008" s="2" t="str">
        <f t="shared" si="30"/>
        <v>Error?</v>
      </c>
    </row>
    <row r="2009" spans="1:4" x14ac:dyDescent="0.2">
      <c r="A2009" s="5">
        <v>1948</v>
      </c>
      <c r="B2009" s="138">
        <f>'Cap Outlay Deprec 26'!C8</f>
        <v>19949067</v>
      </c>
      <c r="D2009" s="2" t="str">
        <f t="shared" si="30"/>
        <v>Error?</v>
      </c>
    </row>
    <row r="2010" spans="1:4" x14ac:dyDescent="0.2">
      <c r="A2010" s="5">
        <v>1949</v>
      </c>
      <c r="B2010" s="138">
        <f>'Cap Outlay Deprec 26'!C10</f>
        <v>1263929</v>
      </c>
      <c r="D2010" s="2" t="str">
        <f t="shared" si="30"/>
        <v>Error?</v>
      </c>
    </row>
    <row r="2011" spans="1:4" x14ac:dyDescent="0.2">
      <c r="A2011" s="5">
        <v>1950</v>
      </c>
      <c r="B2011" s="138">
        <f>'Cap Outlay Deprec 26'!C12</f>
        <v>342517</v>
      </c>
      <c r="D2011" s="2" t="str">
        <f t="shared" si="30"/>
        <v>Error?</v>
      </c>
    </row>
    <row r="2012" spans="1:4" x14ac:dyDescent="0.2">
      <c r="A2012" s="5">
        <v>1951</v>
      </c>
      <c r="B2012" s="138">
        <f>'Cap Outlay Deprec 26'!C13</f>
        <v>398711</v>
      </c>
      <c r="D2012" s="2" t="str">
        <f t="shared" si="30"/>
        <v>Error?</v>
      </c>
    </row>
    <row r="2013" spans="1:4" x14ac:dyDescent="0.2">
      <c r="A2013" s="5">
        <v>1952</v>
      </c>
      <c r="B2013" s="138">
        <f>'Cap Outlay Deprec 26'!C16</f>
        <v>22969290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4245</v>
      </c>
      <c r="D2015" s="2" t="str">
        <f t="shared" si="30"/>
        <v>Error?</v>
      </c>
    </row>
    <row r="2016" spans="1:4" x14ac:dyDescent="0.2">
      <c r="A2016" s="5">
        <v>1955</v>
      </c>
      <c r="B2016" s="138">
        <f>'Cap Outlay Deprec 26'!D10</f>
        <v>37853</v>
      </c>
      <c r="D2016" s="2" t="str">
        <f t="shared" si="30"/>
        <v>Error?</v>
      </c>
    </row>
    <row r="2017" spans="1:4" x14ac:dyDescent="0.2">
      <c r="A2017" s="5">
        <v>1956</v>
      </c>
      <c r="B2017" s="138">
        <f>'Cap Outlay Deprec 26'!D12</f>
        <v>16044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126326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47965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47965</v>
      </c>
      <c r="C2025" s="2" t="s">
        <v>573</v>
      </c>
      <c r="D2025" s="2" t="str">
        <f t="shared" si="30"/>
        <v>Error?</v>
      </c>
    </row>
    <row r="2026" spans="1:4" x14ac:dyDescent="0.2">
      <c r="A2026" s="5">
        <v>1965</v>
      </c>
      <c r="B2026" s="138">
        <f>'Cap Outlay Deprec 26'!F5</f>
        <v>988388</v>
      </c>
      <c r="C2026" s="2" t="s">
        <v>573</v>
      </c>
      <c r="D2026" s="2" t="str">
        <f t="shared" si="30"/>
        <v>Error?</v>
      </c>
    </row>
    <row r="2027" spans="1:4" x14ac:dyDescent="0.2">
      <c r="A2027" s="5">
        <v>1966</v>
      </c>
      <c r="B2027" s="138">
        <f>'Cap Outlay Deprec 26'!F8</f>
        <v>19953312</v>
      </c>
      <c r="C2027" s="2" t="s">
        <v>573</v>
      </c>
      <c r="D2027" s="2" t="str">
        <f t="shared" si="30"/>
        <v>Error?</v>
      </c>
    </row>
    <row r="2028" spans="1:4" x14ac:dyDescent="0.2">
      <c r="A2028" s="5">
        <v>1967</v>
      </c>
      <c r="B2028" s="138">
        <f>'Cap Outlay Deprec 26'!F10</f>
        <v>1301782</v>
      </c>
      <c r="C2028" s="2" t="s">
        <v>573</v>
      </c>
      <c r="D2028" s="2" t="str">
        <f t="shared" si="30"/>
        <v>Error?</v>
      </c>
    </row>
    <row r="2029" spans="1:4" x14ac:dyDescent="0.2">
      <c r="A2029" s="5">
        <v>1968</v>
      </c>
      <c r="B2029" s="138">
        <f>'Cap Outlay Deprec 26'!F12</f>
        <v>310596</v>
      </c>
      <c r="C2029" s="2" t="s">
        <v>573</v>
      </c>
      <c r="D2029" s="2" t="str">
        <f t="shared" si="30"/>
        <v>Error?</v>
      </c>
    </row>
    <row r="2030" spans="1:4" x14ac:dyDescent="0.2">
      <c r="A2030" s="5">
        <v>1969</v>
      </c>
      <c r="B2030" s="138">
        <f>'Cap Outlay Deprec 26'!F13</f>
        <v>398711</v>
      </c>
      <c r="C2030" s="2" t="s">
        <v>573</v>
      </c>
      <c r="D2030" s="2" t="str">
        <f t="shared" si="30"/>
        <v>Error?</v>
      </c>
    </row>
    <row r="2031" spans="1:4" x14ac:dyDescent="0.2">
      <c r="A2031" s="5">
        <v>1970</v>
      </c>
      <c r="B2031" s="138">
        <f>'Cap Outlay Deprec 26'!F16</f>
        <v>23047651</v>
      </c>
      <c r="C2031" s="2" t="s">
        <v>573</v>
      </c>
      <c r="D2031" s="2" t="str">
        <f t="shared" si="30"/>
        <v>Error?</v>
      </c>
    </row>
    <row r="2032" spans="1:4" x14ac:dyDescent="0.2">
      <c r="A2032" s="10">
        <v>1971</v>
      </c>
      <c r="D2032" s="2" t="str">
        <f t="shared" si="30"/>
        <v>OK</v>
      </c>
    </row>
    <row r="2033" spans="1:4" x14ac:dyDescent="0.2">
      <c r="A2033" s="5">
        <v>1972</v>
      </c>
      <c r="B2033" s="138">
        <f>'Cap Outlay Deprec 26'!H8</f>
        <v>4692471</v>
      </c>
      <c r="D2033" s="2" t="str">
        <f t="shared" si="30"/>
        <v>Error?</v>
      </c>
    </row>
    <row r="2034" spans="1:4" x14ac:dyDescent="0.2">
      <c r="A2034" s="5">
        <v>1973</v>
      </c>
      <c r="B2034" s="138">
        <f>'Cap Outlay Deprec 26'!H10</f>
        <v>459051</v>
      </c>
      <c r="D2034" s="2" t="str">
        <f t="shared" si="30"/>
        <v>Error?</v>
      </c>
    </row>
    <row r="2035" spans="1:4" x14ac:dyDescent="0.2">
      <c r="A2035" s="5">
        <v>1974</v>
      </c>
      <c r="B2035" s="138">
        <f>'Cap Outlay Deprec 26'!H12</f>
        <v>215097</v>
      </c>
      <c r="D2035" s="2" t="str">
        <f t="shared" si="30"/>
        <v>Error?</v>
      </c>
    </row>
    <row r="2036" spans="1:4" x14ac:dyDescent="0.2">
      <c r="A2036" s="5">
        <v>1975</v>
      </c>
      <c r="B2036" s="138">
        <f>'Cap Outlay Deprec 26'!H13</f>
        <v>398711</v>
      </c>
      <c r="D2036" s="2" t="str">
        <f t="shared" si="30"/>
        <v>Error?</v>
      </c>
    </row>
    <row r="2037" spans="1:4" x14ac:dyDescent="0.2">
      <c r="A2037" s="5">
        <v>1976</v>
      </c>
      <c r="B2037" s="138">
        <f>'Cap Outlay Deprec 26'!H16</f>
        <v>5792008</v>
      </c>
      <c r="C2037" s="2" t="s">
        <v>573</v>
      </c>
      <c r="D2037" s="2" t="str">
        <f t="shared" si="30"/>
        <v>Error?</v>
      </c>
    </row>
    <row r="2038" spans="1:4" x14ac:dyDescent="0.2">
      <c r="A2038" s="10">
        <v>1977</v>
      </c>
      <c r="D2038" s="2" t="str">
        <f t="shared" si="30"/>
        <v>OK</v>
      </c>
    </row>
    <row r="2039" spans="1:4" x14ac:dyDescent="0.2">
      <c r="A2039" s="5">
        <v>1978</v>
      </c>
      <c r="B2039" s="138">
        <f>'Cap Outlay Deprec 26'!I8</f>
        <v>356956</v>
      </c>
      <c r="D2039" s="2" t="str">
        <f t="shared" si="30"/>
        <v>Error?</v>
      </c>
    </row>
    <row r="2040" spans="1:4" x14ac:dyDescent="0.2">
      <c r="A2040" s="5">
        <v>1979</v>
      </c>
      <c r="B2040" s="138">
        <f>'Cap Outlay Deprec 26'!I10</f>
        <v>63910</v>
      </c>
      <c r="D2040" s="2" t="str">
        <f t="shared" si="30"/>
        <v>Error?</v>
      </c>
    </row>
    <row r="2041" spans="1:4" x14ac:dyDescent="0.2">
      <c r="A2041" s="5">
        <v>1980</v>
      </c>
      <c r="B2041" s="138">
        <f>'Cap Outlay Deprec 26'!I12</f>
        <v>31059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451925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47965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47965</v>
      </c>
      <c r="C2049" s="2" t="s">
        <v>573</v>
      </c>
      <c r="D2049" s="2" t="str">
        <f t="shared" si="31"/>
        <v>Error?</v>
      </c>
    </row>
    <row r="2050" spans="1:4" x14ac:dyDescent="0.2">
      <c r="A2050" s="10">
        <v>1989</v>
      </c>
      <c r="D2050" s="2" t="str">
        <f t="shared" si="31"/>
        <v>OK</v>
      </c>
    </row>
    <row r="2051" spans="1:4" x14ac:dyDescent="0.2">
      <c r="A2051" s="5">
        <v>1990</v>
      </c>
      <c r="B2051" s="138">
        <f>'Cap Outlay Deprec 26'!K8</f>
        <v>5049427</v>
      </c>
      <c r="C2051" s="2" t="s">
        <v>573</v>
      </c>
      <c r="D2051" s="2" t="str">
        <f t="shared" si="31"/>
        <v>Error?</v>
      </c>
    </row>
    <row r="2052" spans="1:4" x14ac:dyDescent="0.2">
      <c r="A2052" s="5">
        <v>1991</v>
      </c>
      <c r="B2052" s="138">
        <f>'Cap Outlay Deprec 26'!K10</f>
        <v>522961</v>
      </c>
      <c r="C2052" s="2" t="s">
        <v>573</v>
      </c>
      <c r="D2052" s="2" t="str">
        <f t="shared" si="31"/>
        <v>Error?</v>
      </c>
    </row>
    <row r="2053" spans="1:4" x14ac:dyDescent="0.2">
      <c r="A2053" s="5">
        <v>1992</v>
      </c>
      <c r="B2053" s="138">
        <f>'Cap Outlay Deprec 26'!K12</f>
        <v>198191</v>
      </c>
      <c r="C2053" s="2" t="s">
        <v>573</v>
      </c>
      <c r="D2053" s="2" t="str">
        <f t="shared" si="31"/>
        <v>Error?</v>
      </c>
    </row>
    <row r="2054" spans="1:4" x14ac:dyDescent="0.2">
      <c r="A2054" s="5">
        <v>1993</v>
      </c>
      <c r="B2054" s="138">
        <f>'Cap Outlay Deprec 26'!K13</f>
        <v>398711</v>
      </c>
      <c r="C2054" s="2" t="s">
        <v>573</v>
      </c>
      <c r="D2054" s="2" t="str">
        <f t="shared" si="31"/>
        <v>Error?</v>
      </c>
    </row>
    <row r="2055" spans="1:4" x14ac:dyDescent="0.2">
      <c r="A2055" s="5">
        <v>1994</v>
      </c>
      <c r="B2055" s="138">
        <f>'Cap Outlay Deprec 26'!K16</f>
        <v>6195968</v>
      </c>
      <c r="C2055" s="2" t="s">
        <v>573</v>
      </c>
      <c r="D2055" s="2" t="str">
        <f t="shared" si="31"/>
        <v>Error?</v>
      </c>
    </row>
    <row r="2056" spans="1:4" x14ac:dyDescent="0.2">
      <c r="A2056" s="5">
        <v>1995</v>
      </c>
      <c r="B2056" s="138">
        <f>'Cap Outlay Deprec 26'!L5</f>
        <v>988388</v>
      </c>
      <c r="C2056" s="2" t="s">
        <v>573</v>
      </c>
      <c r="D2056" s="2" t="str">
        <f t="shared" si="31"/>
        <v>Error?</v>
      </c>
    </row>
    <row r="2057" spans="1:4" x14ac:dyDescent="0.2">
      <c r="A2057" s="5">
        <v>1996</v>
      </c>
      <c r="B2057" s="138">
        <f>'Cap Outlay Deprec 26'!L8</f>
        <v>14903885</v>
      </c>
      <c r="C2057" s="2" t="s">
        <v>573</v>
      </c>
      <c r="D2057" s="2" t="str">
        <f t="shared" si="31"/>
        <v>Error?</v>
      </c>
    </row>
    <row r="2058" spans="1:4" x14ac:dyDescent="0.2">
      <c r="A2058" s="5">
        <v>1997</v>
      </c>
      <c r="B2058" s="138">
        <f>'Cap Outlay Deprec 26'!L10</f>
        <v>778821</v>
      </c>
      <c r="C2058" s="2" t="s">
        <v>573</v>
      </c>
      <c r="D2058" s="2" t="str">
        <f t="shared" si="31"/>
        <v>Error?</v>
      </c>
    </row>
    <row r="2059" spans="1:4" x14ac:dyDescent="0.2">
      <c r="A2059" s="5">
        <v>1998</v>
      </c>
      <c r="B2059" s="138">
        <f>'Cap Outlay Deprec 26'!L12</f>
        <v>112405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16851683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200455</v>
      </c>
      <c r="C2088" s="2" t="s">
        <v>573</v>
      </c>
      <c r="D2088" s="2" t="str">
        <f t="shared" si="31"/>
        <v>Error?</v>
      </c>
    </row>
    <row r="2089" spans="1:4" x14ac:dyDescent="0.2">
      <c r="A2089" s="5">
        <v>2028</v>
      </c>
      <c r="B2089" s="138">
        <f>'Expenditures 15-22'!K92</f>
        <v>306038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104318</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7997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185252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475020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2348238</v>
      </c>
      <c r="C2551" s="2" t="s">
        <v>573</v>
      </c>
      <c r="D2551" s="2" t="str">
        <f t="shared" si="38"/>
        <v>Error?</v>
      </c>
    </row>
    <row r="2552" spans="1:4" x14ac:dyDescent="0.2">
      <c r="A2552" s="10">
        <v>2491</v>
      </c>
      <c r="D2552" s="2" t="str">
        <f t="shared" si="38"/>
        <v>OK</v>
      </c>
    </row>
    <row r="2553" spans="1:4" x14ac:dyDescent="0.2">
      <c r="A2553" s="5">
        <v>2492</v>
      </c>
      <c r="B2553" s="138">
        <f>'Acct Summary 7-8'!C6</f>
        <v>2871807</v>
      </c>
      <c r="C2553" s="2" t="s">
        <v>573</v>
      </c>
      <c r="D2553" s="2" t="str">
        <f t="shared" si="38"/>
        <v>Error?</v>
      </c>
    </row>
    <row r="2554" spans="1:4" x14ac:dyDescent="0.2">
      <c r="A2554" s="5">
        <v>2493</v>
      </c>
      <c r="B2554" s="138">
        <f>'Acct Summary 7-8'!C7</f>
        <v>858660</v>
      </c>
      <c r="C2554" s="2" t="s">
        <v>573</v>
      </c>
      <c r="D2554" s="2" t="str">
        <f t="shared" si="38"/>
        <v>Error?</v>
      </c>
    </row>
    <row r="2555" spans="1:4" x14ac:dyDescent="0.2">
      <c r="A2555" s="5">
        <v>2494</v>
      </c>
      <c r="B2555" s="138">
        <f>'Acct Summary 7-8'!C8</f>
        <v>6078705</v>
      </c>
      <c r="C2555" s="2" t="s">
        <v>573</v>
      </c>
      <c r="D2555" s="2" t="str">
        <f t="shared" si="38"/>
        <v>Error?</v>
      </c>
    </row>
    <row r="2556" spans="1:4" x14ac:dyDescent="0.2">
      <c r="A2556" s="5">
        <v>2495</v>
      </c>
      <c r="B2556" s="138">
        <f>'Acct Summary 7-8'!C12</f>
        <v>3622276</v>
      </c>
      <c r="C2556" s="2" t="s">
        <v>573</v>
      </c>
      <c r="D2556" s="2" t="str">
        <f t="shared" si="38"/>
        <v>Error?</v>
      </c>
    </row>
    <row r="2557" spans="1:4" x14ac:dyDescent="0.2">
      <c r="A2557" s="5">
        <v>2496</v>
      </c>
      <c r="B2557" s="138">
        <f>'Acct Summary 7-8'!C13</f>
        <v>1641707</v>
      </c>
      <c r="C2557" s="2" t="s">
        <v>573</v>
      </c>
      <c r="D2557" s="2" t="str">
        <f t="shared" si="38"/>
        <v>Error?</v>
      </c>
    </row>
    <row r="2558" spans="1:4" x14ac:dyDescent="0.2">
      <c r="A2558" s="5">
        <v>2497</v>
      </c>
      <c r="B2558" s="138">
        <f>'Acct Summary 7-8'!C14</f>
        <v>13985</v>
      </c>
      <c r="C2558" s="2" t="s">
        <v>573</v>
      </c>
      <c r="D2558" s="2" t="str">
        <f t="shared" si="38"/>
        <v>Error?</v>
      </c>
    </row>
    <row r="2559" spans="1:4" x14ac:dyDescent="0.2">
      <c r="A2559" s="5">
        <v>2498</v>
      </c>
      <c r="B2559" s="138">
        <f>'Acct Summary 7-8'!C15</f>
        <v>506493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5784461</v>
      </c>
      <c r="C2561" s="2" t="s">
        <v>573</v>
      </c>
      <c r="D2561" s="2" t="str">
        <f t="shared" si="39"/>
        <v>Error?</v>
      </c>
    </row>
    <row r="2562" spans="1:4" x14ac:dyDescent="0.2">
      <c r="A2562" s="5">
        <v>2501</v>
      </c>
      <c r="B2562" s="138">
        <f>'Acct Summary 7-8'!C20</f>
        <v>294244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341719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341719</v>
      </c>
      <c r="C2568" s="2" t="s">
        <v>573</v>
      </c>
      <c r="D2568" s="2" t="str">
        <f t="shared" si="39"/>
        <v>Error?</v>
      </c>
    </row>
    <row r="2569" spans="1:4" x14ac:dyDescent="0.2">
      <c r="A2569" s="5">
        <v>2508</v>
      </c>
      <c r="B2569" s="138">
        <f>'Acct Summary 7-8'!D13</f>
        <v>224978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104318</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329296</v>
      </c>
      <c r="C2573" s="2" t="s">
        <v>573</v>
      </c>
      <c r="D2573" s="2" t="str">
        <f t="shared" si="39"/>
        <v>Error?</v>
      </c>
    </row>
    <row r="2574" spans="1:4" x14ac:dyDescent="0.2">
      <c r="A2574" s="5">
        <v>2513</v>
      </c>
      <c r="B2574" s="138">
        <f>'Acct Summary 7-8'!D20</f>
        <v>12423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198855</v>
      </c>
      <c r="C2591" s="2" t="s">
        <v>573</v>
      </c>
      <c r="D2591" s="2" t="str">
        <f t="shared" si="39"/>
        <v>Error?</v>
      </c>
    </row>
    <row r="2592" spans="1:4" x14ac:dyDescent="0.2">
      <c r="A2592" s="10">
        <v>2531</v>
      </c>
      <c r="D2592" s="2" t="str">
        <f t="shared" si="39"/>
        <v>OK</v>
      </c>
    </row>
    <row r="2593" spans="1:4" x14ac:dyDescent="0.2">
      <c r="A2593" s="5">
        <v>2532</v>
      </c>
      <c r="B2593" s="138">
        <f>'Acct Summary 7-8'!F6</f>
        <v>118000</v>
      </c>
      <c r="C2593" s="2" t="s">
        <v>573</v>
      </c>
      <c r="D2593" s="2" t="str">
        <f t="shared" si="39"/>
        <v>Error?</v>
      </c>
    </row>
    <row r="2594" spans="1:4" x14ac:dyDescent="0.2">
      <c r="A2594" s="5">
        <v>2533</v>
      </c>
      <c r="B2594" s="138">
        <f>'Acct Summary 7-8'!F7</f>
        <v>466</v>
      </c>
      <c r="C2594" s="2" t="s">
        <v>573</v>
      </c>
      <c r="D2594" s="2" t="str">
        <f t="shared" si="39"/>
        <v>Error?</v>
      </c>
    </row>
    <row r="2595" spans="1:4" x14ac:dyDescent="0.2">
      <c r="A2595" s="5">
        <v>2534</v>
      </c>
      <c r="B2595" s="138">
        <f>'Acct Summary 7-8'!F8</f>
        <v>317321</v>
      </c>
      <c r="C2595" s="2" t="s">
        <v>573</v>
      </c>
      <c r="D2595" s="2" t="str">
        <f t="shared" si="39"/>
        <v>Error?</v>
      </c>
    </row>
    <row r="2596" spans="1:4" x14ac:dyDescent="0.2">
      <c r="A2596" s="5">
        <v>2535</v>
      </c>
      <c r="B2596" s="138">
        <f>'Acct Summary 7-8'!F13</f>
        <v>195570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83401</v>
      </c>
      <c r="C2599" s="2" t="s">
        <v>573</v>
      </c>
      <c r="D2599" s="2" t="str">
        <f t="shared" si="39"/>
        <v>Error?</v>
      </c>
    </row>
    <row r="2600" spans="1:4" x14ac:dyDescent="0.2">
      <c r="A2600" s="5">
        <v>2539</v>
      </c>
      <c r="B2600" s="138">
        <f>'Acct Summary 7-8'!F17</f>
        <v>278971</v>
      </c>
      <c r="C2600" s="2" t="s">
        <v>573</v>
      </c>
      <c r="D2600" s="2" t="str">
        <f t="shared" si="39"/>
        <v>Error?</v>
      </c>
    </row>
    <row r="2601" spans="1:4" x14ac:dyDescent="0.2">
      <c r="A2601" s="5">
        <v>2540</v>
      </c>
      <c r="B2601" s="138">
        <f>'Acct Summary 7-8'!F20</f>
        <v>38350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189565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189565</v>
      </c>
      <c r="C2606" s="2" t="s">
        <v>573</v>
      </c>
      <c r="D2606" s="2" t="str">
        <f t="shared" si="39"/>
        <v>Error?</v>
      </c>
    </row>
    <row r="2607" spans="1:4" x14ac:dyDescent="0.2">
      <c r="A2607" s="5">
        <v>2546</v>
      </c>
      <c r="B2607" s="138">
        <f>'Acct Summary 7-8'!G12</f>
        <v>51514</v>
      </c>
      <c r="C2607" s="2" t="s">
        <v>573</v>
      </c>
      <c r="D2607" s="2" t="str">
        <f t="shared" si="39"/>
        <v>Error?</v>
      </c>
    </row>
    <row r="2608" spans="1:4" x14ac:dyDescent="0.2">
      <c r="A2608" s="5">
        <v>2547</v>
      </c>
      <c r="B2608" s="138">
        <f>'Acct Summary 7-8'!G13</f>
        <v>85300</v>
      </c>
      <c r="C2608" s="2" t="s">
        <v>573</v>
      </c>
      <c r="D2608" s="2" t="str">
        <f t="shared" si="39"/>
        <v>Error?</v>
      </c>
    </row>
    <row r="2609" spans="1:4" x14ac:dyDescent="0.2">
      <c r="A2609" s="5">
        <v>2548</v>
      </c>
      <c r="B2609" s="138">
        <f>'Acct Summary 7-8'!G14</f>
        <v>570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137384</v>
      </c>
      <c r="C2612" s="2" t="s">
        <v>573</v>
      </c>
      <c r="D2612" s="2" t="str">
        <f t="shared" si="39"/>
        <v>Error?</v>
      </c>
    </row>
    <row r="2613" spans="1:4" x14ac:dyDescent="0.2">
      <c r="A2613" s="5">
        <v>2552</v>
      </c>
      <c r="B2613" s="138">
        <f>'Acct Summary 7-8'!G20</f>
        <v>52181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407398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407398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440386</v>
      </c>
      <c r="C2634" s="2" t="s">
        <v>573</v>
      </c>
      <c r="D2634" s="2" t="str">
        <f t="shared" si="40"/>
        <v>Error?</v>
      </c>
    </row>
    <row r="2635" spans="1:4" x14ac:dyDescent="0.2">
      <c r="A2635" s="5">
        <v>2574</v>
      </c>
      <c r="B2635" s="138">
        <f>'Acct Summary 7-8'!E17</f>
        <v>440386</v>
      </c>
      <c r="C2635" s="2" t="s">
        <v>573</v>
      </c>
      <c r="D2635" s="2" t="str">
        <f t="shared" si="40"/>
        <v>Error?</v>
      </c>
    </row>
    <row r="2636" spans="1:4" x14ac:dyDescent="0.2">
      <c r="A2636" s="5">
        <v>2575</v>
      </c>
      <c r="B2636" s="138">
        <f>'Acct Summary 7-8'!E20</f>
        <v>-32988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341891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341891</v>
      </c>
      <c r="C2658" s="2" t="s">
        <v>573</v>
      </c>
      <c r="D2658" s="2" t="str">
        <f t="shared" si="40"/>
        <v>Error?</v>
      </c>
    </row>
    <row r="2659" spans="1:4" x14ac:dyDescent="0.2">
      <c r="A2659" s="5">
        <v>2598</v>
      </c>
      <c r="B2659" s="138">
        <f>'Acct Summary 7-8'!H13</f>
        <v>90493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90493</v>
      </c>
      <c r="C2661" s="2" t="s">
        <v>573</v>
      </c>
      <c r="D2661" s="2" t="str">
        <f t="shared" si="40"/>
        <v>Error?</v>
      </c>
    </row>
    <row r="2662" spans="1:4" x14ac:dyDescent="0.2">
      <c r="A2662" s="5">
        <v>2601</v>
      </c>
      <c r="B2662" s="138">
        <f>'Acct Summary 7-8'!H20</f>
        <v>251398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200455</v>
      </c>
      <c r="C2789" s="2" t="s">
        <v>573</v>
      </c>
      <c r="D2789" s="2" t="str">
        <f t="shared" si="42"/>
        <v>Error?</v>
      </c>
    </row>
    <row r="2790" spans="1:4" x14ac:dyDescent="0.2">
      <c r="A2790" s="5">
        <v>2729</v>
      </c>
      <c r="B2790" s="138">
        <f>'Expenditures 15-22'!E102</f>
        <v>200455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68184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198091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643991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38029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643991</v>
      </c>
      <c r="D2912" s="2" t="str">
        <f t="shared" si="44"/>
        <v>Error?</v>
      </c>
    </row>
    <row r="2913" spans="1:4" x14ac:dyDescent="0.2">
      <c r="A2913" s="5">
        <v>2852</v>
      </c>
      <c r="B2913" s="138">
        <f>'Assets-Liab 5-6'!I41</f>
        <v>643991</v>
      </c>
      <c r="C2913" s="2" t="s">
        <v>573</v>
      </c>
      <c r="D2913" s="2" t="str">
        <f t="shared" si="44"/>
        <v>Error?</v>
      </c>
    </row>
    <row r="2914" spans="1:4" x14ac:dyDescent="0.2">
      <c r="A2914" s="5">
        <v>2853</v>
      </c>
      <c r="B2914" s="138">
        <f>'Assets-Liab 5-6'!L33</f>
        <v>18213</v>
      </c>
      <c r="D2914" s="2" t="str">
        <f t="shared" si="44"/>
        <v>Error?</v>
      </c>
    </row>
    <row r="2915" spans="1:4" x14ac:dyDescent="0.2">
      <c r="A2915" s="10">
        <v>2854</v>
      </c>
      <c r="D2915" s="2" t="str">
        <f t="shared" si="44"/>
        <v>OK</v>
      </c>
    </row>
    <row r="2916" spans="1:4" x14ac:dyDescent="0.2">
      <c r="A2916" s="5">
        <v>2855</v>
      </c>
      <c r="B2916" s="138">
        <f>'Assets-Liab 5-6'!L34</f>
        <v>18213</v>
      </c>
      <c r="C2916" s="2" t="s">
        <v>573</v>
      </c>
      <c r="D2916" s="2" t="str">
        <f t="shared" si="44"/>
        <v>Error?</v>
      </c>
    </row>
    <row r="2917" spans="1:4" x14ac:dyDescent="0.2">
      <c r="A2917" s="5">
        <v>2856</v>
      </c>
      <c r="B2917" s="138">
        <f>'Assets-Liab 5-6'!L41</f>
        <v>38029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42153</v>
      </c>
      <c r="D2949" s="2" t="str">
        <f t="shared" si="45"/>
        <v>Error?</v>
      </c>
    </row>
    <row r="2950" spans="1:4" x14ac:dyDescent="0.2">
      <c r="A2950" s="5">
        <v>2889</v>
      </c>
      <c r="B2950" s="138">
        <f>'Expenditures 15-22'!E79</f>
        <v>158302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42153</v>
      </c>
      <c r="C2973" s="2" t="s">
        <v>573</v>
      </c>
      <c r="D2973" s="2" t="str">
        <f t="shared" si="45"/>
        <v>Error?</v>
      </c>
    </row>
    <row r="2974" spans="1:4" x14ac:dyDescent="0.2">
      <c r="A2974" s="5">
        <v>2913</v>
      </c>
      <c r="B2974" s="138">
        <f>'Expenditures 15-22'!K79</f>
        <v>158302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104318</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127372</v>
      </c>
      <c r="D3055" s="2" t="str">
        <f t="shared" si="46"/>
        <v>Error?</v>
      </c>
    </row>
    <row r="3056" spans="1:4" x14ac:dyDescent="0.2">
      <c r="A3056" s="5">
        <v>2995</v>
      </c>
      <c r="B3056" s="138">
        <f>'Expenditures 15-22'!D10</f>
        <v>28540</v>
      </c>
      <c r="D3056" s="2" t="str">
        <f t="shared" si="46"/>
        <v>Error?</v>
      </c>
    </row>
    <row r="3057" spans="1:4" x14ac:dyDescent="0.2">
      <c r="A3057" s="5">
        <v>2996</v>
      </c>
      <c r="B3057" s="138">
        <f>'Expenditures 15-22'!E10</f>
        <v>17229</v>
      </c>
      <c r="D3057" s="2" t="str">
        <f t="shared" si="46"/>
        <v>Error?</v>
      </c>
    </row>
    <row r="3058" spans="1:4" x14ac:dyDescent="0.2">
      <c r="A3058" s="5">
        <v>2997</v>
      </c>
      <c r="B3058" s="138">
        <f>'Expenditures 15-22'!F10</f>
        <v>32050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206597</v>
      </c>
      <c r="C3062" s="2" t="s">
        <v>573</v>
      </c>
      <c r="D3062" s="2" t="str">
        <f t="shared" si="46"/>
        <v>Error?</v>
      </c>
    </row>
    <row r="3063" spans="1:4" x14ac:dyDescent="0.2">
      <c r="A3063" s="10">
        <v>3002</v>
      </c>
      <c r="D3063" s="2" t="str">
        <f t="shared" si="46"/>
        <v>OK</v>
      </c>
    </row>
    <row r="3064" spans="1:4" x14ac:dyDescent="0.2">
      <c r="A3064" s="5">
        <v>3003</v>
      </c>
      <c r="B3064" s="138">
        <f>'Expenditures 15-22'!D219</f>
        <v>2560</v>
      </c>
      <c r="D3064" s="2" t="str">
        <f t="shared" si="46"/>
        <v>Error?</v>
      </c>
    </row>
    <row r="3065" spans="1:4" x14ac:dyDescent="0.2">
      <c r="A3065" s="5">
        <v>3004</v>
      </c>
      <c r="B3065" s="138">
        <f>'Expenditures 15-22'!K219</f>
        <v>2560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19816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45016</v>
      </c>
      <c r="C3225" s="2" t="s">
        <v>573</v>
      </c>
      <c r="D3225" s="2" t="str">
        <f t="shared" si="49"/>
        <v>Error?</v>
      </c>
    </row>
    <row r="3226" spans="1:4" x14ac:dyDescent="0.2">
      <c r="A3226" s="5">
        <v>3165</v>
      </c>
      <c r="B3226" s="138">
        <f>'Acct Summary 7-8'!I8</f>
        <v>45016</v>
      </c>
      <c r="C3226" s="2" t="s">
        <v>573</v>
      </c>
      <c r="D3226" s="2" t="str">
        <f t="shared" si="49"/>
        <v>Error?</v>
      </c>
    </row>
    <row r="3227" spans="1:4" x14ac:dyDescent="0.2">
      <c r="A3227" s="5">
        <v>3166</v>
      </c>
      <c r="B3227" s="138">
        <f>'Acct Summary 7-8'!I20</f>
        <v>45016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294244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12423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38350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52181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-32988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251398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45016</v>
      </c>
      <c r="C3320" s="2" t="s">
        <v>573</v>
      </c>
      <c r="D3320" s="2" t="str">
        <f t="shared" si="50"/>
        <v>Error?</v>
      </c>
    </row>
    <row r="3321" spans="1:4" x14ac:dyDescent="0.2">
      <c r="A3321" s="5">
        <v>3260</v>
      </c>
      <c r="B3321" s="138">
        <f>'Acct Summary 7-8'!I79</f>
        <v>598975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643991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351336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90451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448712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26755</v>
      </c>
      <c r="D3387" s="2" t="str">
        <f t="shared" si="51"/>
        <v>Error?</v>
      </c>
    </row>
    <row r="3388" spans="1:4" x14ac:dyDescent="0.2">
      <c r="A3388" s="5">
        <v>3327</v>
      </c>
      <c r="B3388" s="138">
        <f>'Expenditures 15-22'!D217</f>
        <v>11599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26755</v>
      </c>
      <c r="C3390" s="2" t="s">
        <v>573</v>
      </c>
      <c r="D3390" s="2" t="str">
        <f t="shared" si="51"/>
        <v>Error?</v>
      </c>
    </row>
    <row r="3391" spans="1:4" x14ac:dyDescent="0.2">
      <c r="A3391" s="5">
        <v>3330</v>
      </c>
      <c r="B3391" s="138">
        <f>'Expenditures 15-22'!K217</f>
        <v>11599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5204236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1915158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158966</v>
      </c>
      <c r="D3417" s="2" t="str">
        <f t="shared" si="52"/>
        <v>Error?</v>
      </c>
    </row>
    <row r="3418" spans="1:4" x14ac:dyDescent="0.2">
      <c r="A3418" s="10">
        <v>3357</v>
      </c>
      <c r="D3418" s="2" t="str">
        <f t="shared" si="52"/>
        <v>OK</v>
      </c>
    </row>
    <row r="3419" spans="1:4" x14ac:dyDescent="0.2">
      <c r="A3419" s="5">
        <v>3358</v>
      </c>
      <c r="B3419" s="138">
        <f>'Assets-Liab 5-6'!F4</f>
        <v>435836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234540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475020</v>
      </c>
      <c r="D3425" s="2" t="str">
        <f t="shared" si="52"/>
        <v>Error?</v>
      </c>
    </row>
    <row r="3426" spans="1:4" x14ac:dyDescent="0.2">
      <c r="A3426" s="10">
        <v>3365</v>
      </c>
      <c r="D3426" s="2" t="str">
        <f t="shared" si="52"/>
        <v>OK</v>
      </c>
    </row>
    <row r="3427" spans="1:4" x14ac:dyDescent="0.2">
      <c r="A3427" s="5">
        <v>3366</v>
      </c>
      <c r="B3427" s="138">
        <f>'Assets-Liab 5-6'!I4</f>
        <v>445900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38029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117332</v>
      </c>
      <c r="C3446" s="2" t="s">
        <v>573</v>
      </c>
      <c r="D3446" s="2" t="str">
        <f t="shared" si="52"/>
        <v>Error?</v>
      </c>
    </row>
    <row r="3447" spans="1:4" x14ac:dyDescent="0.2">
      <c r="A3447" s="5">
        <v>3386</v>
      </c>
      <c r="B3447" s="138">
        <f>'Tax Sched 23'!D16</f>
        <v>79901</v>
      </c>
      <c r="C3447" s="2" t="s">
        <v>573</v>
      </c>
      <c r="D3447" s="2" t="str">
        <f t="shared" si="52"/>
        <v>Error?</v>
      </c>
    </row>
    <row r="3448" spans="1:4" x14ac:dyDescent="0.2">
      <c r="A3448" s="5">
        <v>3387</v>
      </c>
      <c r="B3448" s="138">
        <f>'Tax Sched 23'!C16</f>
        <v>37431</v>
      </c>
      <c r="D3448" s="2" t="str">
        <f t="shared" si="52"/>
        <v>Error?</v>
      </c>
    </row>
    <row r="3449" spans="1:4" x14ac:dyDescent="0.2">
      <c r="A3449" s="5">
        <v>3388</v>
      </c>
      <c r="B3449" s="138">
        <f>'Tax Sched 23'!F16</f>
        <v>56847</v>
      </c>
      <c r="C3449" s="2" t="s">
        <v>573</v>
      </c>
      <c r="D3449" s="2" t="str">
        <f t="shared" si="52"/>
        <v>Error?</v>
      </c>
    </row>
    <row r="3450" spans="1:4" x14ac:dyDescent="0.2">
      <c r="A3450" s="5">
        <v>3389</v>
      </c>
      <c r="B3450" s="138">
        <f>'Tax Sched 23'!E16</f>
        <v>94278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68184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68184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68184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3232</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3232</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40928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40928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40928</v>
      </c>
      <c r="D3567" s="2" t="str">
        <f t="shared" si="54"/>
        <v>Error?</v>
      </c>
    </row>
    <row r="3568" spans="1:4" x14ac:dyDescent="0.2">
      <c r="A3568" s="5">
        <v>3507</v>
      </c>
      <c r="B3568" s="138">
        <f>'Assets-Liab 5-6'!K41</f>
        <v>40928</v>
      </c>
      <c r="C3568" s="2" t="s">
        <v>573</v>
      </c>
      <c r="D3568" s="2" t="str">
        <f t="shared" si="54"/>
        <v>Error?</v>
      </c>
    </row>
    <row r="3569" spans="1:4" x14ac:dyDescent="0.2">
      <c r="A3569" s="5">
        <v>3508</v>
      </c>
      <c r="B3569" s="138">
        <f>'Acct Summary 7-8'!K4</f>
        <v>526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526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526</v>
      </c>
      <c r="C3588" s="2" t="s">
        <v>573</v>
      </c>
      <c r="D3588" s="2" t="str">
        <f t="shared" si="55"/>
        <v>Error?</v>
      </c>
    </row>
    <row r="3589" spans="1:4" x14ac:dyDescent="0.2">
      <c r="A3589" s="5">
        <v>3528</v>
      </c>
      <c r="B3589" s="138">
        <f>'Acct Summary 7-8'!K79</f>
        <v>40402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40928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175024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2071721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8150426</v>
      </c>
      <c r="C4122" s="2" t="s">
        <v>573</v>
      </c>
      <c r="D4122" s="2" t="str">
        <f t="shared" si="63"/>
        <v>Error?</v>
      </c>
    </row>
    <row r="4123" spans="1:4" x14ac:dyDescent="0.2">
      <c r="A4123" s="5">
        <v>4062</v>
      </c>
      <c r="B4123" s="138">
        <f>'Acct Summary 7-8'!D10</f>
        <v>341719</v>
      </c>
      <c r="C4123" s="2" t="s">
        <v>573</v>
      </c>
      <c r="D4123" s="2" t="str">
        <f t="shared" si="63"/>
        <v>Error?</v>
      </c>
    </row>
    <row r="4124" spans="1:4" x14ac:dyDescent="0.2">
      <c r="A4124" s="5">
        <v>4063</v>
      </c>
      <c r="B4124" s="138">
        <f>'Acct Summary 7-8'!E10</f>
        <v>407398</v>
      </c>
      <c r="C4124" s="2" t="s">
        <v>573</v>
      </c>
      <c r="D4124" s="2" t="str">
        <f t="shared" si="63"/>
        <v>Error?</v>
      </c>
    </row>
    <row r="4125" spans="1:4" x14ac:dyDescent="0.2">
      <c r="A4125" s="5">
        <v>4064</v>
      </c>
      <c r="B4125" s="138">
        <f>'Acct Summary 7-8'!F10</f>
        <v>317321</v>
      </c>
      <c r="C4125" s="2" t="s">
        <v>573</v>
      </c>
      <c r="D4125" s="2" t="str">
        <f t="shared" si="63"/>
        <v>Error?</v>
      </c>
    </row>
    <row r="4126" spans="1:4" x14ac:dyDescent="0.2">
      <c r="A4126" s="5">
        <v>4065</v>
      </c>
      <c r="B4126" s="138">
        <f>'Acct Summary 7-8'!G10</f>
        <v>189565</v>
      </c>
      <c r="C4126" s="2" t="s">
        <v>573</v>
      </c>
      <c r="D4126" s="2" t="str">
        <f t="shared" si="63"/>
        <v>Error?</v>
      </c>
    </row>
    <row r="4127" spans="1:4" x14ac:dyDescent="0.2">
      <c r="A4127" s="5">
        <v>4066</v>
      </c>
      <c r="B4127" s="138">
        <f>'Acct Summary 7-8'!H10</f>
        <v>341891</v>
      </c>
      <c r="C4127" s="2" t="s">
        <v>573</v>
      </c>
      <c r="D4127" s="2" t="str">
        <f t="shared" si="63"/>
        <v>Error?</v>
      </c>
    </row>
    <row r="4128" spans="1:4" x14ac:dyDescent="0.2">
      <c r="A4128" s="5">
        <v>4067</v>
      </c>
      <c r="B4128" s="138">
        <f>'Acct Summary 7-8'!I10</f>
        <v>45016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526</v>
      </c>
      <c r="C4130" s="2" t="s">
        <v>573</v>
      </c>
      <c r="D4130" s="2" t="str">
        <f t="shared" si="63"/>
        <v>Error?</v>
      </c>
    </row>
    <row r="4131" spans="1:4" x14ac:dyDescent="0.2">
      <c r="A4131" s="5">
        <v>4070</v>
      </c>
      <c r="B4131" s="138">
        <f>'Acct Summary 7-8'!C18</f>
        <v>2071721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7856182</v>
      </c>
      <c r="C4136" s="2" t="s">
        <v>573</v>
      </c>
      <c r="D4136" s="2" t="str">
        <f t="shared" si="63"/>
        <v>Error?</v>
      </c>
    </row>
    <row r="4137" spans="1:4" x14ac:dyDescent="0.2">
      <c r="A4137" s="5">
        <v>4076</v>
      </c>
      <c r="B4137" s="138">
        <f>'Acct Summary 7-8'!D19</f>
        <v>329296</v>
      </c>
      <c r="C4137" s="2" t="s">
        <v>573</v>
      </c>
      <c r="D4137" s="2" t="str">
        <f t="shared" si="63"/>
        <v>Error?</v>
      </c>
    </row>
    <row r="4138" spans="1:4" x14ac:dyDescent="0.2">
      <c r="A4138" s="5">
        <v>4077</v>
      </c>
      <c r="B4138" s="138">
        <f>'Acct Summary 7-8'!E19</f>
        <v>440386</v>
      </c>
      <c r="C4138" s="2" t="s">
        <v>573</v>
      </c>
      <c r="D4138" s="2" t="str">
        <f t="shared" si="63"/>
        <v>Error?</v>
      </c>
    </row>
    <row r="4139" spans="1:4" x14ac:dyDescent="0.2">
      <c r="A4139" s="5">
        <v>4078</v>
      </c>
      <c r="B4139" s="138">
        <f>'Acct Summary 7-8'!F19</f>
        <v>278971</v>
      </c>
      <c r="C4139" s="2" t="s">
        <v>573</v>
      </c>
      <c r="D4139" s="2" t="str">
        <f t="shared" si="63"/>
        <v>Error?</v>
      </c>
    </row>
    <row r="4140" spans="1:4" x14ac:dyDescent="0.2">
      <c r="A4140" s="5">
        <v>4079</v>
      </c>
      <c r="B4140" s="138">
        <f>'Acct Summary 7-8'!G19</f>
        <v>137384</v>
      </c>
      <c r="C4140" s="2" t="s">
        <v>573</v>
      </c>
      <c r="D4140" s="2" t="str">
        <f t="shared" si="63"/>
        <v>Error?</v>
      </c>
    </row>
    <row r="4141" spans="1:4" x14ac:dyDescent="0.2">
      <c r="A4141" s="5">
        <v>4080</v>
      </c>
      <c r="B4141" s="138">
        <f>'Acct Summary 7-8'!H19</f>
        <v>90493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3010000</v>
      </c>
      <c r="C4171" s="2" t="s">
        <v>573</v>
      </c>
      <c r="D4171" s="2" t="str">
        <f t="shared" si="64"/>
        <v>Error?</v>
      </c>
    </row>
    <row r="4172" spans="1:4" x14ac:dyDescent="0.2">
      <c r="A4172" s="5">
        <v>4111</v>
      </c>
      <c r="B4172" s="138">
        <f>'Short-Term Long-Term Debt 24'!J49</f>
        <v>2851034</v>
      </c>
      <c r="C4172" s="2" t="s">
        <v>573</v>
      </c>
      <c r="D4172" s="2" t="str">
        <f t="shared" si="64"/>
        <v>Error?</v>
      </c>
    </row>
    <row r="4173" spans="1:4" x14ac:dyDescent="0.2">
      <c r="A4173" s="5">
        <v>4112</v>
      </c>
      <c r="B4173" s="138">
        <f>'Short-Term Long-Term Debt 24'!H49</f>
        <v>259000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104318</v>
      </c>
      <c r="D4201" s="2" t="str">
        <f t="shared" si="64"/>
        <v>Error?</v>
      </c>
    </row>
    <row r="4202" spans="1:4" x14ac:dyDescent="0.2">
      <c r="A4202" s="5">
        <v>4141</v>
      </c>
      <c r="B4202" s="138">
        <f>'Expenditures 15-22'!E137</f>
        <v>104318</v>
      </c>
      <c r="C4202" s="2" t="s">
        <v>573</v>
      </c>
      <c r="D4202" s="2" t="str">
        <f t="shared" si="64"/>
        <v>Error?</v>
      </c>
    </row>
    <row r="4203" spans="1:4" x14ac:dyDescent="0.2">
      <c r="A4203" s="5">
        <v>4142</v>
      </c>
      <c r="B4203" s="138">
        <f>'Expenditures 15-22'!E139</f>
        <v>104318</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72410</v>
      </c>
      <c r="D4210" s="2" t="str">
        <f t="shared" si="64"/>
        <v>Error?</v>
      </c>
    </row>
    <row r="4211" spans="1:4" x14ac:dyDescent="0.2">
      <c r="A4211" s="5">
        <v>4150</v>
      </c>
      <c r="B4211" s="138">
        <f>'Expenditures 15-22'!K206</f>
        <v>72410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2990</v>
      </c>
      <c r="C4268" s="2" t="s">
        <v>573</v>
      </c>
      <c r="D4268" s="2" t="str">
        <f t="shared" si="65"/>
        <v>Error?</v>
      </c>
    </row>
    <row r="4269" spans="1:5" x14ac:dyDescent="0.2">
      <c r="A4269" s="12">
        <v>4208</v>
      </c>
      <c r="B4269" s="138">
        <f>'FP Info 3'!J16</f>
        <v>8382906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10967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19964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2455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3159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21436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466</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9931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32301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77531249</v>
      </c>
      <c r="D4995" s="2" t="str">
        <f t="shared" si="77"/>
        <v>Error?</v>
      </c>
    </row>
    <row r="4996" spans="1:4" x14ac:dyDescent="0.2">
      <c r="A4996" s="12">
        <v>4935</v>
      </c>
      <c r="B4996" s="138">
        <f>'FP Info 3'!H31</f>
        <v>5349656.1810000008</v>
      </c>
      <c r="D4996" s="2" t="str">
        <f t="shared" si="77"/>
        <v>Error?</v>
      </c>
    </row>
    <row r="4997" spans="1:4" x14ac:dyDescent="0.2">
      <c r="A4997" s="12">
        <v>4936</v>
      </c>
      <c r="B4997" s="138">
        <f>'FP Info 3'!H37</f>
        <v>3010000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2007697</v>
      </c>
      <c r="D5061" s="2" t="str">
        <f t="shared" si="78"/>
        <v>Error?</v>
      </c>
    </row>
    <row r="5062" spans="1:4" x14ac:dyDescent="0.2">
      <c r="A5062" s="10">
        <v>5001</v>
      </c>
      <c r="D5062" s="2" t="str">
        <f t="shared" si="78"/>
        <v>OK</v>
      </c>
    </row>
    <row r="5063" spans="1:4" x14ac:dyDescent="0.2">
      <c r="A5063" s="5">
        <v>5002</v>
      </c>
      <c r="B5063" s="138">
        <f>'Revenues 9-14'!C7</f>
        <v>15325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2023022</v>
      </c>
      <c r="C5066" s="2" t="s">
        <v>573</v>
      </c>
      <c r="D5066" s="2" t="str">
        <f t="shared" si="78"/>
        <v>Error?</v>
      </c>
    </row>
    <row r="5067" spans="1:4" x14ac:dyDescent="0.2">
      <c r="A5067" s="5">
        <v>5006</v>
      </c>
      <c r="B5067" s="138">
        <f>'Revenues 9-14'!C14</f>
        <v>4334</v>
      </c>
      <c r="D5067" s="2" t="str">
        <f t="shared" si="78"/>
        <v>Error?</v>
      </c>
    </row>
    <row r="5068" spans="1:4" x14ac:dyDescent="0.2">
      <c r="A5068" s="5">
        <v>5007</v>
      </c>
      <c r="B5068" s="138">
        <f>'Revenues 9-14'!C15</f>
        <v>3294</v>
      </c>
      <c r="D5068" s="2" t="str">
        <f t="shared" si="78"/>
        <v>Error?</v>
      </c>
    </row>
    <row r="5069" spans="1:4" x14ac:dyDescent="0.2">
      <c r="A5069" s="5">
        <v>5008</v>
      </c>
      <c r="B5069" s="138">
        <f>'Revenues 9-14'!C16</f>
        <v>166958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174586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17160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17160</v>
      </c>
      <c r="C5087" s="2" t="s">
        <v>573</v>
      </c>
      <c r="D5087" s="2" t="str">
        <f t="shared" si="78"/>
        <v>Error?</v>
      </c>
    </row>
    <row r="5088" spans="1:4" x14ac:dyDescent="0.2">
      <c r="A5088" s="5">
        <v>5027</v>
      </c>
      <c r="B5088" s="138">
        <f>'Revenues 9-14'!C65</f>
        <v>64950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64950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3520</v>
      </c>
      <c r="D5094" s="2" t="str">
        <f t="shared" si="78"/>
        <v>Error?</v>
      </c>
    </row>
    <row r="5095" spans="1:4" x14ac:dyDescent="0.2">
      <c r="A5095" s="5">
        <v>5034</v>
      </c>
      <c r="B5095" s="138">
        <f>'Revenues 9-14'!C74</f>
        <v>169</v>
      </c>
      <c r="D5095" s="2" t="str">
        <f t="shared" si="78"/>
        <v>Error?</v>
      </c>
    </row>
    <row r="5096" spans="1:4" x14ac:dyDescent="0.2">
      <c r="A5096" s="5">
        <v>5035</v>
      </c>
      <c r="B5096" s="138">
        <f>'Revenues 9-14'!C75</f>
        <v>5608</v>
      </c>
      <c r="C5096" s="2" t="s">
        <v>573</v>
      </c>
      <c r="D5096" s="2" t="str">
        <f t="shared" si="78"/>
        <v>Error?</v>
      </c>
    </row>
    <row r="5097" spans="1:4" x14ac:dyDescent="0.2">
      <c r="A5097" s="5">
        <v>5036</v>
      </c>
      <c r="B5097" s="138">
        <f>'Revenues 9-14'!C77</f>
        <v>5634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5634</v>
      </c>
      <c r="C5102" s="2" t="s">
        <v>573</v>
      </c>
      <c r="D5102" s="2" t="str">
        <f t="shared" si="78"/>
        <v>Error?</v>
      </c>
    </row>
    <row r="5103" spans="1:4" x14ac:dyDescent="0.2">
      <c r="A5103" s="5">
        <v>5042</v>
      </c>
      <c r="B5103" s="138">
        <f>'Revenues 9-14'!C84</f>
        <v>16684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16684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v>
      </c>
      <c r="D5118" s="2" t="str">
        <f t="shared" si="78"/>
        <v>Error?</v>
      </c>
    </row>
    <row r="5119" spans="1:4" x14ac:dyDescent="0.2">
      <c r="A5119" s="5">
        <v>5058</v>
      </c>
      <c r="B5119" s="138">
        <f>'Revenues 9-14'!C107</f>
        <v>28587</v>
      </c>
      <c r="D5119" s="2" t="str">
        <f t="shared" ref="D5119:D5182" si="79">IF(ISBLANK(B5119),"OK",IF(A5119-B5119=0,"OK","Error?"))</f>
        <v>Error?</v>
      </c>
    </row>
    <row r="5120" spans="1:4" x14ac:dyDescent="0.2">
      <c r="A5120" s="5">
        <v>5059</v>
      </c>
      <c r="B5120" s="138">
        <f>'Revenues 9-14'!C108</f>
        <v>40594</v>
      </c>
      <c r="C5120" s="2" t="s">
        <v>573</v>
      </c>
      <c r="D5120" s="2" t="str">
        <f t="shared" si="79"/>
        <v>Error?</v>
      </c>
    </row>
    <row r="5121" spans="1:4" x14ac:dyDescent="0.2">
      <c r="A5121" s="5">
        <v>5060</v>
      </c>
      <c r="B5121" s="138">
        <f>'Revenues 9-14'!C109</f>
        <v>2348238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2638063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2638063</v>
      </c>
      <c r="C5132" s="2" t="s">
        <v>573</v>
      </c>
      <c r="D5132" s="2" t="str">
        <f t="shared" si="79"/>
        <v>Error?</v>
      </c>
    </row>
    <row r="5133" spans="1:4" x14ac:dyDescent="0.2">
      <c r="A5133" s="5">
        <v>5072</v>
      </c>
      <c r="B5133" s="138">
        <f>'Revenues 9-14'!C125</f>
        <v>6233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14838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21071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8024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172348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233744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2871807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297669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105916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425437</v>
      </c>
      <c r="C5246" s="2" t="s">
        <v>573</v>
      </c>
      <c r="D5246" s="2" t="str">
        <f t="shared" si="80"/>
        <v>Error?</v>
      </c>
    </row>
    <row r="5247" spans="1:4" x14ac:dyDescent="0.2">
      <c r="A5247" s="5">
        <v>5186</v>
      </c>
      <c r="B5247" s="138">
        <f>'Revenues 9-14'!C200</f>
        <v>250263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2455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250263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124979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124979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858660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858660</v>
      </c>
      <c r="C5326" s="2" t="s">
        <v>573</v>
      </c>
      <c r="D5326" s="2" t="str">
        <f t="shared" si="82"/>
        <v>Error?</v>
      </c>
    </row>
    <row r="5327" spans="1:5" x14ac:dyDescent="0.2">
      <c r="A5327" s="5">
        <v>5266</v>
      </c>
      <c r="B5327" s="138">
        <f>'Revenues 9-14'!C268</f>
        <v>6078705</v>
      </c>
      <c r="C5327" s="2" t="s">
        <v>573</v>
      </c>
      <c r="D5327" s="2" t="str">
        <f t="shared" si="82"/>
        <v>Error?</v>
      </c>
    </row>
    <row r="5328" spans="1:5" x14ac:dyDescent="0.2">
      <c r="A5328" s="5">
        <v>5267</v>
      </c>
      <c r="B5328" s="138">
        <f>'Revenues 9-14'!D5</f>
        <v>191574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191574</v>
      </c>
      <c r="C5334" s="2" t="s">
        <v>573</v>
      </c>
      <c r="D5334" s="2" t="str">
        <f t="shared" si="82"/>
        <v>Error?</v>
      </c>
    </row>
    <row r="5335" spans="1:4" x14ac:dyDescent="0.2">
      <c r="A5335" s="5">
        <v>5274</v>
      </c>
      <c r="B5335" s="138">
        <f>'Revenues 9-14'!D14</f>
        <v>410</v>
      </c>
      <c r="D5335" s="2" t="str">
        <f t="shared" si="82"/>
        <v>Error?</v>
      </c>
    </row>
    <row r="5336" spans="1:4" x14ac:dyDescent="0.2">
      <c r="A5336" s="5">
        <v>5275</v>
      </c>
      <c r="B5336" s="138">
        <f>'Revenues 9-14'!D15</f>
        <v>314</v>
      </c>
      <c r="D5336" s="2" t="str">
        <f t="shared" si="82"/>
        <v>Error?</v>
      </c>
    </row>
    <row r="5337" spans="1:4" x14ac:dyDescent="0.2">
      <c r="A5337" s="5">
        <v>5276</v>
      </c>
      <c r="B5337" s="138">
        <f>'Revenues 9-14'!D16</f>
        <v>123304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124028</v>
      </c>
      <c r="C5339" s="2" t="s">
        <v>573</v>
      </c>
      <c r="D5339" s="2" t="str">
        <f t="shared" si="82"/>
        <v>Error?</v>
      </c>
    </row>
    <row r="5340" spans="1:4" x14ac:dyDescent="0.2">
      <c r="A5340" s="5">
        <v>5279</v>
      </c>
      <c r="B5340" s="138">
        <f>'Revenues 9-14'!D65</f>
        <v>24612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24612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1505</v>
      </c>
      <c r="C5355" s="2" t="s">
        <v>573</v>
      </c>
      <c r="D5355" s="2" t="str">
        <f t="shared" si="82"/>
        <v>Error?</v>
      </c>
    </row>
    <row r="5356" spans="1:4" x14ac:dyDescent="0.2">
      <c r="A5356" s="5">
        <v>5295</v>
      </c>
      <c r="B5356" s="138">
        <f>'Revenues 9-14'!D109</f>
        <v>341719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341719</v>
      </c>
      <c r="C5508" s="2" t="s">
        <v>573</v>
      </c>
      <c r="D5508" s="2" t="str">
        <f t="shared" si="85"/>
        <v>Error?</v>
      </c>
    </row>
    <row r="5509" spans="1:4" x14ac:dyDescent="0.2">
      <c r="A5509" s="5">
        <v>5448</v>
      </c>
      <c r="B5509" s="138">
        <f>'Revenues 9-14'!E5</f>
        <v>403249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403249</v>
      </c>
      <c r="C5513" s="2" t="s">
        <v>573</v>
      </c>
      <c r="D5513" s="2" t="str">
        <f t="shared" si="85"/>
        <v>Error?</v>
      </c>
    </row>
    <row r="5514" spans="1:4" x14ac:dyDescent="0.2">
      <c r="A5514" s="5">
        <v>5453</v>
      </c>
      <c r="B5514" s="138">
        <f>'Revenues 9-14'!E14</f>
        <v>945</v>
      </c>
      <c r="D5514" s="2" t="str">
        <f t="shared" si="85"/>
        <v>Error?</v>
      </c>
    </row>
    <row r="5515" spans="1:4" x14ac:dyDescent="0.2">
      <c r="A5515" s="5">
        <v>5454</v>
      </c>
      <c r="B5515" s="138">
        <f>'Revenues 9-14'!E15</f>
        <v>720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1665</v>
      </c>
      <c r="C5518" s="2" t="s">
        <v>573</v>
      </c>
      <c r="D5518" s="2" t="str">
        <f t="shared" si="85"/>
        <v>Error?</v>
      </c>
    </row>
    <row r="5519" spans="1:4" x14ac:dyDescent="0.2">
      <c r="A5519" s="5">
        <v>5458</v>
      </c>
      <c r="B5519" s="138">
        <f>'Revenues 9-14'!E65</f>
        <v>2484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2484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407398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407398</v>
      </c>
      <c r="C5552" s="2" t="s">
        <v>573</v>
      </c>
      <c r="D5552" s="2" t="str">
        <f t="shared" si="85"/>
        <v>Error?</v>
      </c>
    </row>
    <row r="5553" spans="1:4" x14ac:dyDescent="0.2">
      <c r="A5553" s="5">
        <v>5492</v>
      </c>
      <c r="B5553" s="138">
        <f>'Revenues 9-14'!F5</f>
        <v>91955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91955</v>
      </c>
      <c r="C5557" s="2" t="s">
        <v>573</v>
      </c>
      <c r="D5557" s="2" t="str">
        <f t="shared" si="85"/>
        <v>Error?</v>
      </c>
    </row>
    <row r="5558" spans="1:4" x14ac:dyDescent="0.2">
      <c r="A5558" s="5">
        <v>5497</v>
      </c>
      <c r="B5558" s="138">
        <f>'Revenues 9-14'!F14</f>
        <v>197</v>
      </c>
      <c r="D5558" s="2" t="str">
        <f t="shared" si="85"/>
        <v>Error?</v>
      </c>
    </row>
    <row r="5559" spans="1:4" x14ac:dyDescent="0.2">
      <c r="A5559" s="5">
        <v>5498</v>
      </c>
      <c r="B5559" s="138">
        <f>'Revenues 9-14'!F15</f>
        <v>151</v>
      </c>
      <c r="D5559" s="2" t="str">
        <f t="shared" si="85"/>
        <v>Error?</v>
      </c>
    </row>
    <row r="5560" spans="1:4" x14ac:dyDescent="0.2">
      <c r="A5560" s="5">
        <v>5499</v>
      </c>
      <c r="B5560" s="138">
        <f>'Revenues 9-14'!F16</f>
        <v>75239</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75587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24410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24410</v>
      </c>
      <c r="C5579" s="2" t="s">
        <v>573</v>
      </c>
      <c r="D5579" s="2" t="str">
        <f t="shared" si="86"/>
        <v>Error?</v>
      </c>
    </row>
    <row r="5580" spans="1:4" x14ac:dyDescent="0.2">
      <c r="A5580" s="5">
        <v>5519</v>
      </c>
      <c r="B5580" s="138">
        <f>'Revenues 9-14'!F65</f>
        <v>4992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4992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1911</v>
      </c>
      <c r="D5586" s="2" t="str">
        <f t="shared" si="86"/>
        <v>Error?</v>
      </c>
    </row>
    <row r="5587" spans="1:4" x14ac:dyDescent="0.2">
      <c r="A5587" s="5">
        <v>5526</v>
      </c>
      <c r="B5587" s="138">
        <f>'Revenues 9-14'!F108</f>
        <v>1911</v>
      </c>
      <c r="C5587" s="2" t="s">
        <v>573</v>
      </c>
      <c r="D5587" s="2" t="str">
        <f t="shared" si="86"/>
        <v>Error?</v>
      </c>
    </row>
    <row r="5588" spans="1:4" x14ac:dyDescent="0.2">
      <c r="A5588" s="5">
        <v>5527</v>
      </c>
      <c r="B5588" s="138">
        <f>'Revenues 9-14'!F109</f>
        <v>198855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62465</v>
      </c>
      <c r="D5615" s="2" t="str">
        <f t="shared" si="86"/>
        <v>Error?</v>
      </c>
    </row>
    <row r="5616" spans="1:4" x14ac:dyDescent="0.2">
      <c r="A5616" s="10">
        <v>5555</v>
      </c>
      <c r="D5616" s="2" t="str">
        <f t="shared" si="86"/>
        <v>OK</v>
      </c>
    </row>
    <row r="5617" spans="1:5" x14ac:dyDescent="0.2">
      <c r="A5617" s="5">
        <v>5556</v>
      </c>
      <c r="B5617" s="138">
        <f>'Revenues 9-14'!F153</f>
        <v>55535</v>
      </c>
      <c r="D5617" s="2" t="str">
        <f t="shared" si="86"/>
        <v>Error?</v>
      </c>
    </row>
    <row r="5618" spans="1:5" x14ac:dyDescent="0.2">
      <c r="A5618" s="5">
        <v>5557</v>
      </c>
      <c r="B5618" s="138">
        <f>'Revenues 9-14'!F155</f>
        <v>118000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118000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118000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466</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466</v>
      </c>
      <c r="C5719" s="2" t="s">
        <v>573</v>
      </c>
      <c r="D5719" s="2" t="str">
        <f t="shared" si="88"/>
        <v>Error?</v>
      </c>
    </row>
    <row r="5720" spans="1:4" x14ac:dyDescent="0.2">
      <c r="A5720" s="5">
        <v>5659</v>
      </c>
      <c r="B5720" s="138">
        <f>'Revenues 9-14'!F268</f>
        <v>317321</v>
      </c>
      <c r="C5720" s="2" t="s">
        <v>573</v>
      </c>
      <c r="D5720" s="2" t="str">
        <f t="shared" si="88"/>
        <v>Error?</v>
      </c>
    </row>
    <row r="5721" spans="1:4" x14ac:dyDescent="0.2">
      <c r="A5721" s="5">
        <v>5660</v>
      </c>
      <c r="B5721" s="138">
        <f>'Revenues 9-14'!G5</f>
        <v>60597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117332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177929</v>
      </c>
      <c r="C5725" s="2" t="s">
        <v>573</v>
      </c>
      <c r="D5725" s="2" t="str">
        <f t="shared" si="88"/>
        <v>Error?</v>
      </c>
    </row>
    <row r="5726" spans="1:4" x14ac:dyDescent="0.2">
      <c r="A5726" s="5">
        <v>5665</v>
      </c>
      <c r="B5726" s="138">
        <f>'Revenues 9-14'!G14</f>
        <v>403</v>
      </c>
      <c r="D5726" s="2" t="str">
        <f t="shared" si="88"/>
        <v>Error?</v>
      </c>
    </row>
    <row r="5727" spans="1:4" x14ac:dyDescent="0.2">
      <c r="A5727" s="5">
        <v>5666</v>
      </c>
      <c r="B5727" s="138">
        <f>'Revenues 9-14'!G15</f>
        <v>300</v>
      </c>
      <c r="D5727" s="2" t="str">
        <f t="shared" si="88"/>
        <v>Error?</v>
      </c>
    </row>
    <row r="5728" spans="1:4" x14ac:dyDescent="0.2">
      <c r="A5728" s="5">
        <v>5667</v>
      </c>
      <c r="B5728" s="138">
        <f>'Revenues 9-14'!G16</f>
        <v>7962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8665</v>
      </c>
      <c r="C5730" s="2" t="s">
        <v>573</v>
      </c>
      <c r="D5730" s="2" t="str">
        <f t="shared" si="88"/>
        <v>Error?</v>
      </c>
    </row>
    <row r="5731" spans="1:4" x14ac:dyDescent="0.2">
      <c r="A5731" s="5">
        <v>5670</v>
      </c>
      <c r="B5731" s="138">
        <f>'Revenues 9-14'!G65</f>
        <v>2971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2971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189565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4231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337660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341891</v>
      </c>
      <c r="C5915" s="2" t="s">
        <v>573</v>
      </c>
      <c r="D5915" s="2" t="str">
        <f t="shared" si="91"/>
        <v>Error?</v>
      </c>
    </row>
    <row r="5916" spans="1:4" x14ac:dyDescent="0.2">
      <c r="A5916" s="5">
        <v>5855</v>
      </c>
      <c r="B5916" s="138">
        <f>'Revenues 9-14'!I5</f>
        <v>38315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38315</v>
      </c>
      <c r="C5918" s="2" t="s">
        <v>573</v>
      </c>
      <c r="D5918" s="2" t="str">
        <f t="shared" si="91"/>
        <v>Error?</v>
      </c>
    </row>
    <row r="5919" spans="1:4" x14ac:dyDescent="0.2">
      <c r="A5919" s="5">
        <v>5858</v>
      </c>
      <c r="B5919" s="138">
        <f>'Revenues 9-14'!I14</f>
        <v>82</v>
      </c>
      <c r="D5919" s="2" t="str">
        <f t="shared" si="91"/>
        <v>Error?</v>
      </c>
    </row>
    <row r="5920" spans="1:4" x14ac:dyDescent="0.2">
      <c r="A5920" s="5">
        <v>5859</v>
      </c>
      <c r="B5920" s="138">
        <f>'Revenues 9-14'!I15</f>
        <v>62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144</v>
      </c>
      <c r="C5923" s="2" t="s">
        <v>573</v>
      </c>
      <c r="D5923" s="2" t="str">
        <f t="shared" si="91"/>
        <v>Error?</v>
      </c>
    </row>
    <row r="5924" spans="1:4" x14ac:dyDescent="0.2">
      <c r="A5924" s="5">
        <v>5863</v>
      </c>
      <c r="B5924" s="138">
        <f>'Revenues 9-14'!I65</f>
        <v>6557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6557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45016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526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526</v>
      </c>
      <c r="C6023" s="2" t="s">
        <v>573</v>
      </c>
      <c r="D6023" s="2" t="str">
        <f t="shared" si="93"/>
        <v>Error?</v>
      </c>
    </row>
    <row r="6024" spans="1:5" x14ac:dyDescent="0.2">
      <c r="A6024" s="5">
        <v>5963</v>
      </c>
      <c r="B6024" s="138">
        <f>'Revenues 9-14'!G109</f>
        <v>189565</v>
      </c>
      <c r="C6024" s="2" t="s">
        <v>573</v>
      </c>
      <c r="D6024" s="2" t="str">
        <f t="shared" si="93"/>
        <v>Error?</v>
      </c>
    </row>
    <row r="6025" spans="1:5" x14ac:dyDescent="0.2">
      <c r="A6025" s="5">
        <v>5964</v>
      </c>
      <c r="B6025" s="138">
        <f>'Revenues 9-14'!H109</f>
        <v>341891</v>
      </c>
      <c r="C6025" s="2" t="s">
        <v>573</v>
      </c>
      <c r="D6025" s="2" t="str">
        <f t="shared" si="93"/>
        <v>Error?</v>
      </c>
    </row>
    <row r="6026" spans="1:5" x14ac:dyDescent="0.2">
      <c r="A6026" s="5">
        <v>5965</v>
      </c>
      <c r="B6026" s="138">
        <f>'Revenues 9-14'!I109</f>
        <v>45016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526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32901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566.4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212241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212241</v>
      </c>
      <c r="D6215" s="2" t="str">
        <f t="shared" si="96"/>
        <v>Error?</v>
      </c>
      <c r="E6215" s="2" t="s">
        <v>190</v>
      </c>
    </row>
    <row r="6216" spans="1:5" x14ac:dyDescent="0.2">
      <c r="A6216">
        <v>6155</v>
      </c>
      <c r="B6216" s="138">
        <f>'Assets-Liab 5-6'!J41</f>
        <v>212241</v>
      </c>
      <c r="D6216" s="2" t="str">
        <f t="shared" si="96"/>
        <v>Error?</v>
      </c>
      <c r="E6216" s="2" t="s">
        <v>190</v>
      </c>
    </row>
    <row r="6217" spans="1:5" x14ac:dyDescent="0.2">
      <c r="A6217">
        <v>6156</v>
      </c>
      <c r="B6217" s="138">
        <f>'Assets-Liab 5-6'!J4</f>
        <v>212241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151768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151768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151768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102619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102619</v>
      </c>
      <c r="D6229" s="2" t="str">
        <f t="shared" si="96"/>
        <v>Error?</v>
      </c>
      <c r="E6229" s="2" t="s">
        <v>190</v>
      </c>
    </row>
    <row r="6230" spans="1:5" x14ac:dyDescent="0.2">
      <c r="A6230">
        <v>6169</v>
      </c>
      <c r="B6230" s="138">
        <f>'Acct Summary 7-8'!J20</f>
        <v>49149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49149</v>
      </c>
      <c r="D6263" s="2" t="str">
        <f t="shared" si="96"/>
        <v>Error?</v>
      </c>
      <c r="E6263" s="2" t="s">
        <v>190</v>
      </c>
    </row>
    <row r="6264" spans="1:5" x14ac:dyDescent="0.2">
      <c r="A6264">
        <v>6203</v>
      </c>
      <c r="B6264" s="138">
        <f>'Acct Summary 7-8'!J79</f>
        <v>163092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212241</v>
      </c>
      <c r="D6266" s="2" t="str">
        <f t="shared" si="96"/>
        <v>Error?</v>
      </c>
      <c r="E6266" s="2" t="s">
        <v>190</v>
      </c>
    </row>
    <row r="6267" spans="1:5" x14ac:dyDescent="0.2">
      <c r="A6267">
        <v>6206</v>
      </c>
      <c r="B6267" s="138">
        <f>'Acct Summary 7-8'!C82</f>
        <v>294244</v>
      </c>
      <c r="D6267" s="2" t="str">
        <f t="shared" si="96"/>
        <v>Error?</v>
      </c>
      <c r="E6267" s="2" t="s">
        <v>190</v>
      </c>
    </row>
    <row r="6268" spans="1:5" x14ac:dyDescent="0.2">
      <c r="A6268">
        <v>6207</v>
      </c>
      <c r="B6268" s="138">
        <f>'Acct Summary 7-8'!D82</f>
        <v>12423</v>
      </c>
      <c r="D6268" s="2" t="str">
        <f t="shared" si="96"/>
        <v>Error?</v>
      </c>
      <c r="E6268" s="2" t="s">
        <v>190</v>
      </c>
    </row>
    <row r="6269" spans="1:5" x14ac:dyDescent="0.2">
      <c r="A6269">
        <v>6208</v>
      </c>
      <c r="B6269" s="138">
        <f>'Acct Summary 7-8'!E82</f>
        <v>-32988</v>
      </c>
      <c r="D6269" s="2" t="str">
        <f t="shared" si="96"/>
        <v>Error?</v>
      </c>
      <c r="E6269" s="2" t="s">
        <v>190</v>
      </c>
    </row>
    <row r="6270" spans="1:5" x14ac:dyDescent="0.2">
      <c r="A6270">
        <v>6209</v>
      </c>
      <c r="B6270" s="138">
        <f>'Acct Summary 7-8'!F82</f>
        <v>38350</v>
      </c>
      <c r="D6270" s="2" t="str">
        <f t="shared" si="96"/>
        <v>Error?</v>
      </c>
      <c r="E6270" s="2" t="s">
        <v>190</v>
      </c>
    </row>
    <row r="6271" spans="1:5" x14ac:dyDescent="0.2">
      <c r="A6271">
        <v>6210</v>
      </c>
      <c r="B6271" s="138">
        <f>'Acct Summary 7-8'!G82</f>
        <v>52181</v>
      </c>
      <c r="D6271" s="2" t="str">
        <f t="shared" ref="D6271:D6334" si="97">IF(ISBLANK(B6271),"OK",IF(A6271-B6271=0,"OK","Error?"))</f>
        <v>Error?</v>
      </c>
      <c r="E6271" s="2" t="s">
        <v>190</v>
      </c>
    </row>
    <row r="6272" spans="1:5" x14ac:dyDescent="0.2">
      <c r="A6272">
        <v>6211</v>
      </c>
      <c r="B6272" s="138">
        <f>'Acct Summary 7-8'!H82</f>
        <v>251398</v>
      </c>
      <c r="D6272" s="2" t="str">
        <f t="shared" si="97"/>
        <v>Error?</v>
      </c>
      <c r="E6272" s="2" t="s">
        <v>190</v>
      </c>
    </row>
    <row r="6273" spans="1:5" x14ac:dyDescent="0.2">
      <c r="A6273">
        <v>6212</v>
      </c>
      <c r="B6273" s="138">
        <f>'Acct Summary 7-8'!I82</f>
        <v>45016</v>
      </c>
      <c r="D6273" s="2" t="str">
        <f t="shared" si="97"/>
        <v>Error?</v>
      </c>
      <c r="E6273" s="2" t="s">
        <v>190</v>
      </c>
    </row>
    <row r="6274" spans="1:5" x14ac:dyDescent="0.2">
      <c r="A6274">
        <v>6213</v>
      </c>
      <c r="B6274" s="138">
        <f>'Acct Summary 7-8'!J82</f>
        <v>49149</v>
      </c>
      <c r="D6274" s="2" t="str">
        <f t="shared" si="97"/>
        <v>Error?</v>
      </c>
      <c r="E6274" s="2" t="s">
        <v>190</v>
      </c>
    </row>
    <row r="6275" spans="1:5" x14ac:dyDescent="0.2">
      <c r="A6275">
        <v>6214</v>
      </c>
      <c r="B6275" s="138">
        <f>'Acct Summary 7-8'!K82</f>
        <v>526</v>
      </c>
      <c r="D6275" s="2" t="str">
        <f t="shared" si="97"/>
        <v>Error?</v>
      </c>
      <c r="E6275" s="2" t="s">
        <v>190</v>
      </c>
    </row>
    <row r="6276" spans="1:5" x14ac:dyDescent="0.2">
      <c r="A6276">
        <v>6215</v>
      </c>
      <c r="B6276" s="138">
        <f>'Acct Summary 7-8'!C83</f>
        <v>5.4611788108994176E-2</v>
      </c>
      <c r="D6276" s="2" t="str">
        <f t="shared" si="97"/>
        <v>Error?</v>
      </c>
      <c r="E6276" s="2" t="s">
        <v>190</v>
      </c>
    </row>
    <row r="6277" spans="1:5" x14ac:dyDescent="0.2">
      <c r="A6277">
        <v>6216</v>
      </c>
      <c r="B6277" s="138">
        <f>'Acct Summary 7-8'!D83</f>
        <v>6.4866710736137699E-3</v>
      </c>
      <c r="D6277" s="2" t="str">
        <f t="shared" si="97"/>
        <v>Error?</v>
      </c>
      <c r="E6277" s="2" t="s">
        <v>190</v>
      </c>
    </row>
    <row r="6278" spans="1:5" x14ac:dyDescent="0.2">
      <c r="A6278">
        <v>6217</v>
      </c>
      <c r="B6278" s="138">
        <f>'Acct Summary 7-8'!E83</f>
        <v>-0.20751607261930224</v>
      </c>
      <c r="D6278" s="2" t="str">
        <f t="shared" si="97"/>
        <v>Error?</v>
      </c>
      <c r="E6278" s="2" t="s">
        <v>190</v>
      </c>
    </row>
    <row r="6279" spans="1:5" x14ac:dyDescent="0.2">
      <c r="A6279">
        <v>6218</v>
      </c>
      <c r="B6279" s="138">
        <f>'Acct Summary 7-8'!F83</f>
        <v>8.7991813434411106E-2</v>
      </c>
      <c r="D6279" s="2" t="str">
        <f t="shared" si="97"/>
        <v>Error?</v>
      </c>
      <c r="E6279" s="2" t="s">
        <v>190</v>
      </c>
    </row>
    <row r="6280" spans="1:5" x14ac:dyDescent="0.2">
      <c r="A6280">
        <v>6219</v>
      </c>
      <c r="B6280" s="138">
        <f>'Acct Summary 7-8'!G83</f>
        <v>0.1908267415623503</v>
      </c>
      <c r="D6280" s="2" t="str">
        <f t="shared" si="97"/>
        <v>Error?</v>
      </c>
      <c r="E6280" s="2" t="s">
        <v>190</v>
      </c>
    </row>
    <row r="6281" spans="1:5" x14ac:dyDescent="0.2">
      <c r="A6281">
        <v>6220</v>
      </c>
      <c r="B6281" s="138">
        <f>'Acct Summary 7-8'!H83</f>
        <v>0.52923666371942235</v>
      </c>
      <c r="D6281" s="2" t="str">
        <f t="shared" si="97"/>
        <v>Error?</v>
      </c>
      <c r="E6281" s="2" t="s">
        <v>190</v>
      </c>
    </row>
    <row r="6282" spans="1:5" x14ac:dyDescent="0.2">
      <c r="A6282">
        <v>6221</v>
      </c>
      <c r="B6282" s="138">
        <f>'Acct Summary 7-8'!I83</f>
        <v>6.9901598003698814E-2</v>
      </c>
      <c r="D6282" s="2" t="str">
        <f t="shared" si="97"/>
        <v>Error?</v>
      </c>
      <c r="E6282" s="2" t="s">
        <v>190</v>
      </c>
    </row>
    <row r="6283" spans="1:5" x14ac:dyDescent="0.2">
      <c r="A6283">
        <v>6222</v>
      </c>
      <c r="B6283" s="138">
        <f>'Acct Summary 7-8'!J83</f>
        <v>0.23157165674869606</v>
      </c>
      <c r="D6283" s="2" t="str">
        <f t="shared" si="97"/>
        <v>Error?</v>
      </c>
      <c r="E6283" s="2" t="s">
        <v>190</v>
      </c>
    </row>
    <row r="6284" spans="1:5" x14ac:dyDescent="0.2">
      <c r="A6284">
        <v>6223</v>
      </c>
      <c r="B6284" s="138">
        <f>'Acct Summary 7-8'!K83</f>
        <v>1.2851837372947615E-2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144364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144364</v>
      </c>
      <c r="D6301" s="2" t="str">
        <f t="shared" si="97"/>
        <v>Error?</v>
      </c>
      <c r="E6301" s="2" t="s">
        <v>190</v>
      </c>
    </row>
    <row r="6302" spans="1:5" x14ac:dyDescent="0.2">
      <c r="A6302">
        <v>6241</v>
      </c>
      <c r="B6302" s="138">
        <f>'Revenues 9-14'!J14</f>
        <v>316</v>
      </c>
      <c r="D6302" s="2" t="str">
        <f t="shared" si="97"/>
        <v>Error?</v>
      </c>
      <c r="E6302" s="2" t="s">
        <v>190</v>
      </c>
    </row>
    <row r="6303" spans="1:5" x14ac:dyDescent="0.2">
      <c r="A6303">
        <v>6242</v>
      </c>
      <c r="B6303" s="138">
        <f>'Revenues 9-14'!J15</f>
        <v>234</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550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2189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2189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4665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4665</v>
      </c>
      <c r="D6351" s="2" t="str">
        <f t="shared" si="98"/>
        <v>Error?</v>
      </c>
      <c r="E6351" s="2" t="s">
        <v>190</v>
      </c>
    </row>
    <row r="6352" spans="1:5" x14ac:dyDescent="0.2">
      <c r="A6352">
        <v>6291</v>
      </c>
      <c r="B6352" s="138">
        <f>'Revenues 9-14'!J109</f>
        <v>151768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104306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40177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147794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1406</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41583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596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2157</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1503</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4256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4256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58695</v>
      </c>
      <c r="D6981" s="2" t="str">
        <f t="shared" si="108"/>
        <v>Error?</v>
      </c>
    </row>
    <row r="6982" spans="1:4" x14ac:dyDescent="0.2">
      <c r="A6982">
        <v>6921</v>
      </c>
      <c r="B6982" s="138">
        <f>'Expenditures 15-22'!K85</f>
        <v>58695</v>
      </c>
      <c r="D6982" s="2" t="str">
        <f t="shared" si="108"/>
        <v>Error?</v>
      </c>
    </row>
    <row r="6983" spans="1:4" x14ac:dyDescent="0.2">
      <c r="A6983">
        <v>6922</v>
      </c>
      <c r="B6983" s="138">
        <f>'Expenditures 15-22'!H86</f>
        <v>247343</v>
      </c>
      <c r="D6983" s="2" t="str">
        <f t="shared" si="108"/>
        <v>Error?</v>
      </c>
    </row>
    <row r="6984" spans="1:4" x14ac:dyDescent="0.2">
      <c r="A6984">
        <v>6923</v>
      </c>
      <c r="B6984" s="138">
        <f>'Expenditures 15-22'!K86</f>
        <v>247343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306038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45839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102619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151768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10991</v>
      </c>
      <c r="D7067" s="2" t="str">
        <f t="shared" si="109"/>
        <v>Error?</v>
      </c>
    </row>
    <row r="7068" spans="1:4" x14ac:dyDescent="0.2">
      <c r="A7068">
        <v>7007</v>
      </c>
      <c r="B7068" s="138">
        <f>'Expenditures 15-22'!K205</f>
        <v>10991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4348</v>
      </c>
      <c r="D7073" s="2" t="str">
        <f t="shared" si="109"/>
        <v>Error?</v>
      </c>
    </row>
    <row r="7074" spans="1:4" x14ac:dyDescent="0.2">
      <c r="A7074">
        <v>7013</v>
      </c>
      <c r="B7074" s="138">
        <f>'Expenditures 15-22'!K216</f>
        <v>4348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186</v>
      </c>
      <c r="D7089" s="2" t="str">
        <f t="shared" si="109"/>
        <v>Error?</v>
      </c>
    </row>
    <row r="7090" spans="1:4" x14ac:dyDescent="0.2">
      <c r="A7090">
        <v>7029</v>
      </c>
      <c r="B7090" s="138">
        <f>'Expenditures 15-22'!K252</f>
        <v>186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919</v>
      </c>
      <c r="D7093" s="2" t="str">
        <f t="shared" si="109"/>
        <v>Error?</v>
      </c>
    </row>
    <row r="7094" spans="1:4" x14ac:dyDescent="0.2">
      <c r="A7094">
        <v>7033</v>
      </c>
      <c r="B7094" s="138">
        <f>'Expenditures 15-22'!K254</f>
        <v>919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54945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54945</v>
      </c>
      <c r="D7153" s="2" t="str">
        <f t="shared" si="110"/>
        <v>Error?</v>
      </c>
    </row>
    <row r="7154" spans="1:4" x14ac:dyDescent="0.2">
      <c r="A7154">
        <v>7093</v>
      </c>
      <c r="B7154" s="138">
        <f>'Expenditures 15-22'!C323</f>
        <v>12872</v>
      </c>
      <c r="D7154" s="2" t="str">
        <f t="shared" si="110"/>
        <v>Error?</v>
      </c>
    </row>
    <row r="7155" spans="1:4" x14ac:dyDescent="0.2">
      <c r="A7155">
        <v>7094</v>
      </c>
      <c r="B7155" s="138">
        <f>'Expenditures 15-22'!D323</f>
        <v>193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13065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28937</v>
      </c>
      <c r="D7172" s="2" t="str">
        <f t="shared" si="111"/>
        <v>Error?</v>
      </c>
    </row>
    <row r="7173" spans="1:4" x14ac:dyDescent="0.2">
      <c r="A7173">
        <v>7112</v>
      </c>
      <c r="B7173" s="138">
        <f>'Expenditures 15-22'!D325</f>
        <v>340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29277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5332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5332</v>
      </c>
      <c r="D7198" s="2" t="str">
        <f t="shared" si="111"/>
        <v>Error?</v>
      </c>
    </row>
    <row r="7199" spans="1:4" x14ac:dyDescent="0.2">
      <c r="A7199">
        <v>7138</v>
      </c>
      <c r="B7199" s="138">
        <f>'Expenditures 15-22'!C330</f>
        <v>41809</v>
      </c>
      <c r="D7199" s="2" t="str">
        <f t="shared" si="111"/>
        <v>Error?</v>
      </c>
    </row>
    <row r="7200" spans="1:4" x14ac:dyDescent="0.2">
      <c r="A7200">
        <v>7139</v>
      </c>
      <c r="B7200" s="138">
        <f>'Expenditures 15-22'!D330</f>
        <v>533</v>
      </c>
      <c r="D7200" s="2" t="str">
        <f t="shared" si="111"/>
        <v>Error?</v>
      </c>
    </row>
    <row r="7201" spans="1:4" x14ac:dyDescent="0.2">
      <c r="A7201">
        <v>7140</v>
      </c>
      <c r="B7201" s="138">
        <f>'Expenditures 15-22'!E330</f>
        <v>60277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102619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41809</v>
      </c>
      <c r="D7216" s="2" t="str">
        <f t="shared" si="111"/>
        <v>Error?</v>
      </c>
    </row>
    <row r="7217" spans="1:4" x14ac:dyDescent="0.2">
      <c r="A7217">
        <v>7156</v>
      </c>
      <c r="B7217" s="138">
        <f>'Expenditures 15-22'!D342</f>
        <v>533</v>
      </c>
      <c r="D7217" s="2" t="str">
        <f t="shared" si="111"/>
        <v>Error?</v>
      </c>
    </row>
    <row r="7218" spans="1:4" x14ac:dyDescent="0.2">
      <c r="A7218">
        <v>7157</v>
      </c>
      <c r="B7218" s="138">
        <f>'Expenditures 15-22'!E342</f>
        <v>60277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102619</v>
      </c>
      <c r="D7224" s="2" t="str">
        <f t="shared" si="111"/>
        <v>Error?</v>
      </c>
    </row>
    <row r="7225" spans="1:4" x14ac:dyDescent="0.2">
      <c r="A7225">
        <v>7164</v>
      </c>
      <c r="B7225" s="138">
        <f>'Expenditures 15-22'!K343</f>
        <v>49149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41574</v>
      </c>
      <c r="D7246" s="2" t="str">
        <f t="shared" si="112"/>
        <v>Error?</v>
      </c>
    </row>
    <row r="7247" spans="1:4" x14ac:dyDescent="0.2">
      <c r="A7247">
        <f t="shared" si="113"/>
        <v>7186</v>
      </c>
      <c r="B7247" s="138">
        <f>'Expenditures 15-22'!E7</f>
        <v>115</v>
      </c>
      <c r="D7247" s="2" t="str">
        <f t="shared" si="112"/>
        <v>Error?</v>
      </c>
    </row>
    <row r="7248" spans="1:4" x14ac:dyDescent="0.2">
      <c r="A7248">
        <f t="shared" si="113"/>
        <v>7187</v>
      </c>
      <c r="B7248" s="138">
        <f>'Expenditures 15-22'!F7</f>
        <v>1799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26678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26678</v>
      </c>
      <c r="D7618" s="2" t="str">
        <f t="shared" si="124"/>
        <v>Error?</v>
      </c>
      <c r="E7618" s="2" t="s">
        <v>19</v>
      </c>
    </row>
    <row r="7619" spans="1:5" x14ac:dyDescent="0.2">
      <c r="A7619">
        <f t="shared" si="123"/>
        <v>7558</v>
      </c>
      <c r="B7619" s="138">
        <f>'Cap Outlay Deprec 26'!H14</f>
        <v>26678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26678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45839</v>
      </c>
      <c r="D7624" s="2" t="str">
        <f t="shared" si="124"/>
        <v>Error?</v>
      </c>
      <c r="E7624" s="2" t="s">
        <v>19</v>
      </c>
    </row>
    <row r="7625" spans="1:5" x14ac:dyDescent="0.2">
      <c r="A7625">
        <f t="shared" si="123"/>
        <v>7564</v>
      </c>
      <c r="B7625" s="138">
        <f>'Cap Outlay Deprec 26'!I17</f>
        <v>4583.8999999999996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456508.9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21852</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223621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4232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337660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341892</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15336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90493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90493</v>
      </c>
      <c r="D7730" s="2" t="str">
        <f t="shared" si="126"/>
        <v>Error?</v>
      </c>
      <c r="E7730" s="2" t="s">
        <v>827</v>
      </c>
    </row>
    <row r="7731" spans="1:6" x14ac:dyDescent="0.2">
      <c r="A7731">
        <v>7670</v>
      </c>
      <c r="B7731" s="138">
        <f>'Revenues 9-14'!H103</f>
        <v>337660</v>
      </c>
      <c r="D7731" s="2" t="str">
        <f t="shared" si="126"/>
        <v>Error?</v>
      </c>
      <c r="E7731" s="2" t="s">
        <v>827</v>
      </c>
    </row>
    <row r="7732" spans="1:6" x14ac:dyDescent="0.2">
      <c r="A7732">
        <v>7671</v>
      </c>
      <c r="B7732" s="138">
        <f>'Rest Tax Levies-Tort Im 25'!J24</f>
        <v>475020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475020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380791</v>
      </c>
      <c r="D7797" s="2" t="str">
        <f t="shared" si="127"/>
        <v>Error?</v>
      </c>
      <c r="E7797" s="4" t="s">
        <v>1901</v>
      </c>
    </row>
    <row r="7798" spans="1:5" x14ac:dyDescent="0.2">
      <c r="A7798">
        <v>7737</v>
      </c>
      <c r="B7798" s="138">
        <f>'Contracts Paid in CY 29'!F141</f>
        <v>150000</v>
      </c>
      <c r="D7798" s="2" t="str">
        <f t="shared" si="127"/>
        <v>Error?</v>
      </c>
      <c r="E7798" s="4" t="s">
        <v>1901</v>
      </c>
    </row>
    <row r="7799" spans="1:5" x14ac:dyDescent="0.2">
      <c r="A7799">
        <v>7738</v>
      </c>
      <c r="B7799" s="138">
        <f>'Contracts Paid in CY 29'!G141</f>
        <v>230791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88" t="s">
        <v>1191</v>
      </c>
      <c r="B2" s="2488"/>
      <c r="C2" s="2488"/>
      <c r="D2" s="2488"/>
      <c r="E2" s="2488"/>
      <c r="F2" s="2488"/>
      <c r="G2" s="2488"/>
      <c r="H2" s="2488"/>
      <c r="I2" s="2488"/>
      <c r="J2" s="2488"/>
      <c r="K2" s="2488"/>
      <c r="L2" s="2488"/>
    </row>
    <row r="3" spans="1:29" ht="13.5" customHeight="1" x14ac:dyDescent="0.2">
      <c r="A3" s="2519" t="s">
        <v>1190</v>
      </c>
      <c r="B3" s="2519"/>
      <c r="C3" s="2519"/>
      <c r="D3" s="2519"/>
      <c r="E3" s="2519"/>
      <c r="F3" s="2519"/>
      <c r="G3" s="2519"/>
      <c r="H3" s="2519"/>
      <c r="I3" s="2519"/>
      <c r="J3" s="2519"/>
      <c r="K3" s="2519"/>
      <c r="L3" s="2519"/>
    </row>
    <row r="4" spans="1:29" ht="13.5" customHeight="1" x14ac:dyDescent="0.2">
      <c r="A4" s="2488" t="s">
        <v>1986</v>
      </c>
      <c r="B4" s="2509"/>
      <c r="C4" s="2509"/>
      <c r="D4" s="2509"/>
      <c r="E4" s="2509"/>
      <c r="F4" s="2509"/>
      <c r="G4" s="2509"/>
      <c r="H4" s="2509"/>
      <c r="I4" s="2509"/>
      <c r="J4" s="2509"/>
      <c r="K4" s="2509"/>
      <c r="L4" s="250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10" t="str">
        <f>COVER!A17</f>
        <v>Silvis SD 34</v>
      </c>
      <c r="B7" s="2511"/>
      <c r="C7" s="2511"/>
      <c r="D7" s="2512"/>
      <c r="E7" s="2513">
        <f>COVER!A13</f>
        <v>49081034002</v>
      </c>
      <c r="F7" s="2514"/>
      <c r="G7" s="2520" t="str">
        <f>COVER!T23</f>
        <v>066-005027</v>
      </c>
      <c r="H7" s="2521"/>
      <c r="I7" s="2521"/>
      <c r="J7" s="2521"/>
      <c r="K7" s="2521"/>
      <c r="L7" s="252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23"/>
      <c r="B9" s="2524"/>
      <c r="C9" s="2524"/>
      <c r="D9" s="2524"/>
      <c r="E9" s="2524"/>
      <c r="F9" s="2525"/>
      <c r="G9" s="2494" t="str">
        <f>COVER!T13</f>
        <v>Gorenz and Associates, Ltd.</v>
      </c>
      <c r="H9" s="2526"/>
      <c r="I9" s="2526"/>
      <c r="J9" s="2526"/>
      <c r="K9" s="2526"/>
      <c r="L9" s="2527"/>
    </row>
    <row r="10" spans="1:29" ht="13.5" customHeight="1" x14ac:dyDescent="0.2">
      <c r="A10" s="2500" t="str">
        <f>COVER!A38</f>
        <v>Terri Vandewiele</v>
      </c>
      <c r="B10" s="2501"/>
      <c r="C10" s="2501"/>
      <c r="D10" s="2501"/>
      <c r="E10" s="2501"/>
      <c r="F10" s="2502"/>
      <c r="G10" s="2494" t="str">
        <f>COVER!T17</f>
        <v>4200 N Knoxville Ave</v>
      </c>
      <c r="H10" s="2495"/>
      <c r="I10" s="2495"/>
      <c r="J10" s="2495"/>
      <c r="K10" s="2495"/>
      <c r="L10" s="2496"/>
    </row>
    <row r="11" spans="1:29" ht="13.5" customHeight="1" x14ac:dyDescent="0.2">
      <c r="A11" s="1181" t="s">
        <v>1519</v>
      </c>
      <c r="B11" s="1182"/>
      <c r="C11" s="1183"/>
      <c r="D11" s="1188"/>
      <c r="E11" s="1183"/>
      <c r="F11" s="1187"/>
      <c r="G11" s="2494" t="str">
        <f>COVER!T19</f>
        <v>Peoria</v>
      </c>
      <c r="H11" s="2495"/>
      <c r="I11" s="2495"/>
      <c r="J11" s="2495"/>
      <c r="K11" s="2495"/>
      <c r="L11" s="2496"/>
    </row>
    <row r="12" spans="1:29" ht="13.5" customHeight="1" x14ac:dyDescent="0.2">
      <c r="A12" s="2503" t="s">
        <v>1518</v>
      </c>
      <c r="B12" s="2504"/>
      <c r="C12" s="2504"/>
      <c r="D12" s="2504"/>
      <c r="E12" s="2504"/>
      <c r="F12" s="2505"/>
      <c r="G12" s="2497"/>
      <c r="H12" s="2498"/>
      <c r="I12" s="2498"/>
      <c r="J12" s="2498"/>
      <c r="K12" s="2498"/>
      <c r="L12" s="2499"/>
    </row>
    <row r="13" spans="1:29" ht="13.5" customHeight="1" x14ac:dyDescent="0.2">
      <c r="A13" s="2494"/>
      <c r="B13" s="2495"/>
      <c r="C13" s="2495"/>
      <c r="D13" s="2495"/>
      <c r="E13" s="2495"/>
      <c r="F13" s="2496"/>
      <c r="G13" s="2489" t="s">
        <v>1520</v>
      </c>
      <c r="H13" s="2490"/>
      <c r="I13" s="2506" t="str">
        <f>COVER!T25</f>
        <v>tpeffer@gorenzcpa.com</v>
      </c>
      <c r="J13" s="2507"/>
      <c r="K13" s="2507"/>
      <c r="L13" s="2508"/>
    </row>
    <row r="14" spans="1:29" ht="13.5" customHeight="1" x14ac:dyDescent="0.2">
      <c r="A14" s="2494" t="str">
        <f>COVER!A19</f>
        <v>4280 4th Avenue</v>
      </c>
      <c r="B14" s="2495"/>
      <c r="C14" s="2495"/>
      <c r="D14" s="2495"/>
      <c r="E14" s="2495"/>
      <c r="F14" s="2496"/>
      <c r="G14" s="1192" t="s">
        <v>1185</v>
      </c>
      <c r="H14" s="1190"/>
      <c r="I14" s="1190"/>
      <c r="J14" s="1190"/>
      <c r="K14" s="1190"/>
      <c r="L14" s="1191"/>
    </row>
    <row r="15" spans="1:29" ht="13.5" customHeight="1" x14ac:dyDescent="0.2">
      <c r="A15" s="2494" t="str">
        <f>COVER!A21</f>
        <v>East Moline, IL</v>
      </c>
      <c r="B15" s="2495"/>
      <c r="C15" s="2495"/>
      <c r="D15" s="2495"/>
      <c r="E15" s="2495"/>
      <c r="F15" s="2496"/>
      <c r="G15" s="2491" t="str">
        <f>COVER!T15</f>
        <v>Thomas R. Peffer, CPA</v>
      </c>
      <c r="H15" s="2492"/>
      <c r="I15" s="2492"/>
      <c r="J15" s="2492"/>
      <c r="K15" s="2492"/>
      <c r="L15" s="2493"/>
    </row>
    <row r="16" spans="1:29" ht="12.2" customHeight="1" x14ac:dyDescent="0.2">
      <c r="A16" s="2516">
        <f>COVER!A25</f>
        <v>61244</v>
      </c>
      <c r="B16" s="2517"/>
      <c r="C16" s="2517"/>
      <c r="D16" s="2517"/>
      <c r="E16" s="2517"/>
      <c r="F16" s="2518"/>
      <c r="G16" s="2528"/>
      <c r="H16" s="2529"/>
      <c r="I16" s="2529"/>
      <c r="J16" s="2529"/>
      <c r="K16" s="2529"/>
      <c r="L16" s="2530"/>
    </row>
    <row r="17" spans="1:13" ht="12.2" customHeight="1" x14ac:dyDescent="0.2">
      <c r="A17" s="2531"/>
      <c r="B17" s="2517"/>
      <c r="C17" s="2517"/>
      <c r="D17" s="2517"/>
      <c r="E17" s="2517"/>
      <c r="F17" s="2518"/>
      <c r="G17" s="1192" t="s">
        <v>1184</v>
      </c>
      <c r="H17" s="1190"/>
      <c r="I17" s="1190"/>
      <c r="J17" s="1190"/>
      <c r="K17" s="1194" t="s">
        <v>1183</v>
      </c>
      <c r="L17" s="1187"/>
      <c r="M17" s="1180"/>
    </row>
    <row r="18" spans="1:13" ht="12.2" customHeight="1" x14ac:dyDescent="0.2">
      <c r="A18" s="2500"/>
      <c r="B18" s="2501"/>
      <c r="C18" s="2501"/>
      <c r="D18" s="2501"/>
      <c r="E18" s="2501"/>
      <c r="F18" s="2502"/>
      <c r="G18" s="2510" t="str">
        <f>COVER!T21</f>
        <v>309-685-7621</v>
      </c>
      <c r="H18" s="2511"/>
      <c r="I18" s="2511"/>
      <c r="J18" s="2511"/>
      <c r="K18" s="2510" t="str">
        <f>COVER!X21</f>
        <v>309-685-4758</v>
      </c>
      <c r="L18" s="251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2070</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2070</v>
      </c>
      <c r="C26" s="1199" t="s">
        <v>1699</v>
      </c>
    </row>
    <row r="27" spans="1:13" s="1195" customFormat="1" ht="9" customHeight="1" x14ac:dyDescent="0.2">
      <c r="B27" s="1200"/>
      <c r="C27" s="1199"/>
    </row>
    <row r="28" spans="1:13" s="1195" customFormat="1" ht="12.2" customHeight="1" x14ac:dyDescent="0.2">
      <c r="A28" s="1202"/>
      <c r="B28" s="1198" t="s">
        <v>2070</v>
      </c>
      <c r="C28" s="1199" t="s">
        <v>1700</v>
      </c>
    </row>
    <row r="29" spans="1:13" s="1195" customFormat="1" ht="9" customHeight="1" x14ac:dyDescent="0.2">
      <c r="A29" s="1202"/>
      <c r="B29" s="1200"/>
      <c r="C29" s="1199"/>
    </row>
    <row r="30" spans="1:13" s="1195" customFormat="1" ht="12.2" customHeight="1" x14ac:dyDescent="0.2">
      <c r="B30" s="1198" t="s">
        <v>2070</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2070</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2070</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2070</v>
      </c>
      <c r="C38" s="1199" t="s">
        <v>1566</v>
      </c>
    </row>
    <row r="39" spans="1:8" ht="9" customHeight="1" x14ac:dyDescent="0.2">
      <c r="B39" s="1200"/>
      <c r="C39" s="1203"/>
    </row>
    <row r="40" spans="1:8" s="1195" customFormat="1" ht="13.5" customHeight="1" x14ac:dyDescent="0.2">
      <c r="B40" s="1198" t="s">
        <v>2070</v>
      </c>
      <c r="C40" s="1199" t="s">
        <v>1567</v>
      </c>
    </row>
    <row r="41" spans="1:8" ht="9" customHeight="1" x14ac:dyDescent="0.2">
      <c r="A41" s="1204"/>
      <c r="B41" s="1200"/>
      <c r="C41" s="1203"/>
    </row>
    <row r="42" spans="1:8" s="1195" customFormat="1" ht="13.5" customHeight="1" x14ac:dyDescent="0.2">
      <c r="B42" s="1198" t="s">
        <v>2070</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32" t="str">
        <f>'Single Audit Cover'!A7</f>
        <v>Silvis SD 34</v>
      </c>
      <c r="B1" s="2509"/>
      <c r="C1" s="2509"/>
      <c r="D1" s="2509"/>
    </row>
    <row r="2" spans="1:11" s="1209" customFormat="1" ht="12.75" x14ac:dyDescent="0.2">
      <c r="A2" s="2533">
        <f>'Single Audit Cover'!E7</f>
        <v>49081034002</v>
      </c>
      <c r="B2" s="2534"/>
      <c r="C2" s="2534"/>
      <c r="D2" s="2534"/>
    </row>
    <row r="3" spans="1:11" s="1209" customFormat="1" ht="12.75" x14ac:dyDescent="0.2">
      <c r="A3" s="2532" t="s">
        <v>1513</v>
      </c>
      <c r="B3" s="2509"/>
      <c r="C3" s="2509"/>
      <c r="D3" s="250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36" t="str">
        <f>'Single Audit Cover'!A7</f>
        <v>Silvis SD 34</v>
      </c>
      <c r="B1" s="2536"/>
      <c r="C1" s="2536"/>
      <c r="D1" s="2536"/>
      <c r="E1" s="2536"/>
    </row>
    <row r="2" spans="1:5" x14ac:dyDescent="0.2">
      <c r="A2" s="2537">
        <f>'Single Audit Cover'!E7</f>
        <v>49081034002</v>
      </c>
      <c r="B2" s="2537"/>
      <c r="C2" s="2537"/>
      <c r="D2" s="2537"/>
      <c r="E2" s="2537"/>
    </row>
    <row r="3" spans="1:5" ht="4.5" customHeight="1" x14ac:dyDescent="0.2"/>
    <row r="4" spans="1:5" x14ac:dyDescent="0.2">
      <c r="A4" s="2536" t="s">
        <v>1245</v>
      </c>
      <c r="B4" s="2536"/>
      <c r="C4" s="2536"/>
      <c r="D4" s="2536"/>
      <c r="E4" s="2536"/>
    </row>
    <row r="5" spans="1:5" x14ac:dyDescent="0.2">
      <c r="A5" s="2539" t="str">
        <f>'Single Audit Cover'!A4</f>
        <v>Year Ending June 30, 2019</v>
      </c>
      <c r="B5" s="2539"/>
      <c r="C5" s="2539"/>
      <c r="D5" s="2539"/>
      <c r="E5" s="2539"/>
    </row>
    <row r="6" spans="1:5" x14ac:dyDescent="0.2">
      <c r="A6" s="2536" t="s">
        <v>1244</v>
      </c>
      <c r="B6" s="2536"/>
      <c r="C6" s="2536"/>
      <c r="D6" s="2536"/>
      <c r="E6" s="2536"/>
    </row>
    <row r="8" spans="1:5" x14ac:dyDescent="0.2">
      <c r="A8" s="1254" t="s">
        <v>1243</v>
      </c>
    </row>
    <row r="10" spans="1:5" x14ac:dyDescent="0.2">
      <c r="A10" s="1255" t="s">
        <v>1242</v>
      </c>
      <c r="B10" s="1256" t="s">
        <v>1241</v>
      </c>
      <c r="C10" s="1256"/>
      <c r="D10" s="1257">
        <f>SUM('Acct Summary 7-8'!C7:K7)</f>
        <v>859126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32901</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-20430</v>
      </c>
    </row>
    <row r="19" spans="1:4" ht="13.5" thickBot="1" x14ac:dyDescent="0.25">
      <c r="A19" s="1259" t="s">
        <v>1235</v>
      </c>
      <c r="D19" s="1260">
        <f>SUM(D10:D17)</f>
        <v>871597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38"/>
      <c r="B24" s="2538"/>
      <c r="D24" s="1262"/>
    </row>
    <row r="25" spans="1:4" x14ac:dyDescent="0.2">
      <c r="A25" s="2535"/>
      <c r="B25" s="2535"/>
      <c r="D25" s="1262"/>
    </row>
    <row r="26" spans="1:4" x14ac:dyDescent="0.2">
      <c r="A26" s="2535"/>
      <c r="B26" s="2535"/>
      <c r="D26" s="1262"/>
    </row>
    <row r="27" spans="1:4" x14ac:dyDescent="0.2">
      <c r="A27" s="2535"/>
      <c r="B27" s="2535"/>
      <c r="D27" s="1262"/>
    </row>
    <row r="28" spans="1:4" x14ac:dyDescent="0.2">
      <c r="A28" s="2535"/>
      <c r="B28" s="2535"/>
      <c r="D28" s="1262"/>
    </row>
    <row r="29" spans="1:4" x14ac:dyDescent="0.2">
      <c r="A29" s="2535"/>
      <c r="B29" s="2535"/>
      <c r="D29" s="1262"/>
    </row>
    <row r="30" spans="1:4" x14ac:dyDescent="0.2">
      <c r="A30" s="2535"/>
      <c r="B30" s="2535"/>
      <c r="D30" s="1262"/>
    </row>
    <row r="32" spans="1:4" x14ac:dyDescent="0.2">
      <c r="A32" s="1254" t="s">
        <v>1233</v>
      </c>
      <c r="D32" s="1257">
        <f>SUM(D19:D30)</f>
        <v>871597</v>
      </c>
    </row>
    <row r="33" spans="1:4" x14ac:dyDescent="0.2">
      <c r="D33" s="1263"/>
    </row>
    <row r="34" spans="1:4" x14ac:dyDescent="0.2">
      <c r="A34" s="317" t="s">
        <v>1232</v>
      </c>
    </row>
    <row r="35" spans="1:4" x14ac:dyDescent="0.2">
      <c r="A35" s="317" t="s">
        <v>1231</v>
      </c>
      <c r="B35" s="1252" t="s">
        <v>1230</v>
      </c>
      <c r="D35" s="1264">
        <v>838696</v>
      </c>
    </row>
    <row r="37" spans="1:4" x14ac:dyDescent="0.2">
      <c r="A37" s="1254" t="s">
        <v>1229</v>
      </c>
    </row>
    <row r="39" spans="1:4" ht="13.35" customHeight="1" x14ac:dyDescent="0.2">
      <c r="A39" s="1261" t="s">
        <v>1228</v>
      </c>
    </row>
    <row r="40" spans="1:4" x14ac:dyDescent="0.2">
      <c r="A40" s="2535" t="s">
        <v>2229</v>
      </c>
      <c r="B40" s="2535"/>
      <c r="D40" s="1262">
        <v>32901</v>
      </c>
    </row>
    <row r="41" spans="1:4" x14ac:dyDescent="0.2">
      <c r="A41" s="2535"/>
      <c r="B41" s="2535"/>
      <c r="D41" s="1265"/>
    </row>
    <row r="42" spans="1:4" x14ac:dyDescent="0.2">
      <c r="A42" s="2535"/>
      <c r="B42" s="2535"/>
      <c r="D42" s="1265"/>
    </row>
    <row r="43" spans="1:4" x14ac:dyDescent="0.2">
      <c r="A43" s="2535"/>
      <c r="B43" s="2535"/>
      <c r="D43" s="1265"/>
    </row>
    <row r="44" spans="1:4" x14ac:dyDescent="0.2">
      <c r="A44" s="2535"/>
      <c r="B44" s="2535"/>
      <c r="D44" s="1265"/>
    </row>
    <row r="45" spans="1:4" x14ac:dyDescent="0.2">
      <c r="A45" s="2535"/>
      <c r="B45" s="2535"/>
      <c r="D45" s="1265"/>
    </row>
    <row r="47" spans="1:4" x14ac:dyDescent="0.2">
      <c r="B47" s="1266" t="s">
        <v>1227</v>
      </c>
      <c r="C47" s="1266"/>
      <c r="D47" s="1267">
        <f>SUM(D35:D45)</f>
        <v>871597</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19" t="str">
        <f>'Single Audit Cover'!A7</f>
        <v>Silvis SD 34</v>
      </c>
      <c r="C1" s="2540"/>
      <c r="D1" s="2540"/>
      <c r="E1" s="2540"/>
      <c r="F1" s="2540"/>
      <c r="G1" s="2540"/>
      <c r="H1" s="2540"/>
      <c r="I1" s="2540"/>
      <c r="J1" s="2540"/>
      <c r="K1" s="2540"/>
      <c r="L1" s="2540"/>
      <c r="M1" s="2540"/>
    </row>
    <row r="2" spans="2:14" ht="15" x14ac:dyDescent="0.2">
      <c r="B2" s="2541">
        <f>'Single Audit Cover'!E7</f>
        <v>49081034002</v>
      </c>
      <c r="C2" s="2541"/>
      <c r="D2" s="2541"/>
      <c r="E2" s="2541"/>
      <c r="F2" s="2541"/>
      <c r="G2" s="2541"/>
      <c r="H2" s="2541"/>
      <c r="I2" s="2541"/>
      <c r="J2" s="2541"/>
      <c r="K2" s="2541"/>
      <c r="L2" s="2541"/>
      <c r="M2" s="2541"/>
      <c r="N2" s="1296"/>
    </row>
    <row r="3" spans="2:14" ht="15" x14ac:dyDescent="0.2">
      <c r="B3" s="2542" t="s">
        <v>1219</v>
      </c>
      <c r="C3" s="2542"/>
      <c r="D3" s="2542"/>
      <c r="E3" s="2542"/>
      <c r="F3" s="2542"/>
      <c r="G3" s="2542"/>
      <c r="H3" s="2542"/>
      <c r="I3" s="2542"/>
      <c r="J3" s="2542"/>
      <c r="K3" s="2542"/>
      <c r="L3" s="2542"/>
      <c r="M3" s="2542"/>
      <c r="N3" s="1296"/>
    </row>
    <row r="4" spans="2:14" ht="15" x14ac:dyDescent="0.2">
      <c r="B4" s="2543" t="str">
        <f>'Single Audit Cover'!A4</f>
        <v>Year Ending June 30, 2019</v>
      </c>
      <c r="C4" s="2543"/>
      <c r="D4" s="2543"/>
      <c r="E4" s="2543"/>
      <c r="F4" s="2543"/>
      <c r="G4" s="2543"/>
      <c r="H4" s="2543"/>
      <c r="I4" s="2543"/>
      <c r="J4" s="2543"/>
      <c r="K4" s="2543"/>
      <c r="L4" s="2543"/>
      <c r="M4" s="2543"/>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M161"/>
  <sheetViews>
    <sheetView showGridLines="0" zoomScaleNormal="100" zoomScaleSheetLayoutView="100" workbookViewId="0">
      <pane xSplit="1" ySplit="11" topLeftCell="B12" activePane="bottomRight" state="frozen"/>
      <selection pane="topRight" activeCell="C1" sqref="C1"/>
      <selection pane="bottomLeft" activeCell="A14" sqref="A14"/>
      <selection pane="bottomRight" activeCell="B12" sqref="B12"/>
    </sheetView>
  </sheetViews>
  <sheetFormatPr defaultColWidth="16.7109375" defaultRowHeight="12" x14ac:dyDescent="0.2"/>
  <cols>
    <col min="1" max="1" width="50.140625" style="1937" customWidth="1"/>
    <col min="2" max="2" width="9.85546875" style="1937" customWidth="1"/>
    <col min="3" max="3" width="13" style="1937" customWidth="1"/>
    <col min="4" max="4" width="5.28515625" style="1965" customWidth="1"/>
    <col min="5" max="5" width="12.85546875" style="1937" customWidth="1"/>
    <col min="6" max="6" width="13.85546875" style="1937" customWidth="1"/>
    <col min="7" max="7" width="13.140625" style="1937" bestFit="1" customWidth="1"/>
    <col min="8" max="8" width="12.28515625" style="1937" customWidth="1"/>
    <col min="9" max="9" width="1.85546875" style="1937" customWidth="1"/>
    <col min="10" max="10" width="11" style="1937" customWidth="1"/>
    <col min="11" max="11" width="4.5703125" style="1965" bestFit="1" customWidth="1"/>
    <col min="12" max="12" width="13.28515625" style="1937" bestFit="1" customWidth="1"/>
    <col min="13" max="13" width="12.42578125" style="1937" bestFit="1" customWidth="1"/>
    <col min="14" max="242" width="16.7109375" style="1937"/>
    <col min="243" max="243" width="50.140625" style="1937" customWidth="1"/>
    <col min="244" max="244" width="9.85546875" style="1937" customWidth="1"/>
    <col min="245" max="245" width="13" style="1937" customWidth="1"/>
    <col min="246" max="246" width="5.28515625" style="1937" customWidth="1"/>
    <col min="247" max="247" width="12.85546875" style="1937" customWidth="1"/>
    <col min="248" max="248" width="13.85546875" style="1937" customWidth="1"/>
    <col min="249" max="249" width="13.140625" style="1937" bestFit="1" customWidth="1"/>
    <col min="250" max="250" width="12.28515625" style="1937" customWidth="1"/>
    <col min="251" max="251" width="1.85546875" style="1937" customWidth="1"/>
    <col min="252" max="252" width="11" style="1937" customWidth="1"/>
    <col min="253" max="253" width="4.5703125" style="1937" bestFit="1" customWidth="1"/>
    <col min="254" max="254" width="13.28515625" style="1937" bestFit="1" customWidth="1"/>
    <col min="255" max="255" width="12.42578125" style="1937" bestFit="1" customWidth="1"/>
    <col min="256" max="498" width="16.7109375" style="1937"/>
    <col min="499" max="499" width="50.140625" style="1937" customWidth="1"/>
    <col min="500" max="500" width="9.85546875" style="1937" customWidth="1"/>
    <col min="501" max="501" width="13" style="1937" customWidth="1"/>
    <col min="502" max="502" width="5.28515625" style="1937" customWidth="1"/>
    <col min="503" max="503" width="12.85546875" style="1937" customWidth="1"/>
    <col min="504" max="504" width="13.85546875" style="1937" customWidth="1"/>
    <col min="505" max="505" width="13.140625" style="1937" bestFit="1" customWidth="1"/>
    <col min="506" max="506" width="12.28515625" style="1937" customWidth="1"/>
    <col min="507" max="507" width="1.85546875" style="1937" customWidth="1"/>
    <col min="508" max="508" width="11" style="1937" customWidth="1"/>
    <col min="509" max="509" width="4.5703125" style="1937" bestFit="1" customWidth="1"/>
    <col min="510" max="510" width="13.28515625" style="1937" bestFit="1" customWidth="1"/>
    <col min="511" max="511" width="12.42578125" style="1937" bestFit="1" customWidth="1"/>
    <col min="512" max="754" width="16.7109375" style="1937"/>
    <col min="755" max="755" width="50.140625" style="1937" customWidth="1"/>
    <col min="756" max="756" width="9.85546875" style="1937" customWidth="1"/>
    <col min="757" max="757" width="13" style="1937" customWidth="1"/>
    <col min="758" max="758" width="5.28515625" style="1937" customWidth="1"/>
    <col min="759" max="759" width="12.85546875" style="1937" customWidth="1"/>
    <col min="760" max="760" width="13.85546875" style="1937" customWidth="1"/>
    <col min="761" max="761" width="13.140625" style="1937" bestFit="1" customWidth="1"/>
    <col min="762" max="762" width="12.28515625" style="1937" customWidth="1"/>
    <col min="763" max="763" width="1.85546875" style="1937" customWidth="1"/>
    <col min="764" max="764" width="11" style="1937" customWidth="1"/>
    <col min="765" max="765" width="4.5703125" style="1937" bestFit="1" customWidth="1"/>
    <col min="766" max="766" width="13.28515625" style="1937" bestFit="1" customWidth="1"/>
    <col min="767" max="767" width="12.42578125" style="1937" bestFit="1" customWidth="1"/>
    <col min="768" max="1010" width="16.7109375" style="1937"/>
    <col min="1011" max="1011" width="50.140625" style="1937" customWidth="1"/>
    <col min="1012" max="1012" width="9.85546875" style="1937" customWidth="1"/>
    <col min="1013" max="1013" width="13" style="1937" customWidth="1"/>
    <col min="1014" max="1014" width="5.28515625" style="1937" customWidth="1"/>
    <col min="1015" max="1015" width="12.85546875" style="1937" customWidth="1"/>
    <col min="1016" max="1016" width="13.85546875" style="1937" customWidth="1"/>
    <col min="1017" max="1017" width="13.140625" style="1937" bestFit="1" customWidth="1"/>
    <col min="1018" max="1018" width="12.28515625" style="1937" customWidth="1"/>
    <col min="1019" max="1019" width="1.85546875" style="1937" customWidth="1"/>
    <col min="1020" max="1020" width="11" style="1937" customWidth="1"/>
    <col min="1021" max="1021" width="4.5703125" style="1937" bestFit="1" customWidth="1"/>
    <col min="1022" max="1022" width="13.28515625" style="1937" bestFit="1" customWidth="1"/>
    <col min="1023" max="1023" width="12.42578125" style="1937" bestFit="1" customWidth="1"/>
    <col min="1024" max="1266" width="16.7109375" style="1937"/>
    <col min="1267" max="1267" width="50.140625" style="1937" customWidth="1"/>
    <col min="1268" max="1268" width="9.85546875" style="1937" customWidth="1"/>
    <col min="1269" max="1269" width="13" style="1937" customWidth="1"/>
    <col min="1270" max="1270" width="5.28515625" style="1937" customWidth="1"/>
    <col min="1271" max="1271" width="12.85546875" style="1937" customWidth="1"/>
    <col min="1272" max="1272" width="13.85546875" style="1937" customWidth="1"/>
    <col min="1273" max="1273" width="13.140625" style="1937" bestFit="1" customWidth="1"/>
    <col min="1274" max="1274" width="12.28515625" style="1937" customWidth="1"/>
    <col min="1275" max="1275" width="1.85546875" style="1937" customWidth="1"/>
    <col min="1276" max="1276" width="11" style="1937" customWidth="1"/>
    <col min="1277" max="1277" width="4.5703125" style="1937" bestFit="1" customWidth="1"/>
    <col min="1278" max="1278" width="13.28515625" style="1937" bestFit="1" customWidth="1"/>
    <col min="1279" max="1279" width="12.42578125" style="1937" bestFit="1" customWidth="1"/>
    <col min="1280" max="1522" width="16.7109375" style="1937"/>
    <col min="1523" max="1523" width="50.140625" style="1937" customWidth="1"/>
    <col min="1524" max="1524" width="9.85546875" style="1937" customWidth="1"/>
    <col min="1525" max="1525" width="13" style="1937" customWidth="1"/>
    <col min="1526" max="1526" width="5.28515625" style="1937" customWidth="1"/>
    <col min="1527" max="1527" width="12.85546875" style="1937" customWidth="1"/>
    <col min="1528" max="1528" width="13.85546875" style="1937" customWidth="1"/>
    <col min="1529" max="1529" width="13.140625" style="1937" bestFit="1" customWidth="1"/>
    <col min="1530" max="1530" width="12.28515625" style="1937" customWidth="1"/>
    <col min="1531" max="1531" width="1.85546875" style="1937" customWidth="1"/>
    <col min="1532" max="1532" width="11" style="1937" customWidth="1"/>
    <col min="1533" max="1533" width="4.5703125" style="1937" bestFit="1" customWidth="1"/>
    <col min="1534" max="1534" width="13.28515625" style="1937" bestFit="1" customWidth="1"/>
    <col min="1535" max="1535" width="12.42578125" style="1937" bestFit="1" customWidth="1"/>
    <col min="1536" max="1778" width="16.7109375" style="1937"/>
    <col min="1779" max="1779" width="50.140625" style="1937" customWidth="1"/>
    <col min="1780" max="1780" width="9.85546875" style="1937" customWidth="1"/>
    <col min="1781" max="1781" width="13" style="1937" customWidth="1"/>
    <col min="1782" max="1782" width="5.28515625" style="1937" customWidth="1"/>
    <col min="1783" max="1783" width="12.85546875" style="1937" customWidth="1"/>
    <col min="1784" max="1784" width="13.85546875" style="1937" customWidth="1"/>
    <col min="1785" max="1785" width="13.140625" style="1937" bestFit="1" customWidth="1"/>
    <col min="1786" max="1786" width="12.28515625" style="1937" customWidth="1"/>
    <col min="1787" max="1787" width="1.85546875" style="1937" customWidth="1"/>
    <col min="1788" max="1788" width="11" style="1937" customWidth="1"/>
    <col min="1789" max="1789" width="4.5703125" style="1937" bestFit="1" customWidth="1"/>
    <col min="1790" max="1790" width="13.28515625" style="1937" bestFit="1" customWidth="1"/>
    <col min="1791" max="1791" width="12.42578125" style="1937" bestFit="1" customWidth="1"/>
    <col min="1792" max="2034" width="16.7109375" style="1937"/>
    <col min="2035" max="2035" width="50.140625" style="1937" customWidth="1"/>
    <col min="2036" max="2036" width="9.85546875" style="1937" customWidth="1"/>
    <col min="2037" max="2037" width="13" style="1937" customWidth="1"/>
    <col min="2038" max="2038" width="5.28515625" style="1937" customWidth="1"/>
    <col min="2039" max="2039" width="12.85546875" style="1937" customWidth="1"/>
    <col min="2040" max="2040" width="13.85546875" style="1937" customWidth="1"/>
    <col min="2041" max="2041" width="13.140625" style="1937" bestFit="1" customWidth="1"/>
    <col min="2042" max="2042" width="12.28515625" style="1937" customWidth="1"/>
    <col min="2043" max="2043" width="1.85546875" style="1937" customWidth="1"/>
    <col min="2044" max="2044" width="11" style="1937" customWidth="1"/>
    <col min="2045" max="2045" width="4.5703125" style="1937" bestFit="1" customWidth="1"/>
    <col min="2046" max="2046" width="13.28515625" style="1937" bestFit="1" customWidth="1"/>
    <col min="2047" max="2047" width="12.42578125" style="1937" bestFit="1" customWidth="1"/>
    <col min="2048" max="2290" width="16.7109375" style="1937"/>
    <col min="2291" max="2291" width="50.140625" style="1937" customWidth="1"/>
    <col min="2292" max="2292" width="9.85546875" style="1937" customWidth="1"/>
    <col min="2293" max="2293" width="13" style="1937" customWidth="1"/>
    <col min="2294" max="2294" width="5.28515625" style="1937" customWidth="1"/>
    <col min="2295" max="2295" width="12.85546875" style="1937" customWidth="1"/>
    <col min="2296" max="2296" width="13.85546875" style="1937" customWidth="1"/>
    <col min="2297" max="2297" width="13.140625" style="1937" bestFit="1" customWidth="1"/>
    <col min="2298" max="2298" width="12.28515625" style="1937" customWidth="1"/>
    <col min="2299" max="2299" width="1.85546875" style="1937" customWidth="1"/>
    <col min="2300" max="2300" width="11" style="1937" customWidth="1"/>
    <col min="2301" max="2301" width="4.5703125" style="1937" bestFit="1" customWidth="1"/>
    <col min="2302" max="2302" width="13.28515625" style="1937" bestFit="1" customWidth="1"/>
    <col min="2303" max="2303" width="12.42578125" style="1937" bestFit="1" customWidth="1"/>
    <col min="2304" max="2546" width="16.7109375" style="1937"/>
    <col min="2547" max="2547" width="50.140625" style="1937" customWidth="1"/>
    <col min="2548" max="2548" width="9.85546875" style="1937" customWidth="1"/>
    <col min="2549" max="2549" width="13" style="1937" customWidth="1"/>
    <col min="2550" max="2550" width="5.28515625" style="1937" customWidth="1"/>
    <col min="2551" max="2551" width="12.85546875" style="1937" customWidth="1"/>
    <col min="2552" max="2552" width="13.85546875" style="1937" customWidth="1"/>
    <col min="2553" max="2553" width="13.140625" style="1937" bestFit="1" customWidth="1"/>
    <col min="2554" max="2554" width="12.28515625" style="1937" customWidth="1"/>
    <col min="2555" max="2555" width="1.85546875" style="1937" customWidth="1"/>
    <col min="2556" max="2556" width="11" style="1937" customWidth="1"/>
    <col min="2557" max="2557" width="4.5703125" style="1937" bestFit="1" customWidth="1"/>
    <col min="2558" max="2558" width="13.28515625" style="1937" bestFit="1" customWidth="1"/>
    <col min="2559" max="2559" width="12.42578125" style="1937" bestFit="1" customWidth="1"/>
    <col min="2560" max="2802" width="16.7109375" style="1937"/>
    <col min="2803" max="2803" width="50.140625" style="1937" customWidth="1"/>
    <col min="2804" max="2804" width="9.85546875" style="1937" customWidth="1"/>
    <col min="2805" max="2805" width="13" style="1937" customWidth="1"/>
    <col min="2806" max="2806" width="5.28515625" style="1937" customWidth="1"/>
    <col min="2807" max="2807" width="12.85546875" style="1937" customWidth="1"/>
    <col min="2808" max="2808" width="13.85546875" style="1937" customWidth="1"/>
    <col min="2809" max="2809" width="13.140625" style="1937" bestFit="1" customWidth="1"/>
    <col min="2810" max="2810" width="12.28515625" style="1937" customWidth="1"/>
    <col min="2811" max="2811" width="1.85546875" style="1937" customWidth="1"/>
    <col min="2812" max="2812" width="11" style="1937" customWidth="1"/>
    <col min="2813" max="2813" width="4.5703125" style="1937" bestFit="1" customWidth="1"/>
    <col min="2814" max="2814" width="13.28515625" style="1937" bestFit="1" customWidth="1"/>
    <col min="2815" max="2815" width="12.42578125" style="1937" bestFit="1" customWidth="1"/>
    <col min="2816" max="3058" width="16.7109375" style="1937"/>
    <col min="3059" max="3059" width="50.140625" style="1937" customWidth="1"/>
    <col min="3060" max="3060" width="9.85546875" style="1937" customWidth="1"/>
    <col min="3061" max="3061" width="13" style="1937" customWidth="1"/>
    <col min="3062" max="3062" width="5.28515625" style="1937" customWidth="1"/>
    <col min="3063" max="3063" width="12.85546875" style="1937" customWidth="1"/>
    <col min="3064" max="3064" width="13.85546875" style="1937" customWidth="1"/>
    <col min="3065" max="3065" width="13.140625" style="1937" bestFit="1" customWidth="1"/>
    <col min="3066" max="3066" width="12.28515625" style="1937" customWidth="1"/>
    <col min="3067" max="3067" width="1.85546875" style="1937" customWidth="1"/>
    <col min="3068" max="3068" width="11" style="1937" customWidth="1"/>
    <col min="3069" max="3069" width="4.5703125" style="1937" bestFit="1" customWidth="1"/>
    <col min="3070" max="3070" width="13.28515625" style="1937" bestFit="1" customWidth="1"/>
    <col min="3071" max="3071" width="12.42578125" style="1937" bestFit="1" customWidth="1"/>
    <col min="3072" max="3314" width="16.7109375" style="1937"/>
    <col min="3315" max="3315" width="50.140625" style="1937" customWidth="1"/>
    <col min="3316" max="3316" width="9.85546875" style="1937" customWidth="1"/>
    <col min="3317" max="3317" width="13" style="1937" customWidth="1"/>
    <col min="3318" max="3318" width="5.28515625" style="1937" customWidth="1"/>
    <col min="3319" max="3319" width="12.85546875" style="1937" customWidth="1"/>
    <col min="3320" max="3320" width="13.85546875" style="1937" customWidth="1"/>
    <col min="3321" max="3321" width="13.140625" style="1937" bestFit="1" customWidth="1"/>
    <col min="3322" max="3322" width="12.28515625" style="1937" customWidth="1"/>
    <col min="3323" max="3323" width="1.85546875" style="1937" customWidth="1"/>
    <col min="3324" max="3324" width="11" style="1937" customWidth="1"/>
    <col min="3325" max="3325" width="4.5703125" style="1937" bestFit="1" customWidth="1"/>
    <col min="3326" max="3326" width="13.28515625" style="1937" bestFit="1" customWidth="1"/>
    <col min="3327" max="3327" width="12.42578125" style="1937" bestFit="1" customWidth="1"/>
    <col min="3328" max="3570" width="16.7109375" style="1937"/>
    <col min="3571" max="3571" width="50.140625" style="1937" customWidth="1"/>
    <col min="3572" max="3572" width="9.85546875" style="1937" customWidth="1"/>
    <col min="3573" max="3573" width="13" style="1937" customWidth="1"/>
    <col min="3574" max="3574" width="5.28515625" style="1937" customWidth="1"/>
    <col min="3575" max="3575" width="12.85546875" style="1937" customWidth="1"/>
    <col min="3576" max="3576" width="13.85546875" style="1937" customWidth="1"/>
    <col min="3577" max="3577" width="13.140625" style="1937" bestFit="1" customWidth="1"/>
    <col min="3578" max="3578" width="12.28515625" style="1937" customWidth="1"/>
    <col min="3579" max="3579" width="1.85546875" style="1937" customWidth="1"/>
    <col min="3580" max="3580" width="11" style="1937" customWidth="1"/>
    <col min="3581" max="3581" width="4.5703125" style="1937" bestFit="1" customWidth="1"/>
    <col min="3582" max="3582" width="13.28515625" style="1937" bestFit="1" customWidth="1"/>
    <col min="3583" max="3583" width="12.42578125" style="1937" bestFit="1" customWidth="1"/>
    <col min="3584" max="3826" width="16.7109375" style="1937"/>
    <col min="3827" max="3827" width="50.140625" style="1937" customWidth="1"/>
    <col min="3828" max="3828" width="9.85546875" style="1937" customWidth="1"/>
    <col min="3829" max="3829" width="13" style="1937" customWidth="1"/>
    <col min="3830" max="3830" width="5.28515625" style="1937" customWidth="1"/>
    <col min="3831" max="3831" width="12.85546875" style="1937" customWidth="1"/>
    <col min="3832" max="3832" width="13.85546875" style="1937" customWidth="1"/>
    <col min="3833" max="3833" width="13.140625" style="1937" bestFit="1" customWidth="1"/>
    <col min="3834" max="3834" width="12.28515625" style="1937" customWidth="1"/>
    <col min="3835" max="3835" width="1.85546875" style="1937" customWidth="1"/>
    <col min="3836" max="3836" width="11" style="1937" customWidth="1"/>
    <col min="3837" max="3837" width="4.5703125" style="1937" bestFit="1" customWidth="1"/>
    <col min="3838" max="3838" width="13.28515625" style="1937" bestFit="1" customWidth="1"/>
    <col min="3839" max="3839" width="12.42578125" style="1937" bestFit="1" customWidth="1"/>
    <col min="3840" max="4082" width="16.7109375" style="1937"/>
    <col min="4083" max="4083" width="50.140625" style="1937" customWidth="1"/>
    <col min="4084" max="4084" width="9.85546875" style="1937" customWidth="1"/>
    <col min="4085" max="4085" width="13" style="1937" customWidth="1"/>
    <col min="4086" max="4086" width="5.28515625" style="1937" customWidth="1"/>
    <col min="4087" max="4087" width="12.85546875" style="1937" customWidth="1"/>
    <col min="4088" max="4088" width="13.85546875" style="1937" customWidth="1"/>
    <col min="4089" max="4089" width="13.140625" style="1937" bestFit="1" customWidth="1"/>
    <col min="4090" max="4090" width="12.28515625" style="1937" customWidth="1"/>
    <col min="4091" max="4091" width="1.85546875" style="1937" customWidth="1"/>
    <col min="4092" max="4092" width="11" style="1937" customWidth="1"/>
    <col min="4093" max="4093" width="4.5703125" style="1937" bestFit="1" customWidth="1"/>
    <col min="4094" max="4094" width="13.28515625" style="1937" bestFit="1" customWidth="1"/>
    <col min="4095" max="4095" width="12.42578125" style="1937" bestFit="1" customWidth="1"/>
    <col min="4096" max="4338" width="16.7109375" style="1937"/>
    <col min="4339" max="4339" width="50.140625" style="1937" customWidth="1"/>
    <col min="4340" max="4340" width="9.85546875" style="1937" customWidth="1"/>
    <col min="4341" max="4341" width="13" style="1937" customWidth="1"/>
    <col min="4342" max="4342" width="5.28515625" style="1937" customWidth="1"/>
    <col min="4343" max="4343" width="12.85546875" style="1937" customWidth="1"/>
    <col min="4344" max="4344" width="13.85546875" style="1937" customWidth="1"/>
    <col min="4345" max="4345" width="13.140625" style="1937" bestFit="1" customWidth="1"/>
    <col min="4346" max="4346" width="12.28515625" style="1937" customWidth="1"/>
    <col min="4347" max="4347" width="1.85546875" style="1937" customWidth="1"/>
    <col min="4348" max="4348" width="11" style="1937" customWidth="1"/>
    <col min="4349" max="4349" width="4.5703125" style="1937" bestFit="1" customWidth="1"/>
    <col min="4350" max="4350" width="13.28515625" style="1937" bestFit="1" customWidth="1"/>
    <col min="4351" max="4351" width="12.42578125" style="1937" bestFit="1" customWidth="1"/>
    <col min="4352" max="4594" width="16.7109375" style="1937"/>
    <col min="4595" max="4595" width="50.140625" style="1937" customWidth="1"/>
    <col min="4596" max="4596" width="9.85546875" style="1937" customWidth="1"/>
    <col min="4597" max="4597" width="13" style="1937" customWidth="1"/>
    <col min="4598" max="4598" width="5.28515625" style="1937" customWidth="1"/>
    <col min="4599" max="4599" width="12.85546875" style="1937" customWidth="1"/>
    <col min="4600" max="4600" width="13.85546875" style="1937" customWidth="1"/>
    <col min="4601" max="4601" width="13.140625" style="1937" bestFit="1" customWidth="1"/>
    <col min="4602" max="4602" width="12.28515625" style="1937" customWidth="1"/>
    <col min="4603" max="4603" width="1.85546875" style="1937" customWidth="1"/>
    <col min="4604" max="4604" width="11" style="1937" customWidth="1"/>
    <col min="4605" max="4605" width="4.5703125" style="1937" bestFit="1" customWidth="1"/>
    <col min="4606" max="4606" width="13.28515625" style="1937" bestFit="1" customWidth="1"/>
    <col min="4607" max="4607" width="12.42578125" style="1937" bestFit="1" customWidth="1"/>
    <col min="4608" max="4850" width="16.7109375" style="1937"/>
    <col min="4851" max="4851" width="50.140625" style="1937" customWidth="1"/>
    <col min="4852" max="4852" width="9.85546875" style="1937" customWidth="1"/>
    <col min="4853" max="4853" width="13" style="1937" customWidth="1"/>
    <col min="4854" max="4854" width="5.28515625" style="1937" customWidth="1"/>
    <col min="4855" max="4855" width="12.85546875" style="1937" customWidth="1"/>
    <col min="4856" max="4856" width="13.85546875" style="1937" customWidth="1"/>
    <col min="4857" max="4857" width="13.140625" style="1937" bestFit="1" customWidth="1"/>
    <col min="4858" max="4858" width="12.28515625" style="1937" customWidth="1"/>
    <col min="4859" max="4859" width="1.85546875" style="1937" customWidth="1"/>
    <col min="4860" max="4860" width="11" style="1937" customWidth="1"/>
    <col min="4861" max="4861" width="4.5703125" style="1937" bestFit="1" customWidth="1"/>
    <col min="4862" max="4862" width="13.28515625" style="1937" bestFit="1" customWidth="1"/>
    <col min="4863" max="4863" width="12.42578125" style="1937" bestFit="1" customWidth="1"/>
    <col min="4864" max="5106" width="16.7109375" style="1937"/>
    <col min="5107" max="5107" width="50.140625" style="1937" customWidth="1"/>
    <col min="5108" max="5108" width="9.85546875" style="1937" customWidth="1"/>
    <col min="5109" max="5109" width="13" style="1937" customWidth="1"/>
    <col min="5110" max="5110" width="5.28515625" style="1937" customWidth="1"/>
    <col min="5111" max="5111" width="12.85546875" style="1937" customWidth="1"/>
    <col min="5112" max="5112" width="13.85546875" style="1937" customWidth="1"/>
    <col min="5113" max="5113" width="13.140625" style="1937" bestFit="1" customWidth="1"/>
    <col min="5114" max="5114" width="12.28515625" style="1937" customWidth="1"/>
    <col min="5115" max="5115" width="1.85546875" style="1937" customWidth="1"/>
    <col min="5116" max="5116" width="11" style="1937" customWidth="1"/>
    <col min="5117" max="5117" width="4.5703125" style="1937" bestFit="1" customWidth="1"/>
    <col min="5118" max="5118" width="13.28515625" style="1937" bestFit="1" customWidth="1"/>
    <col min="5119" max="5119" width="12.42578125" style="1937" bestFit="1" customWidth="1"/>
    <col min="5120" max="5362" width="16.7109375" style="1937"/>
    <col min="5363" max="5363" width="50.140625" style="1937" customWidth="1"/>
    <col min="5364" max="5364" width="9.85546875" style="1937" customWidth="1"/>
    <col min="5365" max="5365" width="13" style="1937" customWidth="1"/>
    <col min="5366" max="5366" width="5.28515625" style="1937" customWidth="1"/>
    <col min="5367" max="5367" width="12.85546875" style="1937" customWidth="1"/>
    <col min="5368" max="5368" width="13.85546875" style="1937" customWidth="1"/>
    <col min="5369" max="5369" width="13.140625" style="1937" bestFit="1" customWidth="1"/>
    <col min="5370" max="5370" width="12.28515625" style="1937" customWidth="1"/>
    <col min="5371" max="5371" width="1.85546875" style="1937" customWidth="1"/>
    <col min="5372" max="5372" width="11" style="1937" customWidth="1"/>
    <col min="5373" max="5373" width="4.5703125" style="1937" bestFit="1" customWidth="1"/>
    <col min="5374" max="5374" width="13.28515625" style="1937" bestFit="1" customWidth="1"/>
    <col min="5375" max="5375" width="12.42578125" style="1937" bestFit="1" customWidth="1"/>
    <col min="5376" max="5618" width="16.7109375" style="1937"/>
    <col min="5619" max="5619" width="50.140625" style="1937" customWidth="1"/>
    <col min="5620" max="5620" width="9.85546875" style="1937" customWidth="1"/>
    <col min="5621" max="5621" width="13" style="1937" customWidth="1"/>
    <col min="5622" max="5622" width="5.28515625" style="1937" customWidth="1"/>
    <col min="5623" max="5623" width="12.85546875" style="1937" customWidth="1"/>
    <col min="5624" max="5624" width="13.85546875" style="1937" customWidth="1"/>
    <col min="5625" max="5625" width="13.140625" style="1937" bestFit="1" customWidth="1"/>
    <col min="5626" max="5626" width="12.28515625" style="1937" customWidth="1"/>
    <col min="5627" max="5627" width="1.85546875" style="1937" customWidth="1"/>
    <col min="5628" max="5628" width="11" style="1937" customWidth="1"/>
    <col min="5629" max="5629" width="4.5703125" style="1937" bestFit="1" customWidth="1"/>
    <col min="5630" max="5630" width="13.28515625" style="1937" bestFit="1" customWidth="1"/>
    <col min="5631" max="5631" width="12.42578125" style="1937" bestFit="1" customWidth="1"/>
    <col min="5632" max="5874" width="16.7109375" style="1937"/>
    <col min="5875" max="5875" width="50.140625" style="1937" customWidth="1"/>
    <col min="5876" max="5876" width="9.85546875" style="1937" customWidth="1"/>
    <col min="5877" max="5877" width="13" style="1937" customWidth="1"/>
    <col min="5878" max="5878" width="5.28515625" style="1937" customWidth="1"/>
    <col min="5879" max="5879" width="12.85546875" style="1937" customWidth="1"/>
    <col min="5880" max="5880" width="13.85546875" style="1937" customWidth="1"/>
    <col min="5881" max="5881" width="13.140625" style="1937" bestFit="1" customWidth="1"/>
    <col min="5882" max="5882" width="12.28515625" style="1937" customWidth="1"/>
    <col min="5883" max="5883" width="1.85546875" style="1937" customWidth="1"/>
    <col min="5884" max="5884" width="11" style="1937" customWidth="1"/>
    <col min="5885" max="5885" width="4.5703125" style="1937" bestFit="1" customWidth="1"/>
    <col min="5886" max="5886" width="13.28515625" style="1937" bestFit="1" customWidth="1"/>
    <col min="5887" max="5887" width="12.42578125" style="1937" bestFit="1" customWidth="1"/>
    <col min="5888" max="6130" width="16.7109375" style="1937"/>
    <col min="6131" max="6131" width="50.140625" style="1937" customWidth="1"/>
    <col min="6132" max="6132" width="9.85546875" style="1937" customWidth="1"/>
    <col min="6133" max="6133" width="13" style="1937" customWidth="1"/>
    <col min="6134" max="6134" width="5.28515625" style="1937" customWidth="1"/>
    <col min="6135" max="6135" width="12.85546875" style="1937" customWidth="1"/>
    <col min="6136" max="6136" width="13.85546875" style="1937" customWidth="1"/>
    <col min="6137" max="6137" width="13.140625" style="1937" bestFit="1" customWidth="1"/>
    <col min="6138" max="6138" width="12.28515625" style="1937" customWidth="1"/>
    <col min="6139" max="6139" width="1.85546875" style="1937" customWidth="1"/>
    <col min="6140" max="6140" width="11" style="1937" customWidth="1"/>
    <col min="6141" max="6141" width="4.5703125" style="1937" bestFit="1" customWidth="1"/>
    <col min="6142" max="6142" width="13.28515625" style="1937" bestFit="1" customWidth="1"/>
    <col min="6143" max="6143" width="12.42578125" style="1937" bestFit="1" customWidth="1"/>
    <col min="6144" max="6386" width="16.7109375" style="1937"/>
    <col min="6387" max="6387" width="50.140625" style="1937" customWidth="1"/>
    <col min="6388" max="6388" width="9.85546875" style="1937" customWidth="1"/>
    <col min="6389" max="6389" width="13" style="1937" customWidth="1"/>
    <col min="6390" max="6390" width="5.28515625" style="1937" customWidth="1"/>
    <col min="6391" max="6391" width="12.85546875" style="1937" customWidth="1"/>
    <col min="6392" max="6392" width="13.85546875" style="1937" customWidth="1"/>
    <col min="6393" max="6393" width="13.140625" style="1937" bestFit="1" customWidth="1"/>
    <col min="6394" max="6394" width="12.28515625" style="1937" customWidth="1"/>
    <col min="6395" max="6395" width="1.85546875" style="1937" customWidth="1"/>
    <col min="6396" max="6396" width="11" style="1937" customWidth="1"/>
    <col min="6397" max="6397" width="4.5703125" style="1937" bestFit="1" customWidth="1"/>
    <col min="6398" max="6398" width="13.28515625" style="1937" bestFit="1" customWidth="1"/>
    <col min="6399" max="6399" width="12.42578125" style="1937" bestFit="1" customWidth="1"/>
    <col min="6400" max="6642" width="16.7109375" style="1937"/>
    <col min="6643" max="6643" width="50.140625" style="1937" customWidth="1"/>
    <col min="6644" max="6644" width="9.85546875" style="1937" customWidth="1"/>
    <col min="6645" max="6645" width="13" style="1937" customWidth="1"/>
    <col min="6646" max="6646" width="5.28515625" style="1937" customWidth="1"/>
    <col min="6647" max="6647" width="12.85546875" style="1937" customWidth="1"/>
    <col min="6648" max="6648" width="13.85546875" style="1937" customWidth="1"/>
    <col min="6649" max="6649" width="13.140625" style="1937" bestFit="1" customWidth="1"/>
    <col min="6650" max="6650" width="12.28515625" style="1937" customWidth="1"/>
    <col min="6651" max="6651" width="1.85546875" style="1937" customWidth="1"/>
    <col min="6652" max="6652" width="11" style="1937" customWidth="1"/>
    <col min="6653" max="6653" width="4.5703125" style="1937" bestFit="1" customWidth="1"/>
    <col min="6654" max="6654" width="13.28515625" style="1937" bestFit="1" customWidth="1"/>
    <col min="6655" max="6655" width="12.42578125" style="1937" bestFit="1" customWidth="1"/>
    <col min="6656" max="6898" width="16.7109375" style="1937"/>
    <col min="6899" max="6899" width="50.140625" style="1937" customWidth="1"/>
    <col min="6900" max="6900" width="9.85546875" style="1937" customWidth="1"/>
    <col min="6901" max="6901" width="13" style="1937" customWidth="1"/>
    <col min="6902" max="6902" width="5.28515625" style="1937" customWidth="1"/>
    <col min="6903" max="6903" width="12.85546875" style="1937" customWidth="1"/>
    <col min="6904" max="6904" width="13.85546875" style="1937" customWidth="1"/>
    <col min="6905" max="6905" width="13.140625" style="1937" bestFit="1" customWidth="1"/>
    <col min="6906" max="6906" width="12.28515625" style="1937" customWidth="1"/>
    <col min="6907" max="6907" width="1.85546875" style="1937" customWidth="1"/>
    <col min="6908" max="6908" width="11" style="1937" customWidth="1"/>
    <col min="6909" max="6909" width="4.5703125" style="1937" bestFit="1" customWidth="1"/>
    <col min="6910" max="6910" width="13.28515625" style="1937" bestFit="1" customWidth="1"/>
    <col min="6911" max="6911" width="12.42578125" style="1937" bestFit="1" customWidth="1"/>
    <col min="6912" max="7154" width="16.7109375" style="1937"/>
    <col min="7155" max="7155" width="50.140625" style="1937" customWidth="1"/>
    <col min="7156" max="7156" width="9.85546875" style="1937" customWidth="1"/>
    <col min="7157" max="7157" width="13" style="1937" customWidth="1"/>
    <col min="7158" max="7158" width="5.28515625" style="1937" customWidth="1"/>
    <col min="7159" max="7159" width="12.85546875" style="1937" customWidth="1"/>
    <col min="7160" max="7160" width="13.85546875" style="1937" customWidth="1"/>
    <col min="7161" max="7161" width="13.140625" style="1937" bestFit="1" customWidth="1"/>
    <col min="7162" max="7162" width="12.28515625" style="1937" customWidth="1"/>
    <col min="7163" max="7163" width="1.85546875" style="1937" customWidth="1"/>
    <col min="7164" max="7164" width="11" style="1937" customWidth="1"/>
    <col min="7165" max="7165" width="4.5703125" style="1937" bestFit="1" customWidth="1"/>
    <col min="7166" max="7166" width="13.28515625" style="1937" bestFit="1" customWidth="1"/>
    <col min="7167" max="7167" width="12.42578125" style="1937" bestFit="1" customWidth="1"/>
    <col min="7168" max="7410" width="16.7109375" style="1937"/>
    <col min="7411" max="7411" width="50.140625" style="1937" customWidth="1"/>
    <col min="7412" max="7412" width="9.85546875" style="1937" customWidth="1"/>
    <col min="7413" max="7413" width="13" style="1937" customWidth="1"/>
    <col min="7414" max="7414" width="5.28515625" style="1937" customWidth="1"/>
    <col min="7415" max="7415" width="12.85546875" style="1937" customWidth="1"/>
    <col min="7416" max="7416" width="13.85546875" style="1937" customWidth="1"/>
    <col min="7417" max="7417" width="13.140625" style="1937" bestFit="1" customWidth="1"/>
    <col min="7418" max="7418" width="12.28515625" style="1937" customWidth="1"/>
    <col min="7419" max="7419" width="1.85546875" style="1937" customWidth="1"/>
    <col min="7420" max="7420" width="11" style="1937" customWidth="1"/>
    <col min="7421" max="7421" width="4.5703125" style="1937" bestFit="1" customWidth="1"/>
    <col min="7422" max="7422" width="13.28515625" style="1937" bestFit="1" customWidth="1"/>
    <col min="7423" max="7423" width="12.42578125" style="1937" bestFit="1" customWidth="1"/>
    <col min="7424" max="7666" width="16.7109375" style="1937"/>
    <col min="7667" max="7667" width="50.140625" style="1937" customWidth="1"/>
    <col min="7668" max="7668" width="9.85546875" style="1937" customWidth="1"/>
    <col min="7669" max="7669" width="13" style="1937" customWidth="1"/>
    <col min="7670" max="7670" width="5.28515625" style="1937" customWidth="1"/>
    <col min="7671" max="7671" width="12.85546875" style="1937" customWidth="1"/>
    <col min="7672" max="7672" width="13.85546875" style="1937" customWidth="1"/>
    <col min="7673" max="7673" width="13.140625" style="1937" bestFit="1" customWidth="1"/>
    <col min="7674" max="7674" width="12.28515625" style="1937" customWidth="1"/>
    <col min="7675" max="7675" width="1.85546875" style="1937" customWidth="1"/>
    <col min="7676" max="7676" width="11" style="1937" customWidth="1"/>
    <col min="7677" max="7677" width="4.5703125" style="1937" bestFit="1" customWidth="1"/>
    <col min="7678" max="7678" width="13.28515625" style="1937" bestFit="1" customWidth="1"/>
    <col min="7679" max="7679" width="12.42578125" style="1937" bestFit="1" customWidth="1"/>
    <col min="7680" max="7922" width="16.7109375" style="1937"/>
    <col min="7923" max="7923" width="50.140625" style="1937" customWidth="1"/>
    <col min="7924" max="7924" width="9.85546875" style="1937" customWidth="1"/>
    <col min="7925" max="7925" width="13" style="1937" customWidth="1"/>
    <col min="7926" max="7926" width="5.28515625" style="1937" customWidth="1"/>
    <col min="7927" max="7927" width="12.85546875" style="1937" customWidth="1"/>
    <col min="7928" max="7928" width="13.85546875" style="1937" customWidth="1"/>
    <col min="7929" max="7929" width="13.140625" style="1937" bestFit="1" customWidth="1"/>
    <col min="7930" max="7930" width="12.28515625" style="1937" customWidth="1"/>
    <col min="7931" max="7931" width="1.85546875" style="1937" customWidth="1"/>
    <col min="7932" max="7932" width="11" style="1937" customWidth="1"/>
    <col min="7933" max="7933" width="4.5703125" style="1937" bestFit="1" customWidth="1"/>
    <col min="7934" max="7934" width="13.28515625" style="1937" bestFit="1" customWidth="1"/>
    <col min="7935" max="7935" width="12.42578125" style="1937" bestFit="1" customWidth="1"/>
    <col min="7936" max="8178" width="16.7109375" style="1937"/>
    <col min="8179" max="8179" width="50.140625" style="1937" customWidth="1"/>
    <col min="8180" max="8180" width="9.85546875" style="1937" customWidth="1"/>
    <col min="8181" max="8181" width="13" style="1937" customWidth="1"/>
    <col min="8182" max="8182" width="5.28515625" style="1937" customWidth="1"/>
    <col min="8183" max="8183" width="12.85546875" style="1937" customWidth="1"/>
    <col min="8184" max="8184" width="13.85546875" style="1937" customWidth="1"/>
    <col min="8185" max="8185" width="13.140625" style="1937" bestFit="1" customWidth="1"/>
    <col min="8186" max="8186" width="12.28515625" style="1937" customWidth="1"/>
    <col min="8187" max="8187" width="1.85546875" style="1937" customWidth="1"/>
    <col min="8188" max="8188" width="11" style="1937" customWidth="1"/>
    <col min="8189" max="8189" width="4.5703125" style="1937" bestFit="1" customWidth="1"/>
    <col min="8190" max="8190" width="13.28515625" style="1937" bestFit="1" customWidth="1"/>
    <col min="8191" max="8191" width="12.42578125" style="1937" bestFit="1" customWidth="1"/>
    <col min="8192" max="8434" width="16.7109375" style="1937"/>
    <col min="8435" max="8435" width="50.140625" style="1937" customWidth="1"/>
    <col min="8436" max="8436" width="9.85546875" style="1937" customWidth="1"/>
    <col min="8437" max="8437" width="13" style="1937" customWidth="1"/>
    <col min="8438" max="8438" width="5.28515625" style="1937" customWidth="1"/>
    <col min="8439" max="8439" width="12.85546875" style="1937" customWidth="1"/>
    <col min="8440" max="8440" width="13.85546875" style="1937" customWidth="1"/>
    <col min="8441" max="8441" width="13.140625" style="1937" bestFit="1" customWidth="1"/>
    <col min="8442" max="8442" width="12.28515625" style="1937" customWidth="1"/>
    <col min="8443" max="8443" width="1.85546875" style="1937" customWidth="1"/>
    <col min="8444" max="8444" width="11" style="1937" customWidth="1"/>
    <col min="8445" max="8445" width="4.5703125" style="1937" bestFit="1" customWidth="1"/>
    <col min="8446" max="8446" width="13.28515625" style="1937" bestFit="1" customWidth="1"/>
    <col min="8447" max="8447" width="12.42578125" style="1937" bestFit="1" customWidth="1"/>
    <col min="8448" max="8690" width="16.7109375" style="1937"/>
    <col min="8691" max="8691" width="50.140625" style="1937" customWidth="1"/>
    <col min="8692" max="8692" width="9.85546875" style="1937" customWidth="1"/>
    <col min="8693" max="8693" width="13" style="1937" customWidth="1"/>
    <col min="8694" max="8694" width="5.28515625" style="1937" customWidth="1"/>
    <col min="8695" max="8695" width="12.85546875" style="1937" customWidth="1"/>
    <col min="8696" max="8696" width="13.85546875" style="1937" customWidth="1"/>
    <col min="8697" max="8697" width="13.140625" style="1937" bestFit="1" customWidth="1"/>
    <col min="8698" max="8698" width="12.28515625" style="1937" customWidth="1"/>
    <col min="8699" max="8699" width="1.85546875" style="1937" customWidth="1"/>
    <col min="8700" max="8700" width="11" style="1937" customWidth="1"/>
    <col min="8701" max="8701" width="4.5703125" style="1937" bestFit="1" customWidth="1"/>
    <col min="8702" max="8702" width="13.28515625" style="1937" bestFit="1" customWidth="1"/>
    <col min="8703" max="8703" width="12.42578125" style="1937" bestFit="1" customWidth="1"/>
    <col min="8704" max="8946" width="16.7109375" style="1937"/>
    <col min="8947" max="8947" width="50.140625" style="1937" customWidth="1"/>
    <col min="8948" max="8948" width="9.85546875" style="1937" customWidth="1"/>
    <col min="8949" max="8949" width="13" style="1937" customWidth="1"/>
    <col min="8950" max="8950" width="5.28515625" style="1937" customWidth="1"/>
    <col min="8951" max="8951" width="12.85546875" style="1937" customWidth="1"/>
    <col min="8952" max="8952" width="13.85546875" style="1937" customWidth="1"/>
    <col min="8953" max="8953" width="13.140625" style="1937" bestFit="1" customWidth="1"/>
    <col min="8954" max="8954" width="12.28515625" style="1937" customWidth="1"/>
    <col min="8955" max="8955" width="1.85546875" style="1937" customWidth="1"/>
    <col min="8956" max="8956" width="11" style="1937" customWidth="1"/>
    <col min="8957" max="8957" width="4.5703125" style="1937" bestFit="1" customWidth="1"/>
    <col min="8958" max="8958" width="13.28515625" style="1937" bestFit="1" customWidth="1"/>
    <col min="8959" max="8959" width="12.42578125" style="1937" bestFit="1" customWidth="1"/>
    <col min="8960" max="9202" width="16.7109375" style="1937"/>
    <col min="9203" max="9203" width="50.140625" style="1937" customWidth="1"/>
    <col min="9204" max="9204" width="9.85546875" style="1937" customWidth="1"/>
    <col min="9205" max="9205" width="13" style="1937" customWidth="1"/>
    <col min="9206" max="9206" width="5.28515625" style="1937" customWidth="1"/>
    <col min="9207" max="9207" width="12.85546875" style="1937" customWidth="1"/>
    <col min="9208" max="9208" width="13.85546875" style="1937" customWidth="1"/>
    <col min="9209" max="9209" width="13.140625" style="1937" bestFit="1" customWidth="1"/>
    <col min="9210" max="9210" width="12.28515625" style="1937" customWidth="1"/>
    <col min="9211" max="9211" width="1.85546875" style="1937" customWidth="1"/>
    <col min="9212" max="9212" width="11" style="1937" customWidth="1"/>
    <col min="9213" max="9213" width="4.5703125" style="1937" bestFit="1" customWidth="1"/>
    <col min="9214" max="9214" width="13.28515625" style="1937" bestFit="1" customWidth="1"/>
    <col min="9215" max="9215" width="12.42578125" style="1937" bestFit="1" customWidth="1"/>
    <col min="9216" max="9458" width="16.7109375" style="1937"/>
    <col min="9459" max="9459" width="50.140625" style="1937" customWidth="1"/>
    <col min="9460" max="9460" width="9.85546875" style="1937" customWidth="1"/>
    <col min="9461" max="9461" width="13" style="1937" customWidth="1"/>
    <col min="9462" max="9462" width="5.28515625" style="1937" customWidth="1"/>
    <col min="9463" max="9463" width="12.85546875" style="1937" customWidth="1"/>
    <col min="9464" max="9464" width="13.85546875" style="1937" customWidth="1"/>
    <col min="9465" max="9465" width="13.140625" style="1937" bestFit="1" customWidth="1"/>
    <col min="9466" max="9466" width="12.28515625" style="1937" customWidth="1"/>
    <col min="9467" max="9467" width="1.85546875" style="1937" customWidth="1"/>
    <col min="9468" max="9468" width="11" style="1937" customWidth="1"/>
    <col min="9469" max="9469" width="4.5703125" style="1937" bestFit="1" customWidth="1"/>
    <col min="9470" max="9470" width="13.28515625" style="1937" bestFit="1" customWidth="1"/>
    <col min="9471" max="9471" width="12.42578125" style="1937" bestFit="1" customWidth="1"/>
    <col min="9472" max="9714" width="16.7109375" style="1937"/>
    <col min="9715" max="9715" width="50.140625" style="1937" customWidth="1"/>
    <col min="9716" max="9716" width="9.85546875" style="1937" customWidth="1"/>
    <col min="9717" max="9717" width="13" style="1937" customWidth="1"/>
    <col min="9718" max="9718" width="5.28515625" style="1937" customWidth="1"/>
    <col min="9719" max="9719" width="12.85546875" style="1937" customWidth="1"/>
    <col min="9720" max="9720" width="13.85546875" style="1937" customWidth="1"/>
    <col min="9721" max="9721" width="13.140625" style="1937" bestFit="1" customWidth="1"/>
    <col min="9722" max="9722" width="12.28515625" style="1937" customWidth="1"/>
    <col min="9723" max="9723" width="1.85546875" style="1937" customWidth="1"/>
    <col min="9724" max="9724" width="11" style="1937" customWidth="1"/>
    <col min="9725" max="9725" width="4.5703125" style="1937" bestFit="1" customWidth="1"/>
    <col min="9726" max="9726" width="13.28515625" style="1937" bestFit="1" customWidth="1"/>
    <col min="9727" max="9727" width="12.42578125" style="1937" bestFit="1" customWidth="1"/>
    <col min="9728" max="9970" width="16.7109375" style="1937"/>
    <col min="9971" max="9971" width="50.140625" style="1937" customWidth="1"/>
    <col min="9972" max="9972" width="9.85546875" style="1937" customWidth="1"/>
    <col min="9973" max="9973" width="13" style="1937" customWidth="1"/>
    <col min="9974" max="9974" width="5.28515625" style="1937" customWidth="1"/>
    <col min="9975" max="9975" width="12.85546875" style="1937" customWidth="1"/>
    <col min="9976" max="9976" width="13.85546875" style="1937" customWidth="1"/>
    <col min="9977" max="9977" width="13.140625" style="1937" bestFit="1" customWidth="1"/>
    <col min="9978" max="9978" width="12.28515625" style="1937" customWidth="1"/>
    <col min="9979" max="9979" width="1.85546875" style="1937" customWidth="1"/>
    <col min="9980" max="9980" width="11" style="1937" customWidth="1"/>
    <col min="9981" max="9981" width="4.5703125" style="1937" bestFit="1" customWidth="1"/>
    <col min="9982" max="9982" width="13.28515625" style="1937" bestFit="1" customWidth="1"/>
    <col min="9983" max="9983" width="12.42578125" style="1937" bestFit="1" customWidth="1"/>
    <col min="9984" max="10226" width="16.7109375" style="1937"/>
    <col min="10227" max="10227" width="50.140625" style="1937" customWidth="1"/>
    <col min="10228" max="10228" width="9.85546875" style="1937" customWidth="1"/>
    <col min="10229" max="10229" width="13" style="1937" customWidth="1"/>
    <col min="10230" max="10230" width="5.28515625" style="1937" customWidth="1"/>
    <col min="10231" max="10231" width="12.85546875" style="1937" customWidth="1"/>
    <col min="10232" max="10232" width="13.85546875" style="1937" customWidth="1"/>
    <col min="10233" max="10233" width="13.140625" style="1937" bestFit="1" customWidth="1"/>
    <col min="10234" max="10234" width="12.28515625" style="1937" customWidth="1"/>
    <col min="10235" max="10235" width="1.85546875" style="1937" customWidth="1"/>
    <col min="10236" max="10236" width="11" style="1937" customWidth="1"/>
    <col min="10237" max="10237" width="4.5703125" style="1937" bestFit="1" customWidth="1"/>
    <col min="10238" max="10238" width="13.28515625" style="1937" bestFit="1" customWidth="1"/>
    <col min="10239" max="10239" width="12.42578125" style="1937" bestFit="1" customWidth="1"/>
    <col min="10240" max="10482" width="16.7109375" style="1937"/>
    <col min="10483" max="10483" width="50.140625" style="1937" customWidth="1"/>
    <col min="10484" max="10484" width="9.85546875" style="1937" customWidth="1"/>
    <col min="10485" max="10485" width="13" style="1937" customWidth="1"/>
    <col min="10486" max="10486" width="5.28515625" style="1937" customWidth="1"/>
    <col min="10487" max="10487" width="12.85546875" style="1937" customWidth="1"/>
    <col min="10488" max="10488" width="13.85546875" style="1937" customWidth="1"/>
    <col min="10489" max="10489" width="13.140625" style="1937" bestFit="1" customWidth="1"/>
    <col min="10490" max="10490" width="12.28515625" style="1937" customWidth="1"/>
    <col min="10491" max="10491" width="1.85546875" style="1937" customWidth="1"/>
    <col min="10492" max="10492" width="11" style="1937" customWidth="1"/>
    <col min="10493" max="10493" width="4.5703125" style="1937" bestFit="1" customWidth="1"/>
    <col min="10494" max="10494" width="13.28515625" style="1937" bestFit="1" customWidth="1"/>
    <col min="10495" max="10495" width="12.42578125" style="1937" bestFit="1" customWidth="1"/>
    <col min="10496" max="10738" width="16.7109375" style="1937"/>
    <col min="10739" max="10739" width="50.140625" style="1937" customWidth="1"/>
    <col min="10740" max="10740" width="9.85546875" style="1937" customWidth="1"/>
    <col min="10741" max="10741" width="13" style="1937" customWidth="1"/>
    <col min="10742" max="10742" width="5.28515625" style="1937" customWidth="1"/>
    <col min="10743" max="10743" width="12.85546875" style="1937" customWidth="1"/>
    <col min="10744" max="10744" width="13.85546875" style="1937" customWidth="1"/>
    <col min="10745" max="10745" width="13.140625" style="1937" bestFit="1" customWidth="1"/>
    <col min="10746" max="10746" width="12.28515625" style="1937" customWidth="1"/>
    <col min="10747" max="10747" width="1.85546875" style="1937" customWidth="1"/>
    <col min="10748" max="10748" width="11" style="1937" customWidth="1"/>
    <col min="10749" max="10749" width="4.5703125" style="1937" bestFit="1" customWidth="1"/>
    <col min="10750" max="10750" width="13.28515625" style="1937" bestFit="1" customWidth="1"/>
    <col min="10751" max="10751" width="12.42578125" style="1937" bestFit="1" customWidth="1"/>
    <col min="10752" max="10994" width="16.7109375" style="1937"/>
    <col min="10995" max="10995" width="50.140625" style="1937" customWidth="1"/>
    <col min="10996" max="10996" width="9.85546875" style="1937" customWidth="1"/>
    <col min="10997" max="10997" width="13" style="1937" customWidth="1"/>
    <col min="10998" max="10998" width="5.28515625" style="1937" customWidth="1"/>
    <col min="10999" max="10999" width="12.85546875" style="1937" customWidth="1"/>
    <col min="11000" max="11000" width="13.85546875" style="1937" customWidth="1"/>
    <col min="11001" max="11001" width="13.140625" style="1937" bestFit="1" customWidth="1"/>
    <col min="11002" max="11002" width="12.28515625" style="1937" customWidth="1"/>
    <col min="11003" max="11003" width="1.85546875" style="1937" customWidth="1"/>
    <col min="11004" max="11004" width="11" style="1937" customWidth="1"/>
    <col min="11005" max="11005" width="4.5703125" style="1937" bestFit="1" customWidth="1"/>
    <col min="11006" max="11006" width="13.28515625" style="1937" bestFit="1" customWidth="1"/>
    <col min="11007" max="11007" width="12.42578125" style="1937" bestFit="1" customWidth="1"/>
    <col min="11008" max="11250" width="16.7109375" style="1937"/>
    <col min="11251" max="11251" width="50.140625" style="1937" customWidth="1"/>
    <col min="11252" max="11252" width="9.85546875" style="1937" customWidth="1"/>
    <col min="11253" max="11253" width="13" style="1937" customWidth="1"/>
    <col min="11254" max="11254" width="5.28515625" style="1937" customWidth="1"/>
    <col min="11255" max="11255" width="12.85546875" style="1937" customWidth="1"/>
    <col min="11256" max="11256" width="13.85546875" style="1937" customWidth="1"/>
    <col min="11257" max="11257" width="13.140625" style="1937" bestFit="1" customWidth="1"/>
    <col min="11258" max="11258" width="12.28515625" style="1937" customWidth="1"/>
    <col min="11259" max="11259" width="1.85546875" style="1937" customWidth="1"/>
    <col min="11260" max="11260" width="11" style="1937" customWidth="1"/>
    <col min="11261" max="11261" width="4.5703125" style="1937" bestFit="1" customWidth="1"/>
    <col min="11262" max="11262" width="13.28515625" style="1937" bestFit="1" customWidth="1"/>
    <col min="11263" max="11263" width="12.42578125" style="1937" bestFit="1" customWidth="1"/>
    <col min="11264" max="11506" width="16.7109375" style="1937"/>
    <col min="11507" max="11507" width="50.140625" style="1937" customWidth="1"/>
    <col min="11508" max="11508" width="9.85546875" style="1937" customWidth="1"/>
    <col min="11509" max="11509" width="13" style="1937" customWidth="1"/>
    <col min="11510" max="11510" width="5.28515625" style="1937" customWidth="1"/>
    <col min="11511" max="11511" width="12.85546875" style="1937" customWidth="1"/>
    <col min="11512" max="11512" width="13.85546875" style="1937" customWidth="1"/>
    <col min="11513" max="11513" width="13.140625" style="1937" bestFit="1" customWidth="1"/>
    <col min="11514" max="11514" width="12.28515625" style="1937" customWidth="1"/>
    <col min="11515" max="11515" width="1.85546875" style="1937" customWidth="1"/>
    <col min="11516" max="11516" width="11" style="1937" customWidth="1"/>
    <col min="11517" max="11517" width="4.5703125" style="1937" bestFit="1" customWidth="1"/>
    <col min="11518" max="11518" width="13.28515625" style="1937" bestFit="1" customWidth="1"/>
    <col min="11519" max="11519" width="12.42578125" style="1937" bestFit="1" customWidth="1"/>
    <col min="11520" max="11762" width="16.7109375" style="1937"/>
    <col min="11763" max="11763" width="50.140625" style="1937" customWidth="1"/>
    <col min="11764" max="11764" width="9.85546875" style="1937" customWidth="1"/>
    <col min="11765" max="11765" width="13" style="1937" customWidth="1"/>
    <col min="11766" max="11766" width="5.28515625" style="1937" customWidth="1"/>
    <col min="11767" max="11767" width="12.85546875" style="1937" customWidth="1"/>
    <col min="11768" max="11768" width="13.85546875" style="1937" customWidth="1"/>
    <col min="11769" max="11769" width="13.140625" style="1937" bestFit="1" customWidth="1"/>
    <col min="11770" max="11770" width="12.28515625" style="1937" customWidth="1"/>
    <col min="11771" max="11771" width="1.85546875" style="1937" customWidth="1"/>
    <col min="11772" max="11772" width="11" style="1937" customWidth="1"/>
    <col min="11773" max="11773" width="4.5703125" style="1937" bestFit="1" customWidth="1"/>
    <col min="11774" max="11774" width="13.28515625" style="1937" bestFit="1" customWidth="1"/>
    <col min="11775" max="11775" width="12.42578125" style="1937" bestFit="1" customWidth="1"/>
    <col min="11776" max="12018" width="16.7109375" style="1937"/>
    <col min="12019" max="12019" width="50.140625" style="1937" customWidth="1"/>
    <col min="12020" max="12020" width="9.85546875" style="1937" customWidth="1"/>
    <col min="12021" max="12021" width="13" style="1937" customWidth="1"/>
    <col min="12022" max="12022" width="5.28515625" style="1937" customWidth="1"/>
    <col min="12023" max="12023" width="12.85546875" style="1937" customWidth="1"/>
    <col min="12024" max="12024" width="13.85546875" style="1937" customWidth="1"/>
    <col min="12025" max="12025" width="13.140625" style="1937" bestFit="1" customWidth="1"/>
    <col min="12026" max="12026" width="12.28515625" style="1937" customWidth="1"/>
    <col min="12027" max="12027" width="1.85546875" style="1937" customWidth="1"/>
    <col min="12028" max="12028" width="11" style="1937" customWidth="1"/>
    <col min="12029" max="12029" width="4.5703125" style="1937" bestFit="1" customWidth="1"/>
    <col min="12030" max="12030" width="13.28515625" style="1937" bestFit="1" customWidth="1"/>
    <col min="12031" max="12031" width="12.42578125" style="1937" bestFit="1" customWidth="1"/>
    <col min="12032" max="12274" width="16.7109375" style="1937"/>
    <col min="12275" max="12275" width="50.140625" style="1937" customWidth="1"/>
    <col min="12276" max="12276" width="9.85546875" style="1937" customWidth="1"/>
    <col min="12277" max="12277" width="13" style="1937" customWidth="1"/>
    <col min="12278" max="12278" width="5.28515625" style="1937" customWidth="1"/>
    <col min="12279" max="12279" width="12.85546875" style="1937" customWidth="1"/>
    <col min="12280" max="12280" width="13.85546875" style="1937" customWidth="1"/>
    <col min="12281" max="12281" width="13.140625" style="1937" bestFit="1" customWidth="1"/>
    <col min="12282" max="12282" width="12.28515625" style="1937" customWidth="1"/>
    <col min="12283" max="12283" width="1.85546875" style="1937" customWidth="1"/>
    <col min="12284" max="12284" width="11" style="1937" customWidth="1"/>
    <col min="12285" max="12285" width="4.5703125" style="1937" bestFit="1" customWidth="1"/>
    <col min="12286" max="12286" width="13.28515625" style="1937" bestFit="1" customWidth="1"/>
    <col min="12287" max="12287" width="12.42578125" style="1937" bestFit="1" customWidth="1"/>
    <col min="12288" max="12530" width="16.7109375" style="1937"/>
    <col min="12531" max="12531" width="50.140625" style="1937" customWidth="1"/>
    <col min="12532" max="12532" width="9.85546875" style="1937" customWidth="1"/>
    <col min="12533" max="12533" width="13" style="1937" customWidth="1"/>
    <col min="12534" max="12534" width="5.28515625" style="1937" customWidth="1"/>
    <col min="12535" max="12535" width="12.85546875" style="1937" customWidth="1"/>
    <col min="12536" max="12536" width="13.85546875" style="1937" customWidth="1"/>
    <col min="12537" max="12537" width="13.140625" style="1937" bestFit="1" customWidth="1"/>
    <col min="12538" max="12538" width="12.28515625" style="1937" customWidth="1"/>
    <col min="12539" max="12539" width="1.85546875" style="1937" customWidth="1"/>
    <col min="12540" max="12540" width="11" style="1937" customWidth="1"/>
    <col min="12541" max="12541" width="4.5703125" style="1937" bestFit="1" customWidth="1"/>
    <col min="12542" max="12542" width="13.28515625" style="1937" bestFit="1" customWidth="1"/>
    <col min="12543" max="12543" width="12.42578125" style="1937" bestFit="1" customWidth="1"/>
    <col min="12544" max="12786" width="16.7109375" style="1937"/>
    <col min="12787" max="12787" width="50.140625" style="1937" customWidth="1"/>
    <col min="12788" max="12788" width="9.85546875" style="1937" customWidth="1"/>
    <col min="12789" max="12789" width="13" style="1937" customWidth="1"/>
    <col min="12790" max="12790" width="5.28515625" style="1937" customWidth="1"/>
    <col min="12791" max="12791" width="12.85546875" style="1937" customWidth="1"/>
    <col min="12792" max="12792" width="13.85546875" style="1937" customWidth="1"/>
    <col min="12793" max="12793" width="13.140625" style="1937" bestFit="1" customWidth="1"/>
    <col min="12794" max="12794" width="12.28515625" style="1937" customWidth="1"/>
    <col min="12795" max="12795" width="1.85546875" style="1937" customWidth="1"/>
    <col min="12796" max="12796" width="11" style="1937" customWidth="1"/>
    <col min="12797" max="12797" width="4.5703125" style="1937" bestFit="1" customWidth="1"/>
    <col min="12798" max="12798" width="13.28515625" style="1937" bestFit="1" customWidth="1"/>
    <col min="12799" max="12799" width="12.42578125" style="1937" bestFit="1" customWidth="1"/>
    <col min="12800" max="13042" width="16.7109375" style="1937"/>
    <col min="13043" max="13043" width="50.140625" style="1937" customWidth="1"/>
    <col min="13044" max="13044" width="9.85546875" style="1937" customWidth="1"/>
    <col min="13045" max="13045" width="13" style="1937" customWidth="1"/>
    <col min="13046" max="13046" width="5.28515625" style="1937" customWidth="1"/>
    <col min="13047" max="13047" width="12.85546875" style="1937" customWidth="1"/>
    <col min="13048" max="13048" width="13.85546875" style="1937" customWidth="1"/>
    <col min="13049" max="13049" width="13.140625" style="1937" bestFit="1" customWidth="1"/>
    <col min="13050" max="13050" width="12.28515625" style="1937" customWidth="1"/>
    <col min="13051" max="13051" width="1.85546875" style="1937" customWidth="1"/>
    <col min="13052" max="13052" width="11" style="1937" customWidth="1"/>
    <col min="13053" max="13053" width="4.5703125" style="1937" bestFit="1" customWidth="1"/>
    <col min="13054" max="13054" width="13.28515625" style="1937" bestFit="1" customWidth="1"/>
    <col min="13055" max="13055" width="12.42578125" style="1937" bestFit="1" customWidth="1"/>
    <col min="13056" max="13298" width="16.7109375" style="1937"/>
    <col min="13299" max="13299" width="50.140625" style="1937" customWidth="1"/>
    <col min="13300" max="13300" width="9.85546875" style="1937" customWidth="1"/>
    <col min="13301" max="13301" width="13" style="1937" customWidth="1"/>
    <col min="13302" max="13302" width="5.28515625" style="1937" customWidth="1"/>
    <col min="13303" max="13303" width="12.85546875" style="1937" customWidth="1"/>
    <col min="13304" max="13304" width="13.85546875" style="1937" customWidth="1"/>
    <col min="13305" max="13305" width="13.140625" style="1937" bestFit="1" customWidth="1"/>
    <col min="13306" max="13306" width="12.28515625" style="1937" customWidth="1"/>
    <col min="13307" max="13307" width="1.85546875" style="1937" customWidth="1"/>
    <col min="13308" max="13308" width="11" style="1937" customWidth="1"/>
    <col min="13309" max="13309" width="4.5703125" style="1937" bestFit="1" customWidth="1"/>
    <col min="13310" max="13310" width="13.28515625" style="1937" bestFit="1" customWidth="1"/>
    <col min="13311" max="13311" width="12.42578125" style="1937" bestFit="1" customWidth="1"/>
    <col min="13312" max="13554" width="16.7109375" style="1937"/>
    <col min="13555" max="13555" width="50.140625" style="1937" customWidth="1"/>
    <col min="13556" max="13556" width="9.85546875" style="1937" customWidth="1"/>
    <col min="13557" max="13557" width="13" style="1937" customWidth="1"/>
    <col min="13558" max="13558" width="5.28515625" style="1937" customWidth="1"/>
    <col min="13559" max="13559" width="12.85546875" style="1937" customWidth="1"/>
    <col min="13560" max="13560" width="13.85546875" style="1937" customWidth="1"/>
    <col min="13561" max="13561" width="13.140625" style="1937" bestFit="1" customWidth="1"/>
    <col min="13562" max="13562" width="12.28515625" style="1937" customWidth="1"/>
    <col min="13563" max="13563" width="1.85546875" style="1937" customWidth="1"/>
    <col min="13564" max="13564" width="11" style="1937" customWidth="1"/>
    <col min="13565" max="13565" width="4.5703125" style="1937" bestFit="1" customWidth="1"/>
    <col min="13566" max="13566" width="13.28515625" style="1937" bestFit="1" customWidth="1"/>
    <col min="13567" max="13567" width="12.42578125" style="1937" bestFit="1" customWidth="1"/>
    <col min="13568" max="13810" width="16.7109375" style="1937"/>
    <col min="13811" max="13811" width="50.140625" style="1937" customWidth="1"/>
    <col min="13812" max="13812" width="9.85546875" style="1937" customWidth="1"/>
    <col min="13813" max="13813" width="13" style="1937" customWidth="1"/>
    <col min="13814" max="13814" width="5.28515625" style="1937" customWidth="1"/>
    <col min="13815" max="13815" width="12.85546875" style="1937" customWidth="1"/>
    <col min="13816" max="13816" width="13.85546875" style="1937" customWidth="1"/>
    <col min="13817" max="13817" width="13.140625" style="1937" bestFit="1" customWidth="1"/>
    <col min="13818" max="13818" width="12.28515625" style="1937" customWidth="1"/>
    <col min="13819" max="13819" width="1.85546875" style="1937" customWidth="1"/>
    <col min="13820" max="13820" width="11" style="1937" customWidth="1"/>
    <col min="13821" max="13821" width="4.5703125" style="1937" bestFit="1" customWidth="1"/>
    <col min="13822" max="13822" width="13.28515625" style="1937" bestFit="1" customWidth="1"/>
    <col min="13823" max="13823" width="12.42578125" style="1937" bestFit="1" customWidth="1"/>
    <col min="13824" max="14066" width="16.7109375" style="1937"/>
    <col min="14067" max="14067" width="50.140625" style="1937" customWidth="1"/>
    <col min="14068" max="14068" width="9.85546875" style="1937" customWidth="1"/>
    <col min="14069" max="14069" width="13" style="1937" customWidth="1"/>
    <col min="14070" max="14070" width="5.28515625" style="1937" customWidth="1"/>
    <col min="14071" max="14071" width="12.85546875" style="1937" customWidth="1"/>
    <col min="14072" max="14072" width="13.85546875" style="1937" customWidth="1"/>
    <col min="14073" max="14073" width="13.140625" style="1937" bestFit="1" customWidth="1"/>
    <col min="14074" max="14074" width="12.28515625" style="1937" customWidth="1"/>
    <col min="14075" max="14075" width="1.85546875" style="1937" customWidth="1"/>
    <col min="14076" max="14076" width="11" style="1937" customWidth="1"/>
    <col min="14077" max="14077" width="4.5703125" style="1937" bestFit="1" customWidth="1"/>
    <col min="14078" max="14078" width="13.28515625" style="1937" bestFit="1" customWidth="1"/>
    <col min="14079" max="14079" width="12.42578125" style="1937" bestFit="1" customWidth="1"/>
    <col min="14080" max="14322" width="16.7109375" style="1937"/>
    <col min="14323" max="14323" width="50.140625" style="1937" customWidth="1"/>
    <col min="14324" max="14324" width="9.85546875" style="1937" customWidth="1"/>
    <col min="14325" max="14325" width="13" style="1937" customWidth="1"/>
    <col min="14326" max="14326" width="5.28515625" style="1937" customWidth="1"/>
    <col min="14327" max="14327" width="12.85546875" style="1937" customWidth="1"/>
    <col min="14328" max="14328" width="13.85546875" style="1937" customWidth="1"/>
    <col min="14329" max="14329" width="13.140625" style="1937" bestFit="1" customWidth="1"/>
    <col min="14330" max="14330" width="12.28515625" style="1937" customWidth="1"/>
    <col min="14331" max="14331" width="1.85546875" style="1937" customWidth="1"/>
    <col min="14332" max="14332" width="11" style="1937" customWidth="1"/>
    <col min="14333" max="14333" width="4.5703125" style="1937" bestFit="1" customWidth="1"/>
    <col min="14334" max="14334" width="13.28515625" style="1937" bestFit="1" customWidth="1"/>
    <col min="14335" max="14335" width="12.42578125" style="1937" bestFit="1" customWidth="1"/>
    <col min="14336" max="14578" width="16.7109375" style="1937"/>
    <col min="14579" max="14579" width="50.140625" style="1937" customWidth="1"/>
    <col min="14580" max="14580" width="9.85546875" style="1937" customWidth="1"/>
    <col min="14581" max="14581" width="13" style="1937" customWidth="1"/>
    <col min="14582" max="14582" width="5.28515625" style="1937" customWidth="1"/>
    <col min="14583" max="14583" width="12.85546875" style="1937" customWidth="1"/>
    <col min="14584" max="14584" width="13.85546875" style="1937" customWidth="1"/>
    <col min="14585" max="14585" width="13.140625" style="1937" bestFit="1" customWidth="1"/>
    <col min="14586" max="14586" width="12.28515625" style="1937" customWidth="1"/>
    <col min="14587" max="14587" width="1.85546875" style="1937" customWidth="1"/>
    <col min="14588" max="14588" width="11" style="1937" customWidth="1"/>
    <col min="14589" max="14589" width="4.5703125" style="1937" bestFit="1" customWidth="1"/>
    <col min="14590" max="14590" width="13.28515625" style="1937" bestFit="1" customWidth="1"/>
    <col min="14591" max="14591" width="12.42578125" style="1937" bestFit="1" customWidth="1"/>
    <col min="14592" max="14834" width="16.7109375" style="1937"/>
    <col min="14835" max="14835" width="50.140625" style="1937" customWidth="1"/>
    <col min="14836" max="14836" width="9.85546875" style="1937" customWidth="1"/>
    <col min="14837" max="14837" width="13" style="1937" customWidth="1"/>
    <col min="14838" max="14838" width="5.28515625" style="1937" customWidth="1"/>
    <col min="14839" max="14839" width="12.85546875" style="1937" customWidth="1"/>
    <col min="14840" max="14840" width="13.85546875" style="1937" customWidth="1"/>
    <col min="14841" max="14841" width="13.140625" style="1937" bestFit="1" customWidth="1"/>
    <col min="14842" max="14842" width="12.28515625" style="1937" customWidth="1"/>
    <col min="14843" max="14843" width="1.85546875" style="1937" customWidth="1"/>
    <col min="14844" max="14844" width="11" style="1937" customWidth="1"/>
    <col min="14845" max="14845" width="4.5703125" style="1937" bestFit="1" customWidth="1"/>
    <col min="14846" max="14846" width="13.28515625" style="1937" bestFit="1" customWidth="1"/>
    <col min="14847" max="14847" width="12.42578125" style="1937" bestFit="1" customWidth="1"/>
    <col min="14848" max="15090" width="16.7109375" style="1937"/>
    <col min="15091" max="15091" width="50.140625" style="1937" customWidth="1"/>
    <col min="15092" max="15092" width="9.85546875" style="1937" customWidth="1"/>
    <col min="15093" max="15093" width="13" style="1937" customWidth="1"/>
    <col min="15094" max="15094" width="5.28515625" style="1937" customWidth="1"/>
    <col min="15095" max="15095" width="12.85546875" style="1937" customWidth="1"/>
    <col min="15096" max="15096" width="13.85546875" style="1937" customWidth="1"/>
    <col min="15097" max="15097" width="13.140625" style="1937" bestFit="1" customWidth="1"/>
    <col min="15098" max="15098" width="12.28515625" style="1937" customWidth="1"/>
    <col min="15099" max="15099" width="1.85546875" style="1937" customWidth="1"/>
    <col min="15100" max="15100" width="11" style="1937" customWidth="1"/>
    <col min="15101" max="15101" width="4.5703125" style="1937" bestFit="1" customWidth="1"/>
    <col min="15102" max="15102" width="13.28515625" style="1937" bestFit="1" customWidth="1"/>
    <col min="15103" max="15103" width="12.42578125" style="1937" bestFit="1" customWidth="1"/>
    <col min="15104" max="15346" width="16.7109375" style="1937"/>
    <col min="15347" max="15347" width="50.140625" style="1937" customWidth="1"/>
    <col min="15348" max="15348" width="9.85546875" style="1937" customWidth="1"/>
    <col min="15349" max="15349" width="13" style="1937" customWidth="1"/>
    <col min="15350" max="15350" width="5.28515625" style="1937" customWidth="1"/>
    <col min="15351" max="15351" width="12.85546875" style="1937" customWidth="1"/>
    <col min="15352" max="15352" width="13.85546875" style="1937" customWidth="1"/>
    <col min="15353" max="15353" width="13.140625" style="1937" bestFit="1" customWidth="1"/>
    <col min="15354" max="15354" width="12.28515625" style="1937" customWidth="1"/>
    <col min="15355" max="15355" width="1.85546875" style="1937" customWidth="1"/>
    <col min="15356" max="15356" width="11" style="1937" customWidth="1"/>
    <col min="15357" max="15357" width="4.5703125" style="1937" bestFit="1" customWidth="1"/>
    <col min="15358" max="15358" width="13.28515625" style="1937" bestFit="1" customWidth="1"/>
    <col min="15359" max="15359" width="12.42578125" style="1937" bestFit="1" customWidth="1"/>
    <col min="15360" max="15602" width="16.7109375" style="1937"/>
    <col min="15603" max="15603" width="50.140625" style="1937" customWidth="1"/>
    <col min="15604" max="15604" width="9.85546875" style="1937" customWidth="1"/>
    <col min="15605" max="15605" width="13" style="1937" customWidth="1"/>
    <col min="15606" max="15606" width="5.28515625" style="1937" customWidth="1"/>
    <col min="15607" max="15607" width="12.85546875" style="1937" customWidth="1"/>
    <col min="15608" max="15608" width="13.85546875" style="1937" customWidth="1"/>
    <col min="15609" max="15609" width="13.140625" style="1937" bestFit="1" customWidth="1"/>
    <col min="15610" max="15610" width="12.28515625" style="1937" customWidth="1"/>
    <col min="15611" max="15611" width="1.85546875" style="1937" customWidth="1"/>
    <col min="15612" max="15612" width="11" style="1937" customWidth="1"/>
    <col min="15613" max="15613" width="4.5703125" style="1937" bestFit="1" customWidth="1"/>
    <col min="15614" max="15614" width="13.28515625" style="1937" bestFit="1" customWidth="1"/>
    <col min="15615" max="15615" width="12.42578125" style="1937" bestFit="1" customWidth="1"/>
    <col min="15616" max="15858" width="16.7109375" style="1937"/>
    <col min="15859" max="15859" width="50.140625" style="1937" customWidth="1"/>
    <col min="15860" max="15860" width="9.85546875" style="1937" customWidth="1"/>
    <col min="15861" max="15861" width="13" style="1937" customWidth="1"/>
    <col min="15862" max="15862" width="5.28515625" style="1937" customWidth="1"/>
    <col min="15863" max="15863" width="12.85546875" style="1937" customWidth="1"/>
    <col min="15864" max="15864" width="13.85546875" style="1937" customWidth="1"/>
    <col min="15865" max="15865" width="13.140625" style="1937" bestFit="1" customWidth="1"/>
    <col min="15866" max="15866" width="12.28515625" style="1937" customWidth="1"/>
    <col min="15867" max="15867" width="1.85546875" style="1937" customWidth="1"/>
    <col min="15868" max="15868" width="11" style="1937" customWidth="1"/>
    <col min="15869" max="15869" width="4.5703125" style="1937" bestFit="1" customWidth="1"/>
    <col min="15870" max="15870" width="13.28515625" style="1937" bestFit="1" customWidth="1"/>
    <col min="15871" max="15871" width="12.42578125" style="1937" bestFit="1" customWidth="1"/>
    <col min="15872" max="16114" width="16.7109375" style="1937"/>
    <col min="16115" max="16115" width="50.140625" style="1937" customWidth="1"/>
    <col min="16116" max="16116" width="9.85546875" style="1937" customWidth="1"/>
    <col min="16117" max="16117" width="13" style="1937" customWidth="1"/>
    <col min="16118" max="16118" width="5.28515625" style="1937" customWidth="1"/>
    <col min="16119" max="16119" width="12.85546875" style="1937" customWidth="1"/>
    <col min="16120" max="16120" width="13.85546875" style="1937" customWidth="1"/>
    <col min="16121" max="16121" width="13.140625" style="1937" bestFit="1" customWidth="1"/>
    <col min="16122" max="16122" width="12.28515625" style="1937" customWidth="1"/>
    <col min="16123" max="16123" width="1.85546875" style="1937" customWidth="1"/>
    <col min="16124" max="16124" width="11" style="1937" customWidth="1"/>
    <col min="16125" max="16125" width="4.5703125" style="1937" bestFit="1" customWidth="1"/>
    <col min="16126" max="16126" width="13.28515625" style="1937" bestFit="1" customWidth="1"/>
    <col min="16127" max="16127" width="12.42578125" style="1937" bestFit="1" customWidth="1"/>
    <col min="16128" max="16384" width="16.7109375" style="1937"/>
  </cols>
  <sheetData>
    <row r="1" spans="1:13" s="1936" customFormat="1" ht="15.75" x14ac:dyDescent="0.25">
      <c r="A1" s="2546" t="s">
        <v>2073</v>
      </c>
      <c r="B1" s="2546"/>
      <c r="C1" s="2546"/>
      <c r="D1" s="2546"/>
      <c r="E1" s="2546"/>
      <c r="F1" s="2546"/>
      <c r="G1" s="2546"/>
      <c r="H1" s="2546"/>
      <c r="I1" s="2546"/>
      <c r="J1" s="2546"/>
      <c r="K1" s="2546"/>
      <c r="L1" s="2546"/>
      <c r="M1" s="2546"/>
    </row>
    <row r="2" spans="1:13" ht="17.25" customHeight="1" x14ac:dyDescent="0.25">
      <c r="A2" s="2547" t="s">
        <v>2071</v>
      </c>
      <c r="B2" s="2547"/>
      <c r="C2" s="2547"/>
      <c r="D2" s="2547"/>
      <c r="E2" s="2547"/>
      <c r="F2" s="2547"/>
      <c r="G2" s="2547"/>
      <c r="H2" s="2547"/>
      <c r="I2" s="2547"/>
      <c r="J2" s="2547"/>
      <c r="K2" s="2547"/>
      <c r="L2" s="2547"/>
      <c r="M2" s="2547"/>
    </row>
    <row r="3" spans="1:13" ht="17.25" customHeight="1" x14ac:dyDescent="0.25">
      <c r="A3" s="2547" t="s">
        <v>1219</v>
      </c>
      <c r="B3" s="2547"/>
      <c r="C3" s="2547"/>
      <c r="D3" s="2547"/>
      <c r="E3" s="2547"/>
      <c r="F3" s="2547"/>
      <c r="G3" s="2547"/>
      <c r="H3" s="2547"/>
      <c r="I3" s="2547"/>
      <c r="J3" s="2547"/>
      <c r="K3" s="2547"/>
      <c r="L3" s="2547"/>
      <c r="M3" s="2547"/>
    </row>
    <row r="4" spans="1:13" ht="14.25" x14ac:dyDescent="0.2">
      <c r="A4" s="2544" t="s">
        <v>2088</v>
      </c>
      <c r="B4" s="2544"/>
      <c r="C4" s="2544"/>
      <c r="D4" s="2544"/>
      <c r="E4" s="2544"/>
      <c r="F4" s="2544"/>
      <c r="G4" s="2544"/>
      <c r="H4" s="2544"/>
      <c r="I4" s="2544"/>
      <c r="J4" s="2544"/>
      <c r="K4" s="2544"/>
      <c r="L4" s="2544"/>
      <c r="M4" s="2544"/>
    </row>
    <row r="5" spans="1:13" s="1943" customFormat="1" ht="12.75" x14ac:dyDescent="0.2">
      <c r="A5" s="1939"/>
      <c r="B5" s="1939"/>
      <c r="C5" s="1939"/>
      <c r="D5" s="1939"/>
      <c r="E5" s="1940"/>
      <c r="F5" s="1940"/>
      <c r="G5" s="1940"/>
      <c r="H5" s="1941"/>
      <c r="I5" s="1941"/>
      <c r="J5" s="1941"/>
      <c r="K5" s="1942"/>
      <c r="L5" s="1941"/>
      <c r="M5" s="1941"/>
    </row>
    <row r="6" spans="1:13" ht="12.75" x14ac:dyDescent="0.2">
      <c r="A6" s="1939"/>
      <c r="B6" s="1939"/>
      <c r="C6" s="1939"/>
      <c r="D6" s="1939"/>
      <c r="E6" s="1940"/>
      <c r="F6" s="1940"/>
      <c r="G6" s="1940"/>
      <c r="H6" s="1941"/>
      <c r="I6" s="1941"/>
      <c r="J6" s="1941"/>
      <c r="K6" s="1942"/>
      <c r="L6" s="1941"/>
      <c r="M6" s="1941"/>
    </row>
    <row r="7" spans="1:13" ht="18" customHeight="1" x14ac:dyDescent="0.35">
      <c r="A7" s="1940"/>
      <c r="B7" s="1941"/>
      <c r="C7" s="1942" t="s">
        <v>2089</v>
      </c>
      <c r="D7" s="1942"/>
      <c r="E7" s="2545" t="s">
        <v>527</v>
      </c>
      <c r="F7" s="2545"/>
      <c r="G7" s="2545" t="s">
        <v>2090</v>
      </c>
      <c r="H7" s="2545"/>
      <c r="I7" s="1941"/>
      <c r="J7" s="1941"/>
      <c r="K7" s="1942"/>
      <c r="L7" s="1941"/>
      <c r="M7" s="1941"/>
    </row>
    <row r="8" spans="1:13" ht="12.75" x14ac:dyDescent="0.2">
      <c r="A8" s="1944"/>
      <c r="B8" s="1945" t="s">
        <v>1264</v>
      </c>
      <c r="C8" s="1945" t="s">
        <v>2091</v>
      </c>
      <c r="D8" s="1945"/>
      <c r="E8" s="1945" t="s">
        <v>2092</v>
      </c>
      <c r="F8" s="1946" t="s">
        <v>2093</v>
      </c>
      <c r="G8" s="1945" t="s">
        <v>2094</v>
      </c>
      <c r="H8" s="1946" t="str">
        <f>+F8</f>
        <v>7/01/2018</v>
      </c>
      <c r="I8" s="1947"/>
      <c r="J8" s="1945" t="s">
        <v>1261</v>
      </c>
      <c r="K8" s="1945"/>
      <c r="L8" s="1945" t="s">
        <v>2095</v>
      </c>
      <c r="M8" s="1944" t="s">
        <v>1169</v>
      </c>
    </row>
    <row r="9" spans="1:13" ht="12.75" x14ac:dyDescent="0.2">
      <c r="A9" s="1948" t="s">
        <v>2096</v>
      </c>
      <c r="B9" s="1949" t="s">
        <v>2097</v>
      </c>
      <c r="C9" s="1949" t="s">
        <v>2097</v>
      </c>
      <c r="D9" s="1949"/>
      <c r="E9" s="1950">
        <v>43282</v>
      </c>
      <c r="F9" s="1950">
        <v>43646</v>
      </c>
      <c r="G9" s="1950">
        <f>+E9</f>
        <v>43282</v>
      </c>
      <c r="H9" s="1950">
        <f>+F9</f>
        <v>43646</v>
      </c>
      <c r="I9" s="1938"/>
      <c r="J9" s="1949" t="s">
        <v>2098</v>
      </c>
      <c r="K9" s="1949"/>
      <c r="L9" s="1949" t="s">
        <v>1257</v>
      </c>
      <c r="M9" s="1949" t="s">
        <v>30</v>
      </c>
    </row>
    <row r="10" spans="1:13" ht="15" x14ac:dyDescent="0.2">
      <c r="A10" s="1951" t="s">
        <v>2099</v>
      </c>
      <c r="B10" s="1952" t="s">
        <v>1255</v>
      </c>
      <c r="C10" s="1952" t="s">
        <v>1254</v>
      </c>
      <c r="D10" s="1945"/>
      <c r="E10" s="1952" t="s">
        <v>1253</v>
      </c>
      <c r="F10" s="1952" t="s">
        <v>1252</v>
      </c>
      <c r="G10" s="1952" t="s">
        <v>1251</v>
      </c>
      <c r="H10" s="1952" t="s">
        <v>1250</v>
      </c>
      <c r="I10" s="1953"/>
      <c r="J10" s="1952" t="s">
        <v>1249</v>
      </c>
      <c r="K10" s="1954"/>
      <c r="L10" s="1952" t="s">
        <v>1248</v>
      </c>
      <c r="M10" s="1952" t="s">
        <v>1247</v>
      </c>
    </row>
    <row r="11" spans="1:13" ht="12.75" x14ac:dyDescent="0.2">
      <c r="A11" s="1938"/>
      <c r="B11" s="1955"/>
      <c r="C11" s="1955"/>
      <c r="D11" s="1949"/>
      <c r="E11" s="1956"/>
      <c r="F11" s="1956"/>
      <c r="G11" s="1956"/>
      <c r="H11" s="1956"/>
      <c r="I11" s="1957"/>
      <c r="J11" s="1956"/>
      <c r="K11" s="1958"/>
      <c r="L11" s="1956"/>
      <c r="M11" s="1956"/>
    </row>
    <row r="12" spans="1:13" ht="12.75" x14ac:dyDescent="0.2">
      <c r="A12" s="1959" t="s">
        <v>2100</v>
      </c>
      <c r="B12" s="1955"/>
      <c r="C12" s="1955"/>
      <c r="D12" s="1949"/>
      <c r="E12" s="1956"/>
      <c r="F12" s="1956"/>
      <c r="G12" s="1956"/>
      <c r="H12" s="1956"/>
      <c r="I12" s="1957"/>
      <c r="J12" s="1956"/>
      <c r="K12" s="1958"/>
      <c r="L12" s="1956"/>
      <c r="M12" s="1956"/>
    </row>
    <row r="13" spans="1:13" ht="12.75" x14ac:dyDescent="0.2">
      <c r="A13" s="1960" t="s">
        <v>2101</v>
      </c>
      <c r="B13" s="1955"/>
      <c r="C13" s="1955"/>
      <c r="D13" s="1949"/>
      <c r="E13" s="1956"/>
      <c r="F13" s="1956"/>
      <c r="G13" s="1956"/>
      <c r="H13" s="1956"/>
      <c r="I13" s="1957"/>
      <c r="J13" s="1956"/>
      <c r="K13" s="1958"/>
      <c r="L13" s="1956"/>
      <c r="M13" s="1956"/>
    </row>
    <row r="14" spans="1:13" ht="12.75" x14ac:dyDescent="0.2">
      <c r="A14" s="1960" t="s">
        <v>2102</v>
      </c>
      <c r="B14" s="1955"/>
      <c r="C14" s="1955"/>
      <c r="D14" s="1949"/>
      <c r="E14" s="1956"/>
      <c r="F14" s="1956"/>
      <c r="G14" s="1956"/>
      <c r="H14" s="1956"/>
      <c r="I14" s="1957"/>
      <c r="J14" s="1956"/>
      <c r="K14" s="1958"/>
      <c r="L14" s="1956"/>
      <c r="M14" s="1956"/>
    </row>
    <row r="15" spans="1:13" ht="12.75" x14ac:dyDescent="0.2">
      <c r="A15" s="1938"/>
      <c r="B15" s="1938"/>
      <c r="C15" s="1938"/>
      <c r="D15" s="1949"/>
      <c r="E15" s="1938"/>
      <c r="F15" s="1938"/>
      <c r="G15" s="1938"/>
      <c r="H15" s="1938"/>
      <c r="I15" s="1938"/>
      <c r="J15" s="1938"/>
      <c r="K15" s="1949"/>
      <c r="L15" s="1938"/>
      <c r="M15" s="1961"/>
    </row>
    <row r="16" spans="1:13" ht="12.75" x14ac:dyDescent="0.2">
      <c r="A16" s="1962" t="s">
        <v>2105</v>
      </c>
      <c r="B16" s="1963">
        <v>10.555</v>
      </c>
      <c r="C16" s="1949" t="s">
        <v>2103</v>
      </c>
      <c r="D16" s="1949"/>
      <c r="E16" s="1964">
        <v>221394</v>
      </c>
      <c r="F16" s="1964">
        <v>59043</v>
      </c>
      <c r="G16" s="1964">
        <v>221587</v>
      </c>
      <c r="H16" s="1964">
        <v>58850</v>
      </c>
      <c r="I16" s="1964"/>
      <c r="J16" s="1964"/>
      <c r="L16" s="1966">
        <f>G16+H16+J16</f>
        <v>280437</v>
      </c>
      <c r="M16" s="1967" t="s">
        <v>2104</v>
      </c>
    </row>
    <row r="17" spans="1:13" ht="12.75" x14ac:dyDescent="0.2">
      <c r="A17" s="1962" t="s">
        <v>2105</v>
      </c>
      <c r="B17" s="1963">
        <v>10.555</v>
      </c>
      <c r="C17" s="1949" t="s">
        <v>2106</v>
      </c>
      <c r="D17" s="1949"/>
      <c r="E17" s="1964"/>
      <c r="F17" s="1964">
        <f>238625+1</f>
        <v>238626</v>
      </c>
      <c r="G17" s="1964"/>
      <c r="H17" s="1964">
        <f>238625+965</f>
        <v>239590</v>
      </c>
      <c r="I17" s="1964"/>
      <c r="J17" s="1964"/>
      <c r="K17" s="1968" t="s">
        <v>2107</v>
      </c>
      <c r="L17" s="1966">
        <f>G17+H17+J17</f>
        <v>239590</v>
      </c>
      <c r="M17" s="1967" t="s">
        <v>2104</v>
      </c>
    </row>
    <row r="18" spans="1:13" ht="12.75" x14ac:dyDescent="0.2">
      <c r="A18" s="1962"/>
      <c r="B18" s="1963"/>
      <c r="C18" s="1949"/>
      <c r="D18" s="1949"/>
      <c r="E18" s="1964"/>
      <c r="F18" s="1964"/>
      <c r="G18" s="1964"/>
      <c r="H18" s="1964"/>
      <c r="I18" s="1964"/>
      <c r="J18" s="1964"/>
      <c r="K18" s="1968"/>
      <c r="L18" s="1966"/>
      <c r="M18" s="1967"/>
    </row>
    <row r="19" spans="1:13" ht="15" customHeight="1" x14ac:dyDescent="0.2">
      <c r="A19" s="1962" t="s">
        <v>2224</v>
      </c>
      <c r="B19" s="1963"/>
      <c r="C19" s="1949"/>
      <c r="D19" s="1949"/>
      <c r="E19" s="1964"/>
      <c r="F19" s="1964"/>
      <c r="G19" s="1964"/>
      <c r="H19" s="1964"/>
      <c r="I19" s="1964"/>
      <c r="J19" s="1964"/>
      <c r="K19" s="1969"/>
      <c r="L19" s="1966"/>
      <c r="M19" s="1967"/>
    </row>
    <row r="20" spans="1:13" ht="12.75" x14ac:dyDescent="0.2">
      <c r="A20" s="1972" t="s">
        <v>2225</v>
      </c>
      <c r="B20" s="1963">
        <v>10.555</v>
      </c>
      <c r="C20" s="1949" t="s">
        <v>2119</v>
      </c>
      <c r="D20" s="1949"/>
      <c r="E20" s="1964"/>
      <c r="F20" s="1964"/>
      <c r="G20" s="1964">
        <v>12385</v>
      </c>
      <c r="H20" s="1964"/>
      <c r="I20" s="1964"/>
      <c r="J20" s="1964"/>
      <c r="K20" s="1969"/>
      <c r="L20" s="1966">
        <f>G20+H20+J20</f>
        <v>12385</v>
      </c>
      <c r="M20" s="1967" t="s">
        <v>2104</v>
      </c>
    </row>
    <row r="21" spans="1:13" ht="12.75" x14ac:dyDescent="0.2">
      <c r="A21" s="1972" t="s">
        <v>2120</v>
      </c>
      <c r="B21" s="1963">
        <v>10.555</v>
      </c>
      <c r="C21" s="1949" t="s">
        <v>2121</v>
      </c>
      <c r="D21" s="1949"/>
      <c r="E21" s="1964"/>
      <c r="F21" s="1964"/>
      <c r="G21" s="1964"/>
      <c r="H21" s="1964">
        <v>13548</v>
      </c>
      <c r="I21" s="1964"/>
      <c r="J21" s="1964"/>
      <c r="K21" s="1969"/>
      <c r="L21" s="1966">
        <f>G21+H21+J21</f>
        <v>13548</v>
      </c>
      <c r="M21" s="1967" t="s">
        <v>2104</v>
      </c>
    </row>
    <row r="22" spans="1:13" ht="12.75" x14ac:dyDescent="0.2">
      <c r="A22" s="1962"/>
      <c r="B22" s="1963"/>
      <c r="C22" s="1949"/>
      <c r="D22" s="1949"/>
      <c r="E22" s="1964"/>
      <c r="F22" s="1964"/>
      <c r="G22" s="1964"/>
      <c r="H22" s="1964"/>
      <c r="I22" s="1964"/>
      <c r="J22" s="1964"/>
      <c r="K22" s="1969"/>
      <c r="L22" s="1966"/>
      <c r="M22" s="1967"/>
    </row>
    <row r="23" spans="1:13" ht="15" x14ac:dyDescent="0.2">
      <c r="A23" s="1973" t="s">
        <v>2226</v>
      </c>
      <c r="B23" s="1974">
        <v>10.555</v>
      </c>
      <c r="C23" s="1945" t="s">
        <v>2119</v>
      </c>
      <c r="D23" s="1949"/>
      <c r="E23" s="1964"/>
      <c r="F23" s="1964"/>
      <c r="G23" s="1975">
        <v>22596</v>
      </c>
      <c r="H23" s="1975"/>
      <c r="I23" s="1976"/>
      <c r="J23" s="1975"/>
      <c r="K23" s="1976"/>
      <c r="L23" s="1975">
        <f>G23+H23+J23</f>
        <v>22596</v>
      </c>
      <c r="M23" s="1977" t="s">
        <v>2104</v>
      </c>
    </row>
    <row r="24" spans="1:13" ht="15" x14ac:dyDescent="0.35">
      <c r="A24" s="1973" t="s">
        <v>2227</v>
      </c>
      <c r="B24" s="1974">
        <v>10.555</v>
      </c>
      <c r="C24" s="1945" t="s">
        <v>2121</v>
      </c>
      <c r="D24" s="1949"/>
      <c r="E24" s="1978">
        <v>0</v>
      </c>
      <c r="F24" s="1978">
        <v>0</v>
      </c>
      <c r="G24" s="1976">
        <v>0</v>
      </c>
      <c r="H24" s="1976">
        <v>19353</v>
      </c>
      <c r="I24" s="1976"/>
      <c r="J24" s="1976">
        <v>0</v>
      </c>
      <c r="K24" s="1976"/>
      <c r="L24" s="1976">
        <f>G24+H24+J24</f>
        <v>19353</v>
      </c>
      <c r="M24" s="1977" t="s">
        <v>2104</v>
      </c>
    </row>
    <row r="25" spans="1:13" ht="15" x14ac:dyDescent="0.35">
      <c r="A25" s="1962"/>
      <c r="B25" s="1963" t="s">
        <v>2228</v>
      </c>
      <c r="C25" s="1949"/>
      <c r="D25" s="1949"/>
      <c r="E25" s="1978">
        <f>SUM(E16:E24)</f>
        <v>221394</v>
      </c>
      <c r="F25" s="1978">
        <f t="shared" ref="F25:L25" si="0">SUM(F16:F24)</f>
        <v>297669</v>
      </c>
      <c r="G25" s="1978">
        <f t="shared" si="0"/>
        <v>256568</v>
      </c>
      <c r="H25" s="1978">
        <f t="shared" si="0"/>
        <v>331341</v>
      </c>
      <c r="I25" s="1964">
        <f t="shared" si="0"/>
        <v>0</v>
      </c>
      <c r="J25" s="1978">
        <v>0</v>
      </c>
      <c r="K25" s="1964">
        <f t="shared" si="0"/>
        <v>0</v>
      </c>
      <c r="L25" s="1978">
        <f t="shared" si="0"/>
        <v>587909</v>
      </c>
      <c r="M25" s="1967"/>
    </row>
    <row r="26" spans="1:13" ht="12.75" x14ac:dyDescent="0.2">
      <c r="A26" s="1962"/>
      <c r="B26" s="1963"/>
      <c r="C26" s="1949"/>
      <c r="D26" s="1949"/>
      <c r="E26" s="1964"/>
      <c r="F26" s="1964"/>
      <c r="G26" s="1964"/>
      <c r="H26" s="1964"/>
      <c r="I26" s="1964"/>
      <c r="J26" s="1938"/>
      <c r="K26" s="1969"/>
      <c r="L26" s="1966"/>
      <c r="M26" s="1967"/>
    </row>
    <row r="27" spans="1:13" ht="12.75" hidden="1" x14ac:dyDescent="0.2">
      <c r="A27" s="1962" t="s">
        <v>1059</v>
      </c>
      <c r="B27" s="1963">
        <v>10.553000000000001</v>
      </c>
      <c r="C27" s="1949" t="s">
        <v>2108</v>
      </c>
      <c r="D27" s="1949"/>
      <c r="E27" s="1964"/>
      <c r="F27" s="1970"/>
      <c r="G27" s="1964"/>
      <c r="H27" s="1964"/>
      <c r="I27" s="1964"/>
      <c r="J27" s="1964"/>
      <c r="K27" s="1949"/>
      <c r="L27" s="1966">
        <f>G27+H27+J27</f>
        <v>0</v>
      </c>
      <c r="M27" s="1967"/>
    </row>
    <row r="28" spans="1:13" ht="12.75" hidden="1" x14ac:dyDescent="0.2">
      <c r="A28" s="1962" t="s">
        <v>1059</v>
      </c>
      <c r="B28" s="1963">
        <v>10.553000000000001</v>
      </c>
      <c r="C28" s="1949" t="s">
        <v>2109</v>
      </c>
      <c r="D28" s="1949"/>
      <c r="E28" s="1964"/>
      <c r="F28" s="1970"/>
      <c r="G28" s="1964"/>
      <c r="H28" s="1964"/>
      <c r="I28" s="1964"/>
      <c r="J28" s="1964"/>
      <c r="K28" s="1949"/>
      <c r="L28" s="1966">
        <f>G28+H28+J28</f>
        <v>0</v>
      </c>
      <c r="M28" s="1967"/>
    </row>
    <row r="29" spans="1:13" ht="12.75" hidden="1" x14ac:dyDescent="0.2">
      <c r="A29" s="1962"/>
      <c r="B29" s="1963"/>
      <c r="C29" s="1949"/>
      <c r="D29" s="1949"/>
      <c r="E29" s="1964"/>
      <c r="F29" s="1964"/>
      <c r="G29" s="1964"/>
      <c r="H29" s="1964"/>
      <c r="I29" s="1964"/>
      <c r="J29" s="1964"/>
      <c r="K29" s="1969"/>
      <c r="L29" s="1966"/>
      <c r="M29" s="1967"/>
    </row>
    <row r="30" spans="1:13" ht="12.75" hidden="1" x14ac:dyDescent="0.2">
      <c r="A30" s="1962" t="s">
        <v>2110</v>
      </c>
      <c r="B30" s="1963">
        <v>10.55</v>
      </c>
      <c r="C30" s="1949" t="s">
        <v>2111</v>
      </c>
      <c r="D30" s="1949"/>
      <c r="E30" s="1964"/>
      <c r="F30" s="1971"/>
      <c r="G30" s="1964"/>
      <c r="H30" s="1964"/>
      <c r="I30" s="1964"/>
      <c r="J30" s="1964"/>
      <c r="K30" s="1949"/>
      <c r="L30" s="1966">
        <f>G30+H30+J30</f>
        <v>0</v>
      </c>
      <c r="M30" s="1967"/>
    </row>
    <row r="31" spans="1:13" ht="12.75" hidden="1" x14ac:dyDescent="0.2">
      <c r="A31" s="1962" t="s">
        <v>2110</v>
      </c>
      <c r="B31" s="1963">
        <v>10.55</v>
      </c>
      <c r="C31" s="1949" t="s">
        <v>2111</v>
      </c>
      <c r="D31" s="1949"/>
      <c r="E31" s="1971"/>
      <c r="F31" s="1971"/>
      <c r="G31" s="1964"/>
      <c r="H31" s="1964"/>
      <c r="I31" s="1964"/>
      <c r="J31" s="1964"/>
      <c r="K31" s="1949"/>
      <c r="L31" s="1966">
        <f>G31+H31+J31</f>
        <v>0</v>
      </c>
      <c r="M31" s="1967"/>
    </row>
    <row r="32" spans="1:13" ht="12.75" hidden="1" x14ac:dyDescent="0.2">
      <c r="A32" s="1948"/>
      <c r="B32" s="1963"/>
      <c r="C32" s="1949"/>
      <c r="D32" s="1949"/>
      <c r="E32" s="1964"/>
      <c r="F32" s="1964"/>
      <c r="G32" s="1964"/>
      <c r="H32" s="1964"/>
      <c r="I32" s="1964"/>
      <c r="J32" s="1964"/>
      <c r="K32" s="1969"/>
      <c r="L32" s="1966"/>
      <c r="M32" s="1967"/>
    </row>
    <row r="33" spans="1:13" ht="12.75" x14ac:dyDescent="0.2">
      <c r="A33" s="1962" t="s">
        <v>2112</v>
      </c>
      <c r="B33" s="1963">
        <v>10.553000000000001</v>
      </c>
      <c r="C33" s="1949" t="s">
        <v>2113</v>
      </c>
      <c r="D33" s="1949"/>
      <c r="E33" s="1964">
        <v>75476</v>
      </c>
      <c r="F33" s="1964">
        <v>21285</v>
      </c>
      <c r="G33" s="1964">
        <v>75903</v>
      </c>
      <c r="H33" s="1964">
        <v>20858</v>
      </c>
      <c r="I33" s="1964"/>
      <c r="J33" s="1964"/>
      <c r="K33" s="1969"/>
      <c r="L33" s="1966">
        <f>G33+H33+J33</f>
        <v>96761</v>
      </c>
      <c r="M33" s="1967" t="s">
        <v>2104</v>
      </c>
    </row>
    <row r="34" spans="1:13" ht="12.75" x14ac:dyDescent="0.2">
      <c r="A34" s="1962" t="s">
        <v>2112</v>
      </c>
      <c r="B34" s="1963">
        <v>10.553000000000001</v>
      </c>
      <c r="C34" s="1949" t="s">
        <v>2114</v>
      </c>
      <c r="D34" s="1949"/>
      <c r="E34" s="1964"/>
      <c r="F34" s="1964">
        <v>84631</v>
      </c>
      <c r="G34" s="1964"/>
      <c r="H34" s="1964">
        <v>85906</v>
      </c>
      <c r="I34" s="1964"/>
      <c r="J34" s="1964"/>
      <c r="K34" s="1968" t="s">
        <v>2107</v>
      </c>
      <c r="L34" s="1966">
        <f>G34+H34+J34</f>
        <v>85906</v>
      </c>
      <c r="M34" s="1967" t="s">
        <v>2104</v>
      </c>
    </row>
    <row r="35" spans="1:13" ht="12.75" x14ac:dyDescent="0.2">
      <c r="A35" s="1948"/>
      <c r="B35" s="1963"/>
      <c r="C35" s="1949"/>
      <c r="D35" s="1949"/>
      <c r="E35" s="1964"/>
      <c r="F35" s="1964"/>
      <c r="G35" s="1964"/>
      <c r="H35" s="1964"/>
      <c r="I35" s="1964"/>
      <c r="J35" s="1964"/>
      <c r="K35" s="1969"/>
      <c r="L35" s="1966"/>
      <c r="M35" s="1967"/>
    </row>
    <row r="36" spans="1:13" ht="12.75" x14ac:dyDescent="0.2">
      <c r="A36" s="1962" t="s">
        <v>2115</v>
      </c>
      <c r="B36" s="1963">
        <v>10.582000000000001</v>
      </c>
      <c r="C36" s="1949" t="s">
        <v>2116</v>
      </c>
      <c r="D36" s="1949"/>
      <c r="E36" s="1964">
        <v>18226</v>
      </c>
      <c r="F36" s="1964"/>
      <c r="G36" s="1964">
        <v>18226</v>
      </c>
      <c r="H36" s="1964"/>
      <c r="I36" s="1964"/>
      <c r="J36" s="1964"/>
      <c r="K36" s="1968"/>
      <c r="L36" s="1966">
        <f>G36+H36+J36</f>
        <v>18226</v>
      </c>
      <c r="M36" s="1967" t="s">
        <v>2104</v>
      </c>
    </row>
    <row r="37" spans="1:13" ht="15" customHeight="1" x14ac:dyDescent="0.2">
      <c r="A37" s="1962" t="s">
        <v>2115</v>
      </c>
      <c r="B37" s="1963">
        <v>10.582000000000001</v>
      </c>
      <c r="C37" s="1949" t="s">
        <v>2117</v>
      </c>
      <c r="D37" s="1949"/>
      <c r="E37" s="1964"/>
      <c r="F37" s="1964">
        <v>4125</v>
      </c>
      <c r="G37" s="1964"/>
      <c r="H37" s="1964">
        <v>4125</v>
      </c>
      <c r="I37" s="1964"/>
      <c r="J37" s="1964"/>
      <c r="K37" s="1968" t="s">
        <v>2107</v>
      </c>
      <c r="L37" s="1966">
        <f>G37+H37+J37</f>
        <v>4125</v>
      </c>
      <c r="M37" s="1967" t="s">
        <v>2104</v>
      </c>
    </row>
    <row r="38" spans="1:13" ht="15" customHeight="1" x14ac:dyDescent="0.35">
      <c r="A38" s="1962" t="s">
        <v>2115</v>
      </c>
      <c r="B38" s="1963">
        <v>10.582000000000001</v>
      </c>
      <c r="C38" s="1949" t="s">
        <v>2118</v>
      </c>
      <c r="D38" s="1949"/>
      <c r="E38" s="1978">
        <v>0</v>
      </c>
      <c r="F38" s="1978">
        <f>21852-4125</f>
        <v>17727</v>
      </c>
      <c r="G38" s="1978">
        <v>0</v>
      </c>
      <c r="H38" s="1978">
        <v>17727</v>
      </c>
      <c r="I38" s="1964"/>
      <c r="J38" s="1978">
        <v>0</v>
      </c>
      <c r="K38" s="1968" t="s">
        <v>2107</v>
      </c>
      <c r="L38" s="1983">
        <f>G38+H38+J38</f>
        <v>17727</v>
      </c>
      <c r="M38" s="1967" t="s">
        <v>2104</v>
      </c>
    </row>
    <row r="39" spans="1:13" ht="9" customHeight="1" x14ac:dyDescent="0.2">
      <c r="A39" s="1948"/>
      <c r="B39" s="1963"/>
      <c r="C39" s="1949"/>
      <c r="D39" s="1949"/>
      <c r="E39" s="1964"/>
      <c r="F39" s="1964"/>
      <c r="G39" s="1964"/>
      <c r="H39" s="1964"/>
      <c r="I39" s="1964"/>
      <c r="J39" s="1964"/>
      <c r="K39" s="1969"/>
      <c r="L39" s="1966"/>
      <c r="M39" s="1967"/>
    </row>
    <row r="40" spans="1:13" ht="15" x14ac:dyDescent="0.35">
      <c r="A40" s="1959" t="s">
        <v>2122</v>
      </c>
      <c r="B40" s="1963"/>
      <c r="C40" s="1949"/>
      <c r="D40" s="1949"/>
      <c r="E40" s="1978">
        <f>+E25+E33+E34+E36+E37+E38</f>
        <v>315096</v>
      </c>
      <c r="F40" s="1978">
        <f>+F25+F33+F34+F36+F37+F38</f>
        <v>425437</v>
      </c>
      <c r="G40" s="1978">
        <f>+G25+G33+G34+G36+G37+G38</f>
        <v>350697</v>
      </c>
      <c r="H40" s="1978">
        <f>+H25+H33+H34+H36+H37+H38</f>
        <v>459957</v>
      </c>
      <c r="I40" s="1978"/>
      <c r="J40" s="1978">
        <f>+J25+J33+J34+J36+J37+J38</f>
        <v>0</v>
      </c>
      <c r="K40" s="1978"/>
      <c r="L40" s="1978">
        <f>+L25+L33+L34+L36+L37+L38</f>
        <v>810654</v>
      </c>
      <c r="M40" s="1967"/>
    </row>
    <row r="41" spans="1:13" ht="12.75" x14ac:dyDescent="0.2">
      <c r="A41" s="1948"/>
      <c r="B41" s="1963"/>
      <c r="C41" s="1949"/>
      <c r="D41" s="1949"/>
      <c r="E41" s="1964"/>
      <c r="F41" s="1964"/>
      <c r="G41" s="1964"/>
      <c r="H41" s="1964"/>
      <c r="I41" s="1964"/>
      <c r="J41" s="1964"/>
      <c r="K41" s="1969"/>
      <c r="L41" s="1966"/>
      <c r="M41" s="1967"/>
    </row>
    <row r="42" spans="1:13" ht="12.75" x14ac:dyDescent="0.2">
      <c r="A42" s="1959" t="s">
        <v>2123</v>
      </c>
      <c r="B42" s="1963"/>
      <c r="C42" s="1949"/>
      <c r="D42" s="1949"/>
      <c r="E42" s="1964"/>
      <c r="F42" s="1964"/>
      <c r="G42" s="1964"/>
      <c r="H42" s="1964"/>
      <c r="I42" s="1964"/>
      <c r="J42" s="1964"/>
      <c r="K42" s="1969"/>
      <c r="L42" s="1966"/>
      <c r="M42" s="1967"/>
    </row>
    <row r="43" spans="1:13" ht="12.75" x14ac:dyDescent="0.2">
      <c r="A43" s="1960" t="s">
        <v>2101</v>
      </c>
      <c r="B43" s="1963"/>
      <c r="C43" s="1949"/>
      <c r="D43" s="1949"/>
      <c r="E43" s="1964"/>
      <c r="F43" s="1964"/>
      <c r="G43" s="1964"/>
      <c r="H43" s="1964"/>
      <c r="I43" s="1964"/>
      <c r="J43" s="1964"/>
      <c r="K43" s="1969"/>
      <c r="L43" s="1966"/>
      <c r="M43" s="1967"/>
    </row>
    <row r="44" spans="1:13" ht="12.75" x14ac:dyDescent="0.2">
      <c r="A44" s="1960" t="s">
        <v>2102</v>
      </c>
      <c r="B44" s="1963"/>
      <c r="C44" s="1949"/>
      <c r="D44" s="1949"/>
      <c r="E44" s="1964"/>
      <c r="F44" s="1964"/>
      <c r="G44" s="1964"/>
      <c r="H44" s="1964"/>
      <c r="I44" s="1964"/>
      <c r="J44" s="1964"/>
      <c r="K44" s="1969"/>
      <c r="L44" s="1966"/>
      <c r="M44" s="1967"/>
    </row>
    <row r="45" spans="1:13" ht="12.75" x14ac:dyDescent="0.2">
      <c r="A45" s="1960"/>
      <c r="B45" s="1963"/>
      <c r="C45" s="1949"/>
      <c r="D45" s="1949"/>
      <c r="E45" s="1964"/>
      <c r="F45" s="1964"/>
      <c r="G45" s="1964"/>
      <c r="H45" s="1964"/>
      <c r="I45" s="1964"/>
      <c r="J45" s="1964"/>
      <c r="K45" s="1969"/>
      <c r="L45" s="1966"/>
      <c r="M45" s="1967"/>
    </row>
    <row r="46" spans="1:13" ht="12.75" x14ac:dyDescent="0.2">
      <c r="A46" s="1962" t="s">
        <v>918</v>
      </c>
      <c r="B46" s="1963" t="s">
        <v>2124</v>
      </c>
      <c r="C46" s="1949" t="s">
        <v>2125</v>
      </c>
      <c r="D46" s="1979"/>
      <c r="E46" s="1964">
        <v>149127</v>
      </c>
      <c r="F46" s="1964">
        <v>21472</v>
      </c>
      <c r="G46" s="1964">
        <v>170599</v>
      </c>
      <c r="H46" s="1964"/>
      <c r="I46" s="1964"/>
      <c r="J46" s="1964"/>
      <c r="K46" s="1937"/>
      <c r="L46" s="1964">
        <f>J46+H46+G46</f>
        <v>170599</v>
      </c>
      <c r="M46" s="1964">
        <v>189852</v>
      </c>
    </row>
    <row r="47" spans="1:13" ht="12.75" x14ac:dyDescent="0.2">
      <c r="A47" s="1962" t="s">
        <v>918</v>
      </c>
      <c r="B47" s="1963" t="s">
        <v>2124</v>
      </c>
      <c r="C47" s="1949" t="s">
        <v>2126</v>
      </c>
      <c r="D47" s="1968"/>
      <c r="E47" s="1964"/>
      <c r="F47" s="1964">
        <v>185620</v>
      </c>
      <c r="G47" s="1964"/>
      <c r="H47" s="1964">
        <v>202538</v>
      </c>
      <c r="I47" s="1964"/>
      <c r="J47" s="1964">
        <v>0</v>
      </c>
      <c r="K47" s="1968" t="s">
        <v>2107</v>
      </c>
      <c r="L47" s="1964">
        <f>J47+H47+G47</f>
        <v>202538</v>
      </c>
      <c r="M47" s="1964">
        <v>255406</v>
      </c>
    </row>
    <row r="48" spans="1:13" ht="12.75" x14ac:dyDescent="0.2">
      <c r="A48" s="1962"/>
      <c r="B48" s="1963"/>
      <c r="C48" s="1949"/>
      <c r="D48" s="1968"/>
      <c r="E48" s="1964"/>
      <c r="F48" s="1964"/>
      <c r="G48" s="1964"/>
      <c r="H48" s="1964"/>
      <c r="I48" s="1964"/>
      <c r="J48" s="1964"/>
      <c r="K48" s="1968"/>
      <c r="L48" s="1964"/>
      <c r="M48" s="1964"/>
    </row>
    <row r="49" spans="1:13" ht="15" x14ac:dyDescent="0.35">
      <c r="A49" s="1962" t="s">
        <v>2127</v>
      </c>
      <c r="B49" s="1963">
        <v>84.01</v>
      </c>
      <c r="C49" s="1949" t="s">
        <v>2128</v>
      </c>
      <c r="D49" s="1968"/>
      <c r="E49" s="1978">
        <v>0</v>
      </c>
      <c r="F49" s="1978">
        <v>43171</v>
      </c>
      <c r="G49" s="1978">
        <v>0</v>
      </c>
      <c r="H49" s="1978">
        <v>59762</v>
      </c>
      <c r="I49" s="1964"/>
      <c r="J49" s="1978">
        <v>0</v>
      </c>
      <c r="K49" s="1968" t="s">
        <v>2107</v>
      </c>
      <c r="L49" s="1978">
        <f>J49+H49+G49</f>
        <v>59762</v>
      </c>
      <c r="M49" s="1964">
        <v>92942</v>
      </c>
    </row>
    <row r="50" spans="1:13" ht="15" x14ac:dyDescent="0.35">
      <c r="A50" s="1962"/>
      <c r="B50" s="1963" t="s">
        <v>2230</v>
      </c>
      <c r="C50" s="1949"/>
      <c r="D50" s="1968"/>
      <c r="E50" s="1978">
        <f>+E46+E47+E49</f>
        <v>149127</v>
      </c>
      <c r="F50" s="1978">
        <f>+F46+F47+F49</f>
        <v>250263</v>
      </c>
      <c r="G50" s="1978">
        <f>+G46+G47+G49</f>
        <v>170599</v>
      </c>
      <c r="H50" s="1978">
        <f>+H46+H47+H49</f>
        <v>262300</v>
      </c>
      <c r="I50" s="1964"/>
      <c r="J50" s="1978">
        <f>+J46+J47+J49</f>
        <v>0</v>
      </c>
      <c r="K50" s="1968"/>
      <c r="L50" s="1978">
        <f>+L46+L47+L49</f>
        <v>432899</v>
      </c>
      <c r="M50" s="1964"/>
    </row>
    <row r="51" spans="1:13" ht="12.75" x14ac:dyDescent="0.2">
      <c r="A51" s="1962"/>
      <c r="B51" s="1963"/>
      <c r="C51" s="1949"/>
      <c r="D51" s="1968"/>
      <c r="E51" s="1964"/>
      <c r="F51" s="1964"/>
      <c r="G51" s="1964"/>
      <c r="H51" s="1964"/>
      <c r="I51" s="1964"/>
      <c r="J51" s="1964"/>
      <c r="K51" s="1968"/>
      <c r="L51" s="1964"/>
      <c r="M51" s="1964"/>
    </row>
    <row r="52" spans="1:13" ht="12.75" x14ac:dyDescent="0.2">
      <c r="A52" s="1962" t="s">
        <v>2129</v>
      </c>
      <c r="B52" s="1963">
        <v>84.424000000000007</v>
      </c>
      <c r="C52" s="1949" t="s">
        <v>2130</v>
      </c>
      <c r="D52" s="1968"/>
      <c r="E52" s="1964"/>
      <c r="F52" s="1964">
        <v>2455</v>
      </c>
      <c r="G52" s="1964"/>
      <c r="H52" s="1964">
        <v>13436</v>
      </c>
      <c r="I52" s="1964"/>
      <c r="J52" s="1964"/>
      <c r="K52" s="1968"/>
      <c r="L52" s="1964">
        <f>J52+H52+G52</f>
        <v>13436</v>
      </c>
      <c r="M52" s="1964">
        <v>13436</v>
      </c>
    </row>
    <row r="53" spans="1:13" ht="12.75" x14ac:dyDescent="0.2">
      <c r="A53" s="1962"/>
      <c r="B53" s="1963"/>
      <c r="C53" s="1949"/>
      <c r="D53" s="1968"/>
      <c r="E53" s="1964"/>
      <c r="F53" s="1964"/>
      <c r="G53" s="1964"/>
      <c r="H53" s="1964"/>
      <c r="I53" s="1964"/>
      <c r="J53" s="1964"/>
      <c r="K53" s="1968"/>
      <c r="L53" s="1964"/>
      <c r="M53" s="1964"/>
    </row>
    <row r="54" spans="1:13" ht="12.75" hidden="1" x14ac:dyDescent="0.2">
      <c r="A54" s="1962"/>
      <c r="B54" s="1963"/>
      <c r="C54" s="1949"/>
      <c r="D54" s="1968"/>
      <c r="E54" s="1964"/>
      <c r="F54" s="1964"/>
      <c r="G54" s="1964"/>
      <c r="H54" s="1964"/>
      <c r="I54" s="1964"/>
      <c r="J54" s="1964"/>
      <c r="K54" s="1968"/>
      <c r="L54" s="1964"/>
      <c r="M54" s="1964"/>
    </row>
    <row r="55" spans="1:13" ht="12.75" hidden="1" x14ac:dyDescent="0.2">
      <c r="A55" s="1962"/>
      <c r="B55" s="1963"/>
      <c r="C55" s="1949"/>
      <c r="D55" s="1968"/>
      <c r="E55" s="1964"/>
      <c r="F55" s="1964"/>
      <c r="G55" s="1964"/>
      <c r="H55" s="1964"/>
      <c r="I55" s="1964"/>
      <c r="J55" s="1964"/>
      <c r="K55" s="1968"/>
      <c r="L55" s="1964"/>
      <c r="M55" s="1964"/>
    </row>
    <row r="56" spans="1:13" ht="12.75" hidden="1" x14ac:dyDescent="0.2">
      <c r="A56" s="1962"/>
      <c r="B56" s="1963"/>
      <c r="C56" s="1949"/>
      <c r="D56" s="1968"/>
      <c r="E56" s="1964"/>
      <c r="F56" s="1964"/>
      <c r="G56" s="1964"/>
      <c r="H56" s="1964"/>
      <c r="I56" s="1964"/>
      <c r="J56" s="1964"/>
      <c r="K56" s="1968"/>
      <c r="L56" s="1964"/>
      <c r="M56" s="1964"/>
    </row>
    <row r="57" spans="1:13" ht="12.75" hidden="1" x14ac:dyDescent="0.2">
      <c r="A57" s="1962"/>
      <c r="B57" s="1963"/>
      <c r="C57" s="1949"/>
      <c r="D57" s="1968"/>
      <c r="E57" s="1964"/>
      <c r="F57" s="1964"/>
      <c r="G57" s="1964"/>
      <c r="H57" s="1964"/>
      <c r="I57" s="1964"/>
      <c r="J57" s="1964"/>
      <c r="K57" s="1968"/>
      <c r="L57" s="1964"/>
      <c r="M57" s="1964"/>
    </row>
    <row r="58" spans="1:13" ht="12.75" hidden="1" x14ac:dyDescent="0.2">
      <c r="A58" s="1962"/>
      <c r="B58" s="1963"/>
      <c r="C58" s="1949"/>
      <c r="D58" s="1968"/>
      <c r="E58" s="1964"/>
      <c r="F58" s="1964"/>
      <c r="G58" s="1964"/>
      <c r="H58" s="1964"/>
      <c r="I58" s="1964"/>
      <c r="J58" s="1964"/>
      <c r="K58" s="1968"/>
      <c r="L58" s="1964"/>
      <c r="M58" s="1964"/>
    </row>
    <row r="59" spans="1:13" ht="12.75" hidden="1" x14ac:dyDescent="0.2">
      <c r="A59" s="1962"/>
      <c r="B59" s="1963"/>
      <c r="C59" s="1949"/>
      <c r="D59" s="1968"/>
      <c r="E59" s="1964"/>
      <c r="F59" s="1964"/>
      <c r="G59" s="1964"/>
      <c r="H59" s="1964"/>
      <c r="I59" s="1964"/>
      <c r="J59" s="1964"/>
      <c r="K59" s="1968"/>
      <c r="L59" s="1964"/>
      <c r="M59" s="1964"/>
    </row>
    <row r="60" spans="1:13" ht="12.75" hidden="1" x14ac:dyDescent="0.2">
      <c r="A60" s="1962"/>
      <c r="B60" s="1963"/>
      <c r="C60" s="1949"/>
      <c r="D60" s="1968"/>
      <c r="E60" s="1964"/>
      <c r="F60" s="1964"/>
      <c r="G60" s="1964"/>
      <c r="H60" s="1964"/>
      <c r="I60" s="1964"/>
      <c r="J60" s="1964"/>
      <c r="K60" s="1968"/>
      <c r="L60" s="1964"/>
      <c r="M60" s="1964"/>
    </row>
    <row r="61" spans="1:13" ht="12.75" hidden="1" x14ac:dyDescent="0.2">
      <c r="A61" s="1962"/>
      <c r="B61" s="1963"/>
      <c r="C61" s="1949"/>
      <c r="D61" s="1968"/>
      <c r="E61" s="1964"/>
      <c r="F61" s="1964"/>
      <c r="G61" s="1964"/>
      <c r="H61" s="1964"/>
      <c r="I61" s="1964"/>
      <c r="J61" s="1964"/>
      <c r="K61" s="1968"/>
      <c r="L61" s="1964"/>
      <c r="M61" s="1964"/>
    </row>
    <row r="62" spans="1:13" ht="12.75" hidden="1" x14ac:dyDescent="0.2">
      <c r="A62" s="1962"/>
      <c r="B62" s="1963"/>
      <c r="C62" s="1949"/>
      <c r="D62" s="1968"/>
      <c r="E62" s="1964"/>
      <c r="F62" s="1964"/>
      <c r="G62" s="1964"/>
      <c r="H62" s="1964"/>
      <c r="I62" s="1964"/>
      <c r="J62" s="1964"/>
      <c r="K62" s="1968"/>
      <c r="L62" s="1964"/>
      <c r="M62" s="1964"/>
    </row>
    <row r="63" spans="1:13" ht="12.75" hidden="1" x14ac:dyDescent="0.2">
      <c r="A63" s="1962"/>
      <c r="B63" s="1963"/>
      <c r="C63" s="1949"/>
      <c r="D63" s="1968"/>
      <c r="E63" s="1964"/>
      <c r="F63" s="1964"/>
      <c r="G63" s="1964"/>
      <c r="H63" s="1964"/>
      <c r="I63" s="1964"/>
      <c r="J63" s="1964"/>
      <c r="K63" s="1968"/>
      <c r="L63" s="1964"/>
      <c r="M63" s="1964"/>
    </row>
    <row r="64" spans="1:13" ht="12.75" hidden="1" x14ac:dyDescent="0.2">
      <c r="A64" s="1962"/>
      <c r="B64" s="1963"/>
      <c r="C64" s="1949"/>
      <c r="D64" s="1968"/>
      <c r="E64" s="1964"/>
      <c r="F64" s="1964"/>
      <c r="G64" s="1964"/>
      <c r="H64" s="1964"/>
      <c r="I64" s="1964"/>
      <c r="J64" s="1964"/>
      <c r="K64" s="1968"/>
      <c r="L64" s="1964"/>
      <c r="M64" s="1964"/>
    </row>
    <row r="65" spans="1:13" ht="12.75" hidden="1" x14ac:dyDescent="0.2">
      <c r="A65" s="1962"/>
      <c r="B65" s="1963"/>
      <c r="C65" s="1949"/>
      <c r="D65" s="1968"/>
      <c r="E65" s="1964"/>
      <c r="F65" s="1964"/>
      <c r="G65" s="1964"/>
      <c r="H65" s="1964"/>
      <c r="I65" s="1964"/>
      <c r="J65" s="1964"/>
      <c r="K65" s="1968"/>
      <c r="L65" s="1964"/>
      <c r="M65" s="1964"/>
    </row>
    <row r="66" spans="1:13" ht="12.75" hidden="1" x14ac:dyDescent="0.2">
      <c r="A66" s="1962"/>
      <c r="B66" s="1963"/>
      <c r="C66" s="1949"/>
      <c r="D66" s="1968"/>
      <c r="E66" s="1964"/>
      <c r="F66" s="1964"/>
      <c r="G66" s="1964"/>
      <c r="H66" s="1964"/>
      <c r="I66" s="1964"/>
      <c r="J66" s="1964"/>
      <c r="K66" s="1968"/>
      <c r="L66" s="1964"/>
      <c r="M66" s="1964"/>
    </row>
    <row r="67" spans="1:13" ht="12.75" hidden="1" x14ac:dyDescent="0.2">
      <c r="A67" s="1962"/>
      <c r="B67" s="1963"/>
      <c r="C67" s="1949"/>
      <c r="D67" s="1968"/>
      <c r="E67" s="1964"/>
      <c r="F67" s="1964"/>
      <c r="G67" s="1964"/>
      <c r="H67" s="1964"/>
      <c r="I67" s="1964"/>
      <c r="J67" s="1964"/>
      <c r="K67" s="1968"/>
      <c r="L67" s="1964"/>
      <c r="M67" s="1964"/>
    </row>
    <row r="68" spans="1:13" ht="12.75" hidden="1" x14ac:dyDescent="0.2">
      <c r="A68" s="1962"/>
      <c r="B68" s="1963"/>
      <c r="C68" s="1949"/>
      <c r="D68" s="1968"/>
      <c r="E68" s="1964"/>
      <c r="F68" s="1964"/>
      <c r="G68" s="1964"/>
      <c r="H68" s="1964"/>
      <c r="I68" s="1964"/>
      <c r="J68" s="1964"/>
      <c r="K68" s="1968"/>
      <c r="L68" s="1964"/>
      <c r="M68" s="1964"/>
    </row>
    <row r="69" spans="1:13" ht="12.75" hidden="1" x14ac:dyDescent="0.2">
      <c r="A69" s="1962"/>
      <c r="B69" s="1963"/>
      <c r="C69" s="1949"/>
      <c r="D69" s="1968"/>
      <c r="E69" s="1964"/>
      <c r="F69" s="1964"/>
      <c r="G69" s="1964"/>
      <c r="H69" s="1964"/>
      <c r="I69" s="1964"/>
      <c r="J69" s="1964"/>
      <c r="K69" s="1968"/>
      <c r="L69" s="1964"/>
      <c r="M69" s="1964"/>
    </row>
    <row r="70" spans="1:13" ht="12.75" hidden="1" x14ac:dyDescent="0.2">
      <c r="A70" s="1962"/>
      <c r="B70" s="1963"/>
      <c r="C70" s="1949"/>
      <c r="D70" s="1968"/>
      <c r="E70" s="1964"/>
      <c r="F70" s="1964"/>
      <c r="G70" s="1964"/>
      <c r="H70" s="1964"/>
      <c r="I70" s="1964"/>
      <c r="J70" s="1964"/>
      <c r="K70" s="1968"/>
      <c r="L70" s="1964"/>
      <c r="M70" s="1964"/>
    </row>
    <row r="71" spans="1:13" ht="12.75" hidden="1" x14ac:dyDescent="0.2">
      <c r="A71" s="1962"/>
      <c r="B71" s="1963"/>
      <c r="C71" s="1949"/>
      <c r="D71" s="1968"/>
      <c r="E71" s="1964"/>
      <c r="F71" s="1964"/>
      <c r="G71" s="1964"/>
      <c r="H71" s="1964"/>
      <c r="I71" s="1964"/>
      <c r="J71" s="1964"/>
      <c r="K71" s="1968"/>
      <c r="L71" s="1964"/>
      <c r="M71" s="1964"/>
    </row>
    <row r="72" spans="1:13" ht="12.75" hidden="1" x14ac:dyDescent="0.2">
      <c r="A72" s="1962"/>
      <c r="B72" s="1963"/>
      <c r="C72" s="1949"/>
      <c r="D72" s="1968"/>
      <c r="E72" s="1964"/>
      <c r="F72" s="1964"/>
      <c r="G72" s="1964"/>
      <c r="H72" s="1964"/>
      <c r="I72" s="1964"/>
      <c r="J72" s="1964"/>
      <c r="K72" s="1968"/>
      <c r="L72" s="1964"/>
      <c r="M72" s="1964"/>
    </row>
    <row r="73" spans="1:13" ht="12.75" hidden="1" x14ac:dyDescent="0.2">
      <c r="A73" s="1962"/>
      <c r="B73" s="1963"/>
      <c r="C73" s="1949"/>
      <c r="D73" s="1968"/>
      <c r="E73" s="1964"/>
      <c r="F73" s="1964"/>
      <c r="G73" s="1964"/>
      <c r="H73" s="1964"/>
      <c r="I73" s="1964"/>
      <c r="J73" s="1964"/>
      <c r="K73" s="1968"/>
      <c r="L73" s="1964"/>
      <c r="M73" s="1964"/>
    </row>
    <row r="74" spans="1:13" ht="12.75" hidden="1" x14ac:dyDescent="0.2">
      <c r="A74" s="1962"/>
      <c r="B74" s="1963"/>
      <c r="C74" s="1949"/>
      <c r="D74" s="1968"/>
      <c r="E74" s="1964"/>
      <c r="F74" s="1964"/>
      <c r="G74" s="1964"/>
      <c r="H74" s="1964"/>
      <c r="I74" s="1964"/>
      <c r="J74" s="1964"/>
      <c r="K74" s="1968"/>
      <c r="L74" s="1964"/>
      <c r="M74" s="1964"/>
    </row>
    <row r="75" spans="1:13" ht="12.75" hidden="1" x14ac:dyDescent="0.2">
      <c r="A75" s="1962"/>
      <c r="B75" s="1963"/>
      <c r="C75" s="1949"/>
      <c r="D75" s="1968"/>
      <c r="E75" s="1964"/>
      <c r="F75" s="1964"/>
      <c r="G75" s="1964"/>
      <c r="H75" s="1964"/>
      <c r="I75" s="1964"/>
      <c r="J75" s="1964"/>
      <c r="K75" s="1968"/>
      <c r="L75" s="1964"/>
      <c r="M75" s="1964"/>
    </row>
    <row r="76" spans="1:13" ht="12.75" hidden="1" x14ac:dyDescent="0.2">
      <c r="A76" s="1962"/>
      <c r="B76" s="1963"/>
      <c r="C76" s="1949"/>
      <c r="D76" s="1968"/>
      <c r="E76" s="1964"/>
      <c r="F76" s="1964"/>
      <c r="G76" s="1964"/>
      <c r="H76" s="1964"/>
      <c r="I76" s="1964"/>
      <c r="J76" s="1964"/>
      <c r="K76" s="1968"/>
      <c r="L76" s="1964"/>
      <c r="M76" s="1964"/>
    </row>
    <row r="77" spans="1:13" ht="12.75" hidden="1" x14ac:dyDescent="0.2">
      <c r="A77" s="1962"/>
      <c r="B77" s="1963"/>
      <c r="C77" s="1949"/>
      <c r="D77" s="1968"/>
      <c r="E77" s="1964"/>
      <c r="F77" s="1964"/>
      <c r="G77" s="1964"/>
      <c r="H77" s="1964"/>
      <c r="I77" s="1964"/>
      <c r="J77" s="1964"/>
      <c r="K77" s="1968"/>
      <c r="L77" s="1964"/>
      <c r="M77" s="1964"/>
    </row>
    <row r="78" spans="1:13" ht="12.75" hidden="1" x14ac:dyDescent="0.2">
      <c r="A78" s="1962"/>
      <c r="B78" s="1963"/>
      <c r="C78" s="1949"/>
      <c r="D78" s="1968"/>
      <c r="E78" s="1964"/>
      <c r="F78" s="1964"/>
      <c r="G78" s="1964"/>
      <c r="H78" s="1964"/>
      <c r="I78" s="1964"/>
      <c r="J78" s="1964"/>
      <c r="K78" s="1968"/>
      <c r="L78" s="1964"/>
      <c r="M78" s="1964"/>
    </row>
    <row r="79" spans="1:13" ht="12.75" hidden="1" x14ac:dyDescent="0.2">
      <c r="A79" s="1962"/>
      <c r="B79" s="1963"/>
      <c r="C79" s="1949"/>
      <c r="D79" s="1968"/>
      <c r="E79" s="1964"/>
      <c r="F79" s="1964"/>
      <c r="G79" s="1964"/>
      <c r="H79" s="1964"/>
      <c r="I79" s="1964"/>
      <c r="J79" s="1964"/>
      <c r="K79" s="1968"/>
      <c r="L79" s="1964"/>
      <c r="M79" s="1964"/>
    </row>
    <row r="80" spans="1:13" ht="12.75" hidden="1" x14ac:dyDescent="0.2">
      <c r="A80" s="1962"/>
      <c r="B80" s="1963"/>
      <c r="C80" s="1949"/>
      <c r="D80" s="1968"/>
      <c r="E80" s="1964"/>
      <c r="F80" s="1964"/>
      <c r="G80" s="1964"/>
      <c r="H80" s="1964"/>
      <c r="I80" s="1964"/>
      <c r="J80" s="1964"/>
      <c r="K80" s="1968"/>
      <c r="L80" s="1964"/>
      <c r="M80" s="1964"/>
    </row>
    <row r="81" spans="1:13" ht="12.75" hidden="1" x14ac:dyDescent="0.2">
      <c r="A81" s="1962"/>
      <c r="B81" s="1963"/>
      <c r="C81" s="1949"/>
      <c r="D81" s="1968"/>
      <c r="E81" s="1964"/>
      <c r="F81" s="1964"/>
      <c r="G81" s="1964"/>
      <c r="H81" s="1964"/>
      <c r="I81" s="1964"/>
      <c r="J81" s="1964"/>
      <c r="K81" s="1968"/>
      <c r="L81" s="1964"/>
      <c r="M81" s="1964"/>
    </row>
    <row r="82" spans="1:13" ht="12.75" hidden="1" x14ac:dyDescent="0.2">
      <c r="A82" s="1962"/>
      <c r="B82" s="1963"/>
      <c r="C82" s="1949"/>
      <c r="D82" s="1968"/>
      <c r="E82" s="1964"/>
      <c r="F82" s="1964"/>
      <c r="G82" s="1964"/>
      <c r="H82" s="1964"/>
      <c r="I82" s="1964"/>
      <c r="J82" s="1964"/>
      <c r="K82" s="1968"/>
      <c r="L82" s="1964"/>
      <c r="M82" s="1964"/>
    </row>
    <row r="83" spans="1:13" ht="12.75" hidden="1" x14ac:dyDescent="0.2">
      <c r="A83" s="1962"/>
      <c r="B83" s="1963"/>
      <c r="C83" s="1949"/>
      <c r="D83" s="1968"/>
      <c r="E83" s="1964"/>
      <c r="F83" s="1964"/>
      <c r="G83" s="1964"/>
      <c r="H83" s="1964"/>
      <c r="I83" s="1964"/>
      <c r="J83" s="1964"/>
      <c r="K83" s="1968"/>
      <c r="L83" s="1964"/>
      <c r="M83" s="1964"/>
    </row>
    <row r="84" spans="1:13" ht="12.75" hidden="1" x14ac:dyDescent="0.2">
      <c r="A84" s="1962"/>
      <c r="B84" s="1963"/>
      <c r="C84" s="1949"/>
      <c r="D84" s="1968"/>
      <c r="E84" s="1964"/>
      <c r="F84" s="1964"/>
      <c r="G84" s="1964"/>
      <c r="H84" s="1964"/>
      <c r="I84" s="1964"/>
      <c r="J84" s="1964"/>
      <c r="K84" s="1968"/>
      <c r="L84" s="1964"/>
      <c r="M84" s="1964"/>
    </row>
    <row r="85" spans="1:13" ht="12.75" hidden="1" x14ac:dyDescent="0.2">
      <c r="A85" s="1962"/>
      <c r="B85" s="1963"/>
      <c r="C85" s="1949"/>
      <c r="D85" s="1968"/>
      <c r="E85" s="1964"/>
      <c r="F85" s="1964"/>
      <c r="G85" s="1964"/>
      <c r="H85" s="1964"/>
      <c r="I85" s="1964"/>
      <c r="J85" s="1964"/>
      <c r="K85" s="1968"/>
      <c r="L85" s="1964"/>
      <c r="M85" s="1964"/>
    </row>
    <row r="86" spans="1:13" ht="12.75" hidden="1" x14ac:dyDescent="0.2">
      <c r="A86" s="1962"/>
      <c r="B86" s="1963"/>
      <c r="C86" s="1949"/>
      <c r="D86" s="1968"/>
      <c r="E86" s="1964"/>
      <c r="F86" s="1964"/>
      <c r="G86" s="1964"/>
      <c r="H86" s="1964"/>
      <c r="I86" s="1964"/>
      <c r="J86" s="1964"/>
      <c r="K86" s="1968"/>
      <c r="L86" s="1964"/>
      <c r="M86" s="1964"/>
    </row>
    <row r="87" spans="1:13" ht="12.75" hidden="1" x14ac:dyDescent="0.2">
      <c r="A87" s="1962"/>
      <c r="B87" s="1963"/>
      <c r="C87" s="1949"/>
      <c r="D87" s="1968"/>
      <c r="E87" s="1964"/>
      <c r="F87" s="1964"/>
      <c r="G87" s="1964"/>
      <c r="H87" s="1964"/>
      <c r="I87" s="1964"/>
      <c r="J87" s="1964"/>
      <c r="K87" s="1968"/>
      <c r="L87" s="1964"/>
      <c r="M87" s="1964"/>
    </row>
    <row r="88" spans="1:13" ht="12.75" hidden="1" x14ac:dyDescent="0.2">
      <c r="A88" s="1962"/>
      <c r="B88" s="1963"/>
      <c r="C88" s="1949"/>
      <c r="D88" s="1968"/>
      <c r="E88" s="1964"/>
      <c r="F88" s="1964"/>
      <c r="G88" s="1964"/>
      <c r="H88" s="1964"/>
      <c r="I88" s="1964"/>
      <c r="J88" s="1964"/>
      <c r="K88" s="1968"/>
      <c r="L88" s="1964"/>
      <c r="M88" s="1964"/>
    </row>
    <row r="89" spans="1:13" ht="12.75" hidden="1" x14ac:dyDescent="0.2">
      <c r="A89" s="1980"/>
      <c r="B89" s="1963"/>
      <c r="C89" s="1949"/>
      <c r="D89" s="1961"/>
      <c r="E89" s="1964"/>
      <c r="F89" s="1964"/>
      <c r="G89" s="1964"/>
      <c r="H89" s="1964"/>
      <c r="I89" s="1964"/>
      <c r="J89" s="1964"/>
      <c r="K89" s="1969"/>
      <c r="L89" s="1964"/>
      <c r="M89" s="1964"/>
    </row>
    <row r="90" spans="1:13" ht="12.75" hidden="1" x14ac:dyDescent="0.2">
      <c r="A90" s="1962" t="s">
        <v>2131</v>
      </c>
      <c r="B90" s="1963">
        <v>84.388999999999996</v>
      </c>
      <c r="C90" s="1949" t="s">
        <v>2132</v>
      </c>
      <c r="D90" s="1961"/>
      <c r="E90" s="1964"/>
      <c r="F90" s="1964"/>
      <c r="G90" s="1964"/>
      <c r="H90" s="1964"/>
      <c r="I90" s="1964"/>
      <c r="J90" s="1964">
        <v>0</v>
      </c>
      <c r="K90" s="1969"/>
      <c r="L90" s="1964">
        <f>J90+H90+G90</f>
        <v>0</v>
      </c>
      <c r="M90" s="1967"/>
    </row>
    <row r="91" spans="1:13" ht="12.75" hidden="1" x14ac:dyDescent="0.2">
      <c r="A91" s="1980"/>
      <c r="B91" s="1963"/>
      <c r="C91" s="1949"/>
      <c r="D91" s="1961"/>
      <c r="E91" s="1964"/>
      <c r="F91" s="1964"/>
      <c r="G91" s="1964"/>
      <c r="H91" s="1964"/>
      <c r="I91" s="1964"/>
      <c r="J91" s="1964"/>
      <c r="K91" s="1969"/>
      <c r="L91" s="1964"/>
      <c r="M91" s="1964"/>
    </row>
    <row r="92" spans="1:13" ht="12.75" hidden="1" x14ac:dyDescent="0.2">
      <c r="A92" s="1962" t="s">
        <v>2133</v>
      </c>
      <c r="B92" s="1963">
        <v>84.01</v>
      </c>
      <c r="C92" s="1949"/>
      <c r="D92" s="1961"/>
      <c r="E92" s="1964"/>
      <c r="F92" s="1964"/>
      <c r="G92" s="1964"/>
      <c r="H92" s="1964"/>
      <c r="I92" s="1964"/>
      <c r="J92" s="1964"/>
      <c r="K92" s="1969"/>
      <c r="L92" s="1964">
        <f>J92+H92+G92</f>
        <v>0</v>
      </c>
      <c r="M92" s="1981"/>
    </row>
    <row r="93" spans="1:13" ht="12.75" hidden="1" x14ac:dyDescent="0.2">
      <c r="A93" s="1980"/>
      <c r="B93" s="1963"/>
      <c r="C93" s="1949"/>
      <c r="D93" s="1961"/>
      <c r="E93" s="1964"/>
      <c r="F93" s="1964"/>
      <c r="G93" s="1964"/>
      <c r="H93" s="1964"/>
      <c r="I93" s="1964"/>
      <c r="J93" s="1964"/>
      <c r="K93" s="1969"/>
      <c r="L93" s="1966"/>
      <c r="M93" s="1964"/>
    </row>
    <row r="94" spans="1:13" ht="12.75" hidden="1" x14ac:dyDescent="0.2">
      <c r="A94" s="1962" t="s">
        <v>2134</v>
      </c>
      <c r="B94" s="1963">
        <v>84.027000000000001</v>
      </c>
      <c r="C94" s="1949" t="s">
        <v>2135</v>
      </c>
      <c r="D94" s="1961"/>
      <c r="E94" s="1964"/>
      <c r="F94" s="1964"/>
      <c r="G94" s="1964"/>
      <c r="H94" s="1964"/>
      <c r="I94" s="1964"/>
      <c r="J94" s="1964"/>
      <c r="K94" s="1969"/>
      <c r="L94" s="1964">
        <f>J94+H94+G94</f>
        <v>0</v>
      </c>
      <c r="M94" s="1967"/>
    </row>
    <row r="95" spans="1:13" ht="12.75" hidden="1" x14ac:dyDescent="0.2">
      <c r="A95" s="1962" t="s">
        <v>2134</v>
      </c>
      <c r="B95" s="1963">
        <v>84.027000000000001</v>
      </c>
      <c r="C95" s="1949" t="s">
        <v>2136</v>
      </c>
      <c r="D95" s="1961"/>
      <c r="E95" s="1964"/>
      <c r="F95" s="1964"/>
      <c r="G95" s="1964"/>
      <c r="H95" s="1964"/>
      <c r="I95" s="1964"/>
      <c r="J95" s="1964"/>
      <c r="K95" s="1969"/>
      <c r="L95" s="1964">
        <f>J95+H95+G95</f>
        <v>0</v>
      </c>
      <c r="M95" s="1967"/>
    </row>
    <row r="96" spans="1:13" ht="12.75" hidden="1" x14ac:dyDescent="0.2">
      <c r="A96" s="1962" t="s">
        <v>2134</v>
      </c>
      <c r="B96" s="1963" t="s">
        <v>2137</v>
      </c>
      <c r="C96" s="1949" t="s">
        <v>2138</v>
      </c>
      <c r="D96" s="1961"/>
      <c r="E96" s="1964"/>
      <c r="F96" s="1964"/>
      <c r="G96" s="1964"/>
      <c r="H96" s="1964"/>
      <c r="I96" s="1964"/>
      <c r="J96" s="1964"/>
      <c r="K96" s="1969"/>
      <c r="L96" s="1964"/>
      <c r="M96" s="1967"/>
    </row>
    <row r="97" spans="1:13" ht="12.75" hidden="1" x14ac:dyDescent="0.2">
      <c r="A97" s="1962" t="s">
        <v>2134</v>
      </c>
      <c r="B97" s="1963" t="s">
        <v>2137</v>
      </c>
      <c r="C97" s="1949" t="s">
        <v>2138</v>
      </c>
      <c r="D97" s="1961"/>
      <c r="E97" s="1964"/>
      <c r="F97" s="1964"/>
      <c r="G97" s="1964"/>
      <c r="H97" s="1964"/>
      <c r="I97" s="1964"/>
      <c r="J97" s="1964"/>
      <c r="K97" s="1969"/>
      <c r="L97" s="1964">
        <f>J97+H97+G97</f>
        <v>0</v>
      </c>
      <c r="M97" s="1967"/>
    </row>
    <row r="98" spans="1:13" ht="12.75" hidden="1" x14ac:dyDescent="0.2">
      <c r="A98" s="1962"/>
      <c r="B98" s="1963"/>
      <c r="C98" s="1949"/>
      <c r="D98" s="1961"/>
      <c r="E98" s="1964"/>
      <c r="F98" s="1964"/>
      <c r="G98" s="1964"/>
      <c r="H98" s="1964"/>
      <c r="I98" s="1964"/>
      <c r="J98" s="1964"/>
      <c r="K98" s="1969"/>
      <c r="L98" s="1966"/>
      <c r="M98" s="1967"/>
    </row>
    <row r="99" spans="1:13" ht="12.75" hidden="1" x14ac:dyDescent="0.2">
      <c r="A99" s="1962" t="s">
        <v>2139</v>
      </c>
      <c r="B99" s="1963" t="s">
        <v>2140</v>
      </c>
      <c r="C99" s="1949" t="s">
        <v>2141</v>
      </c>
      <c r="D99" s="1961"/>
      <c r="E99" s="1964"/>
      <c r="F99" s="1964"/>
      <c r="G99" s="1964"/>
      <c r="H99" s="1964"/>
      <c r="I99" s="1964"/>
      <c r="J99" s="1964"/>
      <c r="K99" s="1969"/>
      <c r="L99" s="1964">
        <f>J99+H99+G99</f>
        <v>0</v>
      </c>
      <c r="M99" s="1967"/>
    </row>
    <row r="100" spans="1:13" ht="12.75" hidden="1" x14ac:dyDescent="0.2">
      <c r="A100" s="1962" t="s">
        <v>2139</v>
      </c>
      <c r="B100" s="1963" t="s">
        <v>2140</v>
      </c>
      <c r="C100" s="1949" t="s">
        <v>2142</v>
      </c>
      <c r="D100" s="1961"/>
      <c r="E100" s="1964"/>
      <c r="F100" s="1964"/>
      <c r="G100" s="1964"/>
      <c r="H100" s="1964"/>
      <c r="I100" s="1964"/>
      <c r="J100" s="1964"/>
      <c r="K100" s="1969"/>
      <c r="L100" s="1964">
        <f>J100+H100+G100</f>
        <v>0</v>
      </c>
      <c r="M100" s="1967"/>
    </row>
    <row r="101" spans="1:13" ht="12.75" hidden="1" x14ac:dyDescent="0.2">
      <c r="A101" s="1962"/>
      <c r="B101" s="1963"/>
      <c r="C101" s="1949"/>
      <c r="D101" s="1961"/>
      <c r="E101" s="1964"/>
      <c r="F101" s="1964"/>
      <c r="G101" s="1964"/>
      <c r="H101" s="1964"/>
      <c r="I101" s="1964"/>
      <c r="J101" s="1964"/>
      <c r="K101" s="1969"/>
      <c r="L101" s="1964"/>
      <c r="M101" s="1967"/>
    </row>
    <row r="102" spans="1:13" ht="12.75" x14ac:dyDescent="0.2">
      <c r="A102" s="1980" t="s">
        <v>758</v>
      </c>
      <c r="B102" s="1963">
        <v>84.367000000000004</v>
      </c>
      <c r="C102" s="1949" t="s">
        <v>2143</v>
      </c>
      <c r="D102" s="1979"/>
      <c r="E102" s="1964">
        <v>24124</v>
      </c>
      <c r="F102" s="1964">
        <v>772</v>
      </c>
      <c r="G102" s="1964">
        <v>24896</v>
      </c>
      <c r="H102" s="1964"/>
      <c r="I102" s="1964"/>
      <c r="J102" s="1964"/>
      <c r="K102" s="1969"/>
      <c r="L102" s="1964">
        <f>J102+H102+G102</f>
        <v>24896</v>
      </c>
      <c r="M102" s="1964">
        <v>27974</v>
      </c>
    </row>
    <row r="103" spans="1:13" ht="12.75" x14ac:dyDescent="0.2">
      <c r="A103" s="1980" t="s">
        <v>758</v>
      </c>
      <c r="B103" s="1963">
        <v>84.367000000000004</v>
      </c>
      <c r="C103" s="1949" t="s">
        <v>2144</v>
      </c>
      <c r="D103" s="1961"/>
      <c r="E103" s="1964"/>
      <c r="F103" s="1964">
        <v>20664</v>
      </c>
      <c r="G103" s="1964"/>
      <c r="H103" s="1964">
        <v>30211</v>
      </c>
      <c r="I103" s="1964"/>
      <c r="J103" s="1964">
        <v>0</v>
      </c>
      <c r="K103" s="1968" t="s">
        <v>2107</v>
      </c>
      <c r="L103" s="1964">
        <f>J103+H103+G103</f>
        <v>30211</v>
      </c>
      <c r="M103" s="1964">
        <v>33961</v>
      </c>
    </row>
    <row r="104" spans="1:13" ht="12.75" x14ac:dyDescent="0.2">
      <c r="A104" s="1980"/>
      <c r="B104" s="1963"/>
      <c r="C104" s="1949"/>
      <c r="D104" s="1961"/>
      <c r="E104" s="1964"/>
      <c r="F104" s="1964"/>
      <c r="G104" s="1964"/>
      <c r="H104" s="1964"/>
      <c r="I104" s="1964"/>
      <c r="J104" s="1964"/>
      <c r="K104" s="1969"/>
      <c r="L104" s="1964"/>
      <c r="M104" s="1964"/>
    </row>
    <row r="105" spans="1:13" ht="12.75" hidden="1" x14ac:dyDescent="0.2">
      <c r="A105" s="1980"/>
      <c r="B105" s="1963"/>
      <c r="C105" s="1949"/>
      <c r="D105" s="1961"/>
      <c r="E105" s="1964"/>
      <c r="F105" s="1964"/>
      <c r="G105" s="1964"/>
      <c r="H105" s="1964"/>
      <c r="I105" s="1964"/>
      <c r="J105" s="1964"/>
      <c r="K105" s="1969"/>
      <c r="L105" s="1964"/>
      <c r="M105" s="1964"/>
    </row>
    <row r="106" spans="1:13" ht="12.75" hidden="1" x14ac:dyDescent="0.2">
      <c r="A106" s="1980" t="s">
        <v>2145</v>
      </c>
      <c r="B106" s="1963"/>
      <c r="C106" s="1949" t="s">
        <v>2146</v>
      </c>
      <c r="D106" s="1961"/>
      <c r="E106" s="1964"/>
      <c r="F106" s="1964"/>
      <c r="G106" s="1964"/>
      <c r="H106" s="1964"/>
      <c r="I106" s="1964"/>
      <c r="J106" s="1964"/>
      <c r="K106" s="1968"/>
      <c r="L106" s="1964"/>
      <c r="M106" s="1964"/>
    </row>
    <row r="107" spans="1:13" ht="12.75" hidden="1" x14ac:dyDescent="0.2">
      <c r="A107" s="1980"/>
      <c r="B107" s="1963"/>
      <c r="C107" s="1949"/>
      <c r="D107" s="1961"/>
      <c r="E107" s="1964"/>
      <c r="F107" s="1964"/>
      <c r="G107" s="1964"/>
      <c r="H107" s="1964"/>
      <c r="I107" s="1964"/>
      <c r="J107" s="1964"/>
      <c r="K107" s="1969"/>
      <c r="L107" s="1964"/>
      <c r="M107" s="1964"/>
    </row>
    <row r="108" spans="1:13" ht="12.75" x14ac:dyDescent="0.2">
      <c r="A108" s="1982" t="s">
        <v>2147</v>
      </c>
      <c r="B108" s="1963"/>
      <c r="C108" s="1949"/>
      <c r="D108" s="1961"/>
      <c r="E108" s="1964"/>
      <c r="F108" s="1964"/>
      <c r="G108" s="1964"/>
      <c r="H108" s="1964"/>
      <c r="I108" s="1964"/>
      <c r="J108" s="1964"/>
      <c r="K108" s="1969"/>
      <c r="L108" s="1964"/>
      <c r="M108" s="1964"/>
    </row>
    <row r="109" spans="1:13" ht="12.75" x14ac:dyDescent="0.2">
      <c r="A109" s="1982" t="s">
        <v>2148</v>
      </c>
      <c r="B109" s="1963"/>
      <c r="C109" s="1949"/>
      <c r="D109" s="1961"/>
      <c r="E109" s="1964"/>
      <c r="F109" s="1964"/>
      <c r="G109" s="1964"/>
      <c r="H109" s="1964"/>
      <c r="I109" s="1964"/>
      <c r="J109" s="1964"/>
      <c r="K109" s="1969"/>
      <c r="L109" s="1964"/>
      <c r="M109" s="1964"/>
    </row>
    <row r="110" spans="1:13" ht="12.75" x14ac:dyDescent="0.2">
      <c r="A110" s="1982" t="s">
        <v>2149</v>
      </c>
      <c r="B110" s="1963"/>
      <c r="C110" s="1949"/>
      <c r="D110" s="1961"/>
      <c r="E110" s="1964"/>
      <c r="F110" s="1964"/>
      <c r="G110" s="1964"/>
      <c r="H110" s="1964"/>
      <c r="I110" s="1964"/>
      <c r="J110" s="1964"/>
      <c r="K110" s="1969"/>
      <c r="L110" s="1964"/>
      <c r="M110" s="1964"/>
    </row>
    <row r="111" spans="1:13" ht="12.75" x14ac:dyDescent="0.2">
      <c r="A111" s="1980" t="s">
        <v>2150</v>
      </c>
      <c r="B111" s="1963">
        <v>84.364999999999995</v>
      </c>
      <c r="C111" s="1949" t="s">
        <v>2151</v>
      </c>
      <c r="D111" s="1961"/>
      <c r="E111" s="1964">
        <v>10202</v>
      </c>
      <c r="F111" s="1964"/>
      <c r="G111" s="1964">
        <v>10202</v>
      </c>
      <c r="H111" s="1964"/>
      <c r="I111" s="1964"/>
      <c r="J111" s="1964"/>
      <c r="L111" s="1964">
        <f>J111+H111+G111</f>
        <v>10202</v>
      </c>
      <c r="M111" s="1981">
        <v>11693</v>
      </c>
    </row>
    <row r="112" spans="1:13" ht="12.75" x14ac:dyDescent="0.2">
      <c r="A112" s="1980" t="s">
        <v>2150</v>
      </c>
      <c r="B112" s="1963">
        <v>84.364999999999995</v>
      </c>
      <c r="C112" s="1949" t="s">
        <v>2152</v>
      </c>
      <c r="D112" s="1961"/>
      <c r="E112" s="1964"/>
      <c r="F112" s="1964">
        <v>3159</v>
      </c>
      <c r="G112" s="1964"/>
      <c r="H112" s="1964">
        <v>3159</v>
      </c>
      <c r="I112" s="1964"/>
      <c r="J112" s="1964"/>
      <c r="K112" s="1968"/>
      <c r="L112" s="1964">
        <f>J112+H112+G112</f>
        <v>3159</v>
      </c>
      <c r="M112" s="1981">
        <v>8921</v>
      </c>
    </row>
    <row r="113" spans="1:13" ht="12.75" x14ac:dyDescent="0.2">
      <c r="A113" s="1980"/>
      <c r="B113" s="1963"/>
      <c r="C113" s="1949"/>
      <c r="D113" s="1961"/>
      <c r="E113" s="1964"/>
      <c r="F113" s="1964"/>
      <c r="G113" s="1964"/>
      <c r="H113" s="1964"/>
      <c r="I113" s="1964"/>
      <c r="J113" s="1964"/>
      <c r="K113" s="1969"/>
      <c r="L113" s="1964"/>
      <c r="M113" s="1964"/>
    </row>
    <row r="114" spans="1:13" ht="12.75" x14ac:dyDescent="0.2">
      <c r="A114" s="1982" t="s">
        <v>2147</v>
      </c>
      <c r="B114" s="1963"/>
      <c r="C114" s="1949"/>
      <c r="D114" s="1961"/>
      <c r="E114" s="1964"/>
      <c r="F114" s="1964"/>
      <c r="G114" s="1964"/>
      <c r="H114" s="1964"/>
      <c r="I114" s="1964"/>
      <c r="J114" s="1964"/>
      <c r="K114" s="1969"/>
      <c r="L114" s="1966"/>
      <c r="M114" s="1964"/>
    </row>
    <row r="115" spans="1:13" ht="12.75" x14ac:dyDescent="0.2">
      <c r="A115" s="1982" t="s">
        <v>2153</v>
      </c>
      <c r="B115" s="1963"/>
      <c r="C115" s="1949"/>
      <c r="D115" s="1961"/>
      <c r="E115" s="1964"/>
      <c r="F115" s="1964"/>
      <c r="G115" s="1964"/>
      <c r="H115" s="1964"/>
      <c r="I115" s="1964"/>
      <c r="J115" s="1964"/>
      <c r="K115" s="1969"/>
      <c r="L115" s="1966"/>
      <c r="M115" s="1964"/>
    </row>
    <row r="116" spans="1:13" ht="12.75" x14ac:dyDescent="0.2">
      <c r="A116" s="1982" t="s">
        <v>2154</v>
      </c>
      <c r="B116" s="1963"/>
      <c r="C116" s="1949"/>
      <c r="D116" s="1961"/>
      <c r="E116" s="1964"/>
      <c r="F116" s="1964"/>
      <c r="G116" s="1964"/>
      <c r="H116" s="1964"/>
      <c r="I116" s="1964"/>
      <c r="J116" s="1964"/>
      <c r="K116" s="1969"/>
      <c r="L116" s="1966"/>
      <c r="M116" s="1964"/>
    </row>
    <row r="117" spans="1:13" ht="19.5" customHeight="1" x14ac:dyDescent="0.2">
      <c r="A117" s="1980" t="s">
        <v>2155</v>
      </c>
      <c r="B117" s="1963">
        <v>84.027000000000001</v>
      </c>
      <c r="C117" s="1949" t="s">
        <v>2156</v>
      </c>
      <c r="D117" s="1961"/>
      <c r="E117" s="1964">
        <v>158790</v>
      </c>
      <c r="F117" s="1964"/>
      <c r="G117" s="1964">
        <v>158790</v>
      </c>
      <c r="H117" s="1964"/>
      <c r="I117" s="1964"/>
      <c r="J117" s="1964">
        <v>0</v>
      </c>
      <c r="K117" s="1969"/>
      <c r="L117" s="1966">
        <f>+G117+H117+J117</f>
        <v>158790</v>
      </c>
      <c r="M117" s="1964">
        <v>158790</v>
      </c>
    </row>
    <row r="118" spans="1:13" ht="15" customHeight="1" x14ac:dyDescent="0.35">
      <c r="A118" s="1980" t="s">
        <v>2155</v>
      </c>
      <c r="B118" s="1963">
        <v>84.027000000000001</v>
      </c>
      <c r="C118" s="1949" t="s">
        <v>2157</v>
      </c>
      <c r="D118" s="1961"/>
      <c r="E118" s="1978">
        <v>0</v>
      </c>
      <c r="F118" s="1978">
        <v>124979</v>
      </c>
      <c r="G118" s="1978">
        <v>0</v>
      </c>
      <c r="H118" s="1978">
        <v>124979</v>
      </c>
      <c r="I118" s="1964"/>
      <c r="J118" s="1978">
        <v>0</v>
      </c>
      <c r="K118" s="1969"/>
      <c r="L118" s="1983">
        <f>+G118+H118+J118</f>
        <v>124979</v>
      </c>
      <c r="M118" s="1964">
        <v>124979</v>
      </c>
    </row>
    <row r="119" spans="1:13" ht="19.5" customHeight="1" x14ac:dyDescent="0.35">
      <c r="A119" s="1980"/>
      <c r="B119" s="1963"/>
      <c r="C119" s="1949"/>
      <c r="D119" s="1961"/>
      <c r="E119" s="1978"/>
      <c r="F119" s="1978"/>
      <c r="G119" s="1978"/>
      <c r="H119" s="1978"/>
      <c r="I119" s="1964"/>
      <c r="J119" s="1978"/>
      <c r="K119" s="1969"/>
      <c r="L119" s="1983"/>
      <c r="M119" s="1964"/>
    </row>
    <row r="120" spans="1:13" ht="12.75" x14ac:dyDescent="0.2">
      <c r="A120" s="1980"/>
      <c r="B120" s="1963"/>
      <c r="C120" s="1949"/>
      <c r="D120" s="1961"/>
      <c r="E120" s="1964"/>
      <c r="F120" s="1964"/>
      <c r="G120" s="1964"/>
      <c r="H120" s="1964"/>
      <c r="I120" s="1964"/>
      <c r="J120" s="1964"/>
      <c r="K120" s="1969"/>
      <c r="L120" s="1966"/>
      <c r="M120" s="1964"/>
    </row>
    <row r="121" spans="1:13" ht="15.95" customHeight="1" x14ac:dyDescent="0.2">
      <c r="A121" s="1984" t="s">
        <v>2158</v>
      </c>
      <c r="B121" s="1985"/>
      <c r="C121" s="1947"/>
      <c r="D121" s="1945"/>
      <c r="E121" s="1986">
        <f>SUM(E46:E120)-E50</f>
        <v>342243</v>
      </c>
      <c r="F121" s="1986">
        <f>SUM(F46:F120)-F50</f>
        <v>402292</v>
      </c>
      <c r="G121" s="1986">
        <f>SUM(G46:G120)-G50</f>
        <v>364487</v>
      </c>
      <c r="H121" s="1986">
        <f>SUM(H46:H120)-H50</f>
        <v>434085</v>
      </c>
      <c r="I121" s="1986"/>
      <c r="J121" s="1986">
        <f>SUM(J46:J120)</f>
        <v>0</v>
      </c>
      <c r="K121" s="1986"/>
      <c r="L121" s="1986">
        <f>SUM(L46:L120)-L50</f>
        <v>798572</v>
      </c>
      <c r="M121" s="1987"/>
    </row>
    <row r="122" spans="1:13" ht="12.75" x14ac:dyDescent="0.2">
      <c r="A122" s="1947"/>
      <c r="B122" s="1974"/>
      <c r="C122" s="1946"/>
      <c r="D122" s="1945"/>
      <c r="E122" s="1975"/>
      <c r="F122" s="1975"/>
      <c r="G122" s="1975"/>
      <c r="H122" s="1975"/>
      <c r="I122" s="1975"/>
      <c r="J122" s="1975"/>
      <c r="K122" s="1988"/>
      <c r="L122" s="1989"/>
      <c r="M122" s="1975"/>
    </row>
    <row r="123" spans="1:13" ht="12.75" hidden="1" x14ac:dyDescent="0.2">
      <c r="A123" s="1990" t="s">
        <v>2159</v>
      </c>
      <c r="B123" s="1974"/>
      <c r="C123" s="1946"/>
      <c r="D123" s="1945"/>
      <c r="E123" s="1975"/>
      <c r="F123" s="1975"/>
      <c r="G123" s="1975"/>
      <c r="H123" s="1975"/>
      <c r="I123" s="1975"/>
      <c r="J123" s="1975"/>
      <c r="K123" s="1988"/>
      <c r="L123" s="1989"/>
      <c r="M123" s="1975"/>
    </row>
    <row r="124" spans="1:13" ht="12.75" hidden="1" x14ac:dyDescent="0.2">
      <c r="A124" s="1991" t="s">
        <v>2101</v>
      </c>
      <c r="B124" s="1974"/>
      <c r="C124" s="1946"/>
      <c r="D124" s="1945"/>
      <c r="E124" s="1975"/>
      <c r="F124" s="1975"/>
      <c r="G124" s="1975"/>
      <c r="H124" s="1975"/>
      <c r="I124" s="1975"/>
      <c r="J124" s="1975"/>
      <c r="K124" s="1988"/>
      <c r="L124" s="1989"/>
      <c r="M124" s="1975"/>
    </row>
    <row r="125" spans="1:13" ht="12.75" hidden="1" x14ac:dyDescent="0.2">
      <c r="A125" s="1991" t="s">
        <v>2160</v>
      </c>
      <c r="B125" s="1974"/>
      <c r="C125" s="1946"/>
      <c r="D125" s="1945"/>
      <c r="E125" s="1975"/>
      <c r="F125" s="1975"/>
      <c r="G125" s="1975"/>
      <c r="H125" s="1975"/>
      <c r="I125" s="1975"/>
      <c r="J125" s="1975"/>
      <c r="K125" s="1988"/>
      <c r="L125" s="1989"/>
      <c r="M125" s="1975"/>
    </row>
    <row r="126" spans="1:13" ht="12.75" hidden="1" x14ac:dyDescent="0.2">
      <c r="A126" s="1947"/>
      <c r="B126" s="1974"/>
      <c r="C126" s="1946"/>
      <c r="D126" s="1945"/>
      <c r="E126" s="1975"/>
      <c r="F126" s="1975"/>
      <c r="G126" s="1975"/>
      <c r="H126" s="1975"/>
      <c r="I126" s="1975"/>
      <c r="J126" s="1975"/>
      <c r="K126" s="1988"/>
      <c r="L126" s="1989"/>
      <c r="M126" s="1975"/>
    </row>
    <row r="127" spans="1:13" ht="16.5" hidden="1" customHeight="1" x14ac:dyDescent="0.2">
      <c r="A127" s="1973" t="s">
        <v>2161</v>
      </c>
      <c r="B127" s="1974">
        <v>93.778000000000006</v>
      </c>
      <c r="C127" s="1945" t="s">
        <v>2162</v>
      </c>
      <c r="D127" s="1945"/>
      <c r="E127" s="1986">
        <v>0</v>
      </c>
      <c r="F127" s="1986">
        <v>0</v>
      </c>
      <c r="G127" s="1986">
        <v>0</v>
      </c>
      <c r="H127" s="1986">
        <v>0</v>
      </c>
      <c r="I127" s="1987"/>
      <c r="J127" s="1986">
        <v>0</v>
      </c>
      <c r="K127" s="1992"/>
      <c r="L127" s="1986">
        <f>G127+J127+H127</f>
        <v>0</v>
      </c>
      <c r="M127" s="1988"/>
    </row>
    <row r="128" spans="1:13" ht="15" hidden="1" x14ac:dyDescent="0.2">
      <c r="A128" s="1990" t="s">
        <v>2163</v>
      </c>
      <c r="B128" s="1974"/>
      <c r="C128" s="1947"/>
      <c r="D128" s="1945"/>
      <c r="E128" s="1986">
        <f>SUM(E126:E127)</f>
        <v>0</v>
      </c>
      <c r="F128" s="1986">
        <f>SUM(F124:F127)</f>
        <v>0</v>
      </c>
      <c r="G128" s="1986">
        <f>SUM(G127:G127)</f>
        <v>0</v>
      </c>
      <c r="H128" s="1986">
        <f>SUM(H124:H127)</f>
        <v>0</v>
      </c>
      <c r="I128" s="1986"/>
      <c r="J128" s="1986">
        <f>SUM(J124:J126)</f>
        <v>0</v>
      </c>
      <c r="K128" s="1986"/>
      <c r="L128" s="1986">
        <f>SUM(L124:L127)</f>
        <v>0</v>
      </c>
      <c r="M128" s="1975"/>
    </row>
    <row r="129" spans="1:13" ht="12.75" x14ac:dyDescent="0.2">
      <c r="A129" s="1947"/>
      <c r="B129" s="1974"/>
      <c r="C129" s="1946"/>
      <c r="D129" s="1945"/>
      <c r="E129" s="1975"/>
      <c r="F129" s="1975"/>
      <c r="G129" s="1975"/>
      <c r="H129" s="1975"/>
      <c r="I129" s="1975"/>
      <c r="J129" s="1975"/>
      <c r="K129" s="1988"/>
      <c r="L129" s="1989"/>
      <c r="M129" s="1975"/>
    </row>
    <row r="130" spans="1:13" ht="12.75" x14ac:dyDescent="0.2">
      <c r="A130" s="1990" t="s">
        <v>2164</v>
      </c>
      <c r="B130" s="1974"/>
      <c r="C130" s="1946"/>
      <c r="D130" s="1945"/>
      <c r="E130" s="1975"/>
      <c r="F130" s="1975"/>
      <c r="G130" s="1975"/>
      <c r="H130" s="1975"/>
      <c r="I130" s="1975"/>
      <c r="J130" s="1975"/>
      <c r="K130" s="1988"/>
      <c r="L130" s="1989"/>
      <c r="M130" s="1975"/>
    </row>
    <row r="131" spans="1:13" ht="12.75" x14ac:dyDescent="0.2">
      <c r="A131" s="1991" t="s">
        <v>2101</v>
      </c>
      <c r="B131" s="1974"/>
      <c r="C131" s="1946"/>
      <c r="D131" s="1945"/>
      <c r="E131" s="1975"/>
      <c r="F131" s="1975"/>
      <c r="G131" s="1975"/>
      <c r="H131" s="1975"/>
      <c r="I131" s="1975"/>
      <c r="J131" s="1975"/>
      <c r="K131" s="1988"/>
      <c r="L131" s="1989"/>
      <c r="M131" s="1975"/>
    </row>
    <row r="132" spans="1:13" ht="12.75" x14ac:dyDescent="0.2">
      <c r="A132" s="1991" t="s">
        <v>2165</v>
      </c>
      <c r="B132" s="1974"/>
      <c r="C132" s="1946"/>
      <c r="D132" s="1945"/>
      <c r="E132" s="1975"/>
      <c r="F132" s="1975"/>
      <c r="G132" s="1975"/>
      <c r="H132" s="1975"/>
      <c r="I132" s="1975"/>
      <c r="J132" s="1975"/>
      <c r="K132" s="1988"/>
      <c r="L132" s="1989"/>
      <c r="M132" s="1975"/>
    </row>
    <row r="133" spans="1:13" ht="12.75" x14ac:dyDescent="0.2">
      <c r="A133" s="1973" t="s">
        <v>2166</v>
      </c>
      <c r="B133" s="1974">
        <v>93.778000000000006</v>
      </c>
      <c r="C133" s="1945" t="s">
        <v>2167</v>
      </c>
      <c r="D133" s="1945"/>
      <c r="E133" s="1989">
        <v>8767</v>
      </c>
      <c r="F133" s="1989">
        <v>3059</v>
      </c>
      <c r="G133" s="1989">
        <v>12319</v>
      </c>
      <c r="H133" s="1989"/>
      <c r="I133" s="1987"/>
      <c r="J133" s="1989">
        <v>0</v>
      </c>
      <c r="K133" s="1992"/>
      <c r="L133" s="1989">
        <f>G133+J133+H133</f>
        <v>12319</v>
      </c>
      <c r="M133" s="1988" t="s">
        <v>2104</v>
      </c>
    </row>
    <row r="134" spans="1:13" ht="15" x14ac:dyDescent="0.2">
      <c r="A134" s="1973" t="s">
        <v>2166</v>
      </c>
      <c r="B134" s="1974">
        <v>93.778000000000006</v>
      </c>
      <c r="C134" s="1945" t="s">
        <v>2168</v>
      </c>
      <c r="D134" s="1945"/>
      <c r="E134" s="1986">
        <v>0</v>
      </c>
      <c r="F134" s="1986">
        <v>7908</v>
      </c>
      <c r="G134" s="1986">
        <v>0</v>
      </c>
      <c r="H134" s="1986">
        <v>10774</v>
      </c>
      <c r="I134" s="1987"/>
      <c r="J134" s="1986">
        <v>0</v>
      </c>
      <c r="K134" s="1992"/>
      <c r="L134" s="1986">
        <f>G134+J134+H134</f>
        <v>10774</v>
      </c>
      <c r="M134" s="1988" t="s">
        <v>2104</v>
      </c>
    </row>
    <row r="135" spans="1:13" ht="12.75" x14ac:dyDescent="0.2">
      <c r="A135" s="1991"/>
      <c r="B135" s="1974"/>
      <c r="C135" s="1946"/>
      <c r="D135" s="1945"/>
      <c r="E135" s="1975"/>
      <c r="F135" s="1975"/>
      <c r="G135" s="1975"/>
      <c r="H135" s="1975"/>
      <c r="I135" s="1975"/>
      <c r="J135" s="1975">
        <v>0</v>
      </c>
      <c r="K135" s="1988"/>
      <c r="L135" s="1989"/>
      <c r="M135" s="1975"/>
    </row>
    <row r="136" spans="1:13" ht="18" customHeight="1" x14ac:dyDescent="0.2">
      <c r="A136" s="1990" t="s">
        <v>2169</v>
      </c>
      <c r="B136" s="1974"/>
      <c r="C136" s="1947"/>
      <c r="D136" s="1945"/>
      <c r="E136" s="1986">
        <f>SUM(E133:E135)</f>
        <v>8767</v>
      </c>
      <c r="F136" s="1986">
        <f>SUM(F133:F135)</f>
        <v>10967</v>
      </c>
      <c r="G136" s="1986">
        <f>SUM(G133:G135)</f>
        <v>12319</v>
      </c>
      <c r="H136" s="1986">
        <f>SUM(H133:H135)</f>
        <v>10774</v>
      </c>
      <c r="I136" s="1986"/>
      <c r="J136" s="1986">
        <f>SUM(J131:J135)</f>
        <v>0</v>
      </c>
      <c r="K136" s="1986"/>
      <c r="L136" s="1986">
        <f>SUM(L133:L135)</f>
        <v>23093</v>
      </c>
      <c r="M136" s="1975"/>
    </row>
    <row r="137" spans="1:13" ht="12.75" x14ac:dyDescent="0.2">
      <c r="A137" s="1938"/>
      <c r="B137" s="1938"/>
      <c r="C137" s="1938"/>
      <c r="D137" s="1949"/>
      <c r="E137" s="1964"/>
      <c r="F137" s="1964"/>
      <c r="G137" s="1964"/>
      <c r="H137" s="1964"/>
      <c r="I137" s="1964"/>
      <c r="J137" s="1964"/>
      <c r="K137" s="1969"/>
      <c r="L137" s="1964"/>
      <c r="M137" s="1964"/>
    </row>
    <row r="138" spans="1:13" ht="15.95" customHeight="1" x14ac:dyDescent="0.2">
      <c r="A138" s="1990" t="s">
        <v>2170</v>
      </c>
      <c r="B138" s="1947"/>
      <c r="C138" s="1947"/>
      <c r="D138" s="1945"/>
      <c r="E138" s="1993">
        <f>+E136+E121+E40</f>
        <v>666106</v>
      </c>
      <c r="F138" s="1993">
        <f>+F136+F121+F40</f>
        <v>838696</v>
      </c>
      <c r="G138" s="1993">
        <f>+G136+G121+G40</f>
        <v>727503</v>
      </c>
      <c r="H138" s="1993">
        <f>+H136+H121+H40</f>
        <v>904816</v>
      </c>
      <c r="I138" s="1993"/>
      <c r="J138" s="1993">
        <f>+J136+J121+J40</f>
        <v>0</v>
      </c>
      <c r="K138" s="1993"/>
      <c r="L138" s="1993">
        <f>+L136+L121+L40</f>
        <v>1632319</v>
      </c>
      <c r="M138" s="1975"/>
    </row>
    <row r="139" spans="1:13" s="1947" customFormat="1" ht="15" x14ac:dyDescent="0.35">
      <c r="A139" s="1938"/>
      <c r="B139" s="1938"/>
      <c r="C139" s="1938"/>
      <c r="D139" s="1949"/>
      <c r="E139" s="1994"/>
      <c r="F139" s="1994"/>
      <c r="G139" s="1994"/>
      <c r="H139" s="1994"/>
      <c r="I139" s="1994"/>
      <c r="J139" s="1994"/>
      <c r="K139" s="1994"/>
      <c r="L139" s="1994"/>
      <c r="M139" s="1964"/>
    </row>
    <row r="140" spans="1:13" ht="15" hidden="1" x14ac:dyDescent="0.35">
      <c r="A140" s="1938"/>
      <c r="B140" s="1938"/>
      <c r="C140" s="1938"/>
      <c r="D140" s="1949"/>
      <c r="E140" s="1994"/>
      <c r="F140" s="1994"/>
      <c r="G140" s="1994"/>
      <c r="H140" s="1994"/>
      <c r="I140" s="1994"/>
      <c r="J140" s="1994"/>
      <c r="K140" s="1994"/>
      <c r="L140" s="1994"/>
      <c r="M140" s="1964"/>
    </row>
    <row r="141" spans="1:13" ht="15" x14ac:dyDescent="0.35">
      <c r="A141" s="1938"/>
      <c r="B141" s="1938"/>
      <c r="C141" s="1938"/>
      <c r="D141" s="1949"/>
      <c r="E141" s="1994"/>
      <c r="F141" s="1994"/>
      <c r="G141" s="1994"/>
      <c r="H141" s="1994"/>
      <c r="I141" s="1994"/>
      <c r="J141" s="1994"/>
      <c r="K141" s="1994"/>
      <c r="L141" s="1994"/>
      <c r="M141" s="1964"/>
    </row>
    <row r="142" spans="1:13" ht="12.75" x14ac:dyDescent="0.2">
      <c r="A142" s="1959" t="s">
        <v>2171</v>
      </c>
      <c r="B142" s="1938"/>
      <c r="C142" s="1938"/>
      <c r="D142" s="1949"/>
      <c r="E142" s="1964">
        <f>+E103+E102+E100+E99+E97+E96+E90+E52+E49+E47+E46+E40</f>
        <v>488347</v>
      </c>
      <c r="F142" s="1964">
        <f>+F103+F102+F100+F99+F97+F96+F90+F52+F49+F47+F46+F40</f>
        <v>699591</v>
      </c>
      <c r="G142" s="1964">
        <f>+G103+G102+G100+G99+G97+G96+G90+G52+G49+G47+G46+G40</f>
        <v>546192</v>
      </c>
      <c r="H142" s="1964">
        <f>+H103+H102+H100+H99+H97+H96+H90+H52+H49+H47+H46+H40</f>
        <v>765904</v>
      </c>
      <c r="I142" s="1964">
        <f>+I103+I102+I99+I96+I90+I47+I46+I40</f>
        <v>0</v>
      </c>
      <c r="J142" s="1964">
        <f>+J103+J102+J100+J99+J97+J96+J90+J47+J46+J40</f>
        <v>0</v>
      </c>
      <c r="K142" s="1964"/>
      <c r="L142" s="1964">
        <f>+L103+L102+L100+L99+L97+L96+L90+L52+L49+L47+L46+L40</f>
        <v>1312096</v>
      </c>
      <c r="M142" s="1964"/>
    </row>
    <row r="143" spans="1:13" ht="12.75" x14ac:dyDescent="0.2">
      <c r="A143" s="1959"/>
      <c r="B143" s="1938"/>
      <c r="C143" s="1938"/>
      <c r="D143" s="1949"/>
      <c r="E143" s="1964"/>
      <c r="F143" s="1964"/>
      <c r="G143" s="1964"/>
      <c r="H143" s="1964"/>
      <c r="I143" s="1964"/>
      <c r="J143" s="1964"/>
      <c r="K143" s="1964"/>
      <c r="L143" s="1964"/>
      <c r="M143" s="1964"/>
    </row>
    <row r="144" spans="1:13" ht="15" x14ac:dyDescent="0.35">
      <c r="A144" s="1959" t="s">
        <v>2172</v>
      </c>
      <c r="B144" s="1938"/>
      <c r="C144" s="1938"/>
      <c r="D144" s="1949"/>
      <c r="E144" s="1978">
        <f>+E136+E117+E111</f>
        <v>177759</v>
      </c>
      <c r="F144" s="1978">
        <f>+F136+F117+F118+F111+F112</f>
        <v>139105</v>
      </c>
      <c r="G144" s="1978">
        <f>+G136+G117+G111</f>
        <v>181311</v>
      </c>
      <c r="H144" s="1978">
        <f>+H136+H117+H118+H111+H112</f>
        <v>138912</v>
      </c>
      <c r="I144" s="1978">
        <f>+I136</f>
        <v>0</v>
      </c>
      <c r="J144" s="1978">
        <f>+J136+J117</f>
        <v>0</v>
      </c>
      <c r="K144" s="1978"/>
      <c r="L144" s="1978">
        <f>+G144+H144+J144</f>
        <v>320223</v>
      </c>
      <c r="M144" s="1964"/>
    </row>
    <row r="145" spans="1:13" ht="15" x14ac:dyDescent="0.35">
      <c r="A145" s="1959"/>
      <c r="B145" s="1938"/>
      <c r="C145" s="1938"/>
      <c r="D145" s="1949"/>
      <c r="E145" s="1978"/>
      <c r="F145" s="1978"/>
      <c r="G145" s="1978"/>
      <c r="H145" s="1978"/>
      <c r="I145" s="1978"/>
      <c r="J145" s="1978"/>
      <c r="K145" s="1978"/>
      <c r="L145" s="1978"/>
      <c r="M145" s="1964"/>
    </row>
    <row r="146" spans="1:13" ht="15" x14ac:dyDescent="0.35">
      <c r="A146" s="1959" t="s">
        <v>2170</v>
      </c>
      <c r="B146" s="1938"/>
      <c r="C146" s="1938"/>
      <c r="D146" s="1949"/>
      <c r="E146" s="1994">
        <f>E142+E144</f>
        <v>666106</v>
      </c>
      <c r="F146" s="1994">
        <f>F142+F144</f>
        <v>838696</v>
      </c>
      <c r="G146" s="1994">
        <f>G142+G144</f>
        <v>727503</v>
      </c>
      <c r="H146" s="1994">
        <f>H142+H144</f>
        <v>904816</v>
      </c>
      <c r="I146" s="1994"/>
      <c r="J146" s="1994">
        <f>J142+J144</f>
        <v>0</v>
      </c>
      <c r="K146" s="1994"/>
      <c r="L146" s="1994">
        <f>L142+L144</f>
        <v>1632319</v>
      </c>
      <c r="M146" s="1964"/>
    </row>
    <row r="147" spans="1:13" ht="9.75" customHeight="1" x14ac:dyDescent="0.35">
      <c r="A147" s="1959"/>
      <c r="B147" s="1938"/>
      <c r="C147" s="1938"/>
      <c r="D147" s="1949"/>
      <c r="E147" s="1994"/>
      <c r="F147" s="1994"/>
      <c r="G147" s="1994"/>
      <c r="H147" s="1994"/>
      <c r="I147" s="1994"/>
      <c r="J147" s="1994"/>
      <c r="K147" s="1994"/>
      <c r="L147" s="1994"/>
      <c r="M147" s="1964"/>
    </row>
    <row r="148" spans="1:13" ht="12.75" x14ac:dyDescent="0.2">
      <c r="A148" s="1995" t="s">
        <v>2173</v>
      </c>
      <c r="B148" s="1996"/>
      <c r="C148" s="1938"/>
      <c r="D148" s="1949"/>
      <c r="E148" s="1964"/>
      <c r="F148" s="1964"/>
      <c r="G148" s="1964"/>
      <c r="H148" s="1997"/>
      <c r="I148" s="1964"/>
      <c r="J148" s="1964"/>
      <c r="K148" s="1969"/>
      <c r="L148" s="1964"/>
      <c r="M148" s="1964"/>
    </row>
    <row r="149" spans="1:13" ht="12.75" x14ac:dyDescent="0.2">
      <c r="A149" s="1998" t="s">
        <v>2174</v>
      </c>
      <c r="B149" s="1938"/>
      <c r="C149" s="1938"/>
      <c r="D149" s="1949"/>
      <c r="E149" s="1964"/>
      <c r="F149" s="1964"/>
      <c r="G149" s="1964"/>
      <c r="H149" s="1999"/>
      <c r="I149" s="1964"/>
      <c r="J149" s="1964"/>
      <c r="K149" s="1969"/>
      <c r="L149" s="1964"/>
      <c r="M149" s="1964"/>
    </row>
    <row r="150" spans="1:13" ht="12.75" x14ac:dyDescent="0.2">
      <c r="A150" s="1948" t="s">
        <v>2175</v>
      </c>
      <c r="B150" s="1936"/>
      <c r="C150" s="1936"/>
      <c r="D150" s="2000"/>
      <c r="E150" s="2001"/>
      <c r="F150" s="2001"/>
      <c r="G150" s="2001" t="s">
        <v>1169</v>
      </c>
      <c r="H150" s="2001" t="s">
        <v>1169</v>
      </c>
      <c r="I150" s="2002"/>
      <c r="J150" s="2001" t="s">
        <v>1169</v>
      </c>
      <c r="K150" s="2003"/>
      <c r="L150" s="2001" t="s">
        <v>1169</v>
      </c>
      <c r="M150" s="2001" t="s">
        <v>1169</v>
      </c>
    </row>
    <row r="151" spans="1:13" ht="12.75" x14ac:dyDescent="0.2">
      <c r="A151" s="1944" t="s">
        <v>2176</v>
      </c>
      <c r="B151" s="2004"/>
      <c r="E151" s="2005"/>
      <c r="F151" s="2005"/>
      <c r="G151" s="2005"/>
      <c r="H151" s="2005"/>
      <c r="I151" s="2005"/>
      <c r="J151" s="2005"/>
      <c r="K151" s="2006"/>
      <c r="L151" s="2005"/>
      <c r="M151" s="2005"/>
    </row>
    <row r="152" spans="1:13" s="2009" customFormat="1" ht="13.5" customHeight="1" x14ac:dyDescent="0.2">
      <c r="A152" s="2007" t="s">
        <v>2177</v>
      </c>
      <c r="B152" s="2008"/>
      <c r="C152" s="2008"/>
      <c r="D152" s="2008"/>
      <c r="E152" s="2008"/>
      <c r="F152" s="2008"/>
      <c r="G152" s="2008"/>
      <c r="H152" s="2008"/>
    </row>
    <row r="153" spans="1:13" s="2009" customFormat="1" ht="13.5" customHeight="1" x14ac:dyDescent="0.2">
      <c r="A153" s="2010" t="s">
        <v>2178</v>
      </c>
      <c r="B153" s="2011"/>
      <c r="C153" s="2011"/>
      <c r="D153" s="2011"/>
      <c r="E153" s="2011"/>
      <c r="F153" s="2011"/>
      <c r="G153" s="2011"/>
      <c r="H153" s="2011"/>
    </row>
    <row r="154" spans="1:13" s="2009" customFormat="1" ht="13.5" customHeight="1" x14ac:dyDescent="0.2">
      <c r="A154" s="2007" t="s">
        <v>2179</v>
      </c>
      <c r="B154" s="2008"/>
      <c r="C154" s="2008"/>
      <c r="D154" s="2008"/>
      <c r="E154" s="2008"/>
      <c r="F154" s="2008"/>
      <c r="G154" s="2008"/>
      <c r="H154" s="2008"/>
    </row>
    <row r="155" spans="1:13" s="2009" customFormat="1" ht="13.5" customHeight="1" x14ac:dyDescent="0.2">
      <c r="A155" s="2010" t="s">
        <v>2180</v>
      </c>
      <c r="B155" s="2012"/>
      <c r="C155" s="2012"/>
      <c r="D155" s="2012"/>
      <c r="E155" s="2012"/>
      <c r="F155" s="2012"/>
      <c r="G155" s="2012"/>
      <c r="H155" s="2012"/>
    </row>
    <row r="156" spans="1:13" s="2009" customFormat="1" ht="13.5" customHeight="1" x14ac:dyDescent="0.2">
      <c r="A156" s="2007" t="s">
        <v>2181</v>
      </c>
      <c r="B156" s="2013"/>
      <c r="C156" s="2014"/>
      <c r="D156" s="2014"/>
      <c r="E156" s="2014"/>
      <c r="F156" s="2014"/>
    </row>
    <row r="157" spans="1:13" s="2009" customFormat="1" ht="13.5" customHeight="1" x14ac:dyDescent="0.2">
      <c r="A157" s="2007" t="s">
        <v>2182</v>
      </c>
      <c r="B157" s="2013"/>
      <c r="C157" s="2014"/>
      <c r="D157" s="2014"/>
      <c r="E157" s="2014"/>
      <c r="F157" s="2014"/>
    </row>
    <row r="158" spans="1:13" s="2009" customFormat="1" ht="12" customHeight="1" x14ac:dyDescent="0.2">
      <c r="A158" s="2014" t="s">
        <v>2183</v>
      </c>
      <c r="B158" s="2015"/>
    </row>
    <row r="159" spans="1:13" s="2009" customFormat="1" ht="12" customHeight="1" x14ac:dyDescent="0.2">
      <c r="A159" s="2014" t="s">
        <v>2184</v>
      </c>
      <c r="B159" s="2015"/>
    </row>
    <row r="160" spans="1:13" s="2009" customFormat="1" ht="12" customHeight="1" x14ac:dyDescent="0.2">
      <c r="A160" s="2014" t="s">
        <v>2185</v>
      </c>
      <c r="B160" s="2015"/>
    </row>
    <row r="161" spans="1:6" s="2018" customFormat="1" ht="13.5" customHeight="1" x14ac:dyDescent="0.15">
      <c r="A161" s="2016"/>
      <c r="B161" s="2017"/>
      <c r="D161" s="2019"/>
      <c r="E161" s="2019"/>
      <c r="F161" s="2019"/>
    </row>
  </sheetData>
  <mergeCells count="6">
    <mergeCell ref="A4:M4"/>
    <mergeCell ref="E7:F7"/>
    <mergeCell ref="G7:H7"/>
    <mergeCell ref="A1:M1"/>
    <mergeCell ref="A2:M2"/>
    <mergeCell ref="A3:M3"/>
  </mergeCells>
  <printOptions gridLinesSet="0"/>
  <pageMargins left="0.45" right="0.25" top="0.51" bottom="0" header="0.5" footer="0"/>
  <pageSetup scale="80" fitToHeight="2" orientation="landscape" horizontalDpi="1200" verticalDpi="1200" r:id="rId1"/>
  <headerFooter alignWithMargins="0">
    <oddFooter>&amp;L&amp;"Garamond,Regular"&amp;11See Notes to the Schedule of Federal Awards</oddFooter>
  </headerFooter>
  <rowBreaks count="1" manualBreakCount="1">
    <brk id="11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1" t="s">
        <v>1168</v>
      </c>
      <c r="B2" s="2161"/>
      <c r="C2" s="2161"/>
      <c r="D2" s="2161"/>
      <c r="E2" s="2161"/>
      <c r="F2" s="2161"/>
      <c r="G2" s="2161"/>
      <c r="H2" s="2161"/>
      <c r="I2" s="2161"/>
      <c r="J2" s="21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75" t="s">
        <v>1633</v>
      </c>
      <c r="B35" s="2176"/>
      <c r="C35" s="2176"/>
      <c r="D35" s="2176"/>
      <c r="E35" s="2177"/>
      <c r="F35" s="2177"/>
      <c r="G35" s="2177"/>
      <c r="H35" s="2177"/>
      <c r="I35" s="21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75" t="s">
        <v>313</v>
      </c>
      <c r="B47" s="2178"/>
      <c r="C47" s="2178"/>
      <c r="D47" s="2178"/>
      <c r="E47" s="2179"/>
      <c r="F47" s="2179"/>
      <c r="G47" s="2179"/>
      <c r="H47" s="2179"/>
      <c r="I47" s="21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2"/>
      <c r="C57" s="2183"/>
      <c r="D57" s="2183"/>
      <c r="E57" s="2183"/>
      <c r="F57" s="2183"/>
      <c r="G57" s="2183"/>
      <c r="H57" s="2183"/>
      <c r="I57" s="2183"/>
      <c r="J57" s="2184"/>
    </row>
    <row r="58" spans="1:10" s="181" customFormat="1" x14ac:dyDescent="0.2">
      <c r="A58" s="253"/>
      <c r="B58" s="2185"/>
      <c r="C58" s="2186"/>
      <c r="D58" s="2186"/>
      <c r="E58" s="2186"/>
      <c r="F58" s="2186"/>
      <c r="G58" s="2186"/>
      <c r="H58" s="2186"/>
      <c r="I58" s="2186"/>
      <c r="J58" s="2187"/>
    </row>
    <row r="59" spans="1:10" s="181" customFormat="1" x14ac:dyDescent="0.2">
      <c r="A59" s="253"/>
      <c r="B59" s="2185"/>
      <c r="C59" s="2186"/>
      <c r="D59" s="2186"/>
      <c r="E59" s="2186"/>
      <c r="F59" s="2186"/>
      <c r="G59" s="2186"/>
      <c r="H59" s="2186"/>
      <c r="I59" s="2186"/>
      <c r="J59" s="2187"/>
    </row>
    <row r="60" spans="1:10" s="181" customFormat="1" x14ac:dyDescent="0.2">
      <c r="A60" s="253"/>
      <c r="B60" s="2185"/>
      <c r="C60" s="2186"/>
      <c r="D60" s="2186"/>
      <c r="E60" s="2186"/>
      <c r="F60" s="2186"/>
      <c r="G60" s="2186"/>
      <c r="H60" s="2186"/>
      <c r="I60" s="2186"/>
      <c r="J60" s="2187"/>
    </row>
    <row r="61" spans="1:10" s="181" customFormat="1" x14ac:dyDescent="0.2">
      <c r="A61" s="253"/>
      <c r="B61" s="2185"/>
      <c r="C61" s="2186"/>
      <c r="D61" s="2186"/>
      <c r="E61" s="2186"/>
      <c r="F61" s="2186"/>
      <c r="G61" s="2186"/>
      <c r="H61" s="2186"/>
      <c r="I61" s="2186"/>
      <c r="J61" s="2187"/>
    </row>
    <row r="62" spans="1:10" s="181" customFormat="1" x14ac:dyDescent="0.2">
      <c r="A62" s="253"/>
      <c r="B62" s="2185"/>
      <c r="C62" s="2186"/>
      <c r="D62" s="2186"/>
      <c r="E62" s="2186"/>
      <c r="F62" s="2186"/>
      <c r="G62" s="2186"/>
      <c r="H62" s="2186"/>
      <c r="I62" s="2186"/>
      <c r="J62" s="2187"/>
    </row>
    <row r="63" spans="1:10" s="181" customFormat="1" x14ac:dyDescent="0.2">
      <c r="A63" s="253"/>
      <c r="B63" s="2185"/>
      <c r="C63" s="2186"/>
      <c r="D63" s="2186"/>
      <c r="E63" s="2186"/>
      <c r="F63" s="2186"/>
      <c r="G63" s="2186"/>
      <c r="H63" s="2186"/>
      <c r="I63" s="2186"/>
      <c r="J63" s="2187"/>
    </row>
    <row r="64" spans="1:10" s="181" customFormat="1" x14ac:dyDescent="0.2">
      <c r="A64" s="253"/>
      <c r="B64" s="2185"/>
      <c r="C64" s="2186"/>
      <c r="D64" s="2186"/>
      <c r="E64" s="2186"/>
      <c r="F64" s="2186"/>
      <c r="G64" s="2186"/>
      <c r="H64" s="2186"/>
      <c r="I64" s="2186"/>
      <c r="J64" s="2187"/>
    </row>
    <row r="65" spans="1:10" s="181" customFormat="1" x14ac:dyDescent="0.2">
      <c r="A65" s="253"/>
      <c r="B65" s="2185"/>
      <c r="C65" s="2186"/>
      <c r="D65" s="2186"/>
      <c r="E65" s="2186"/>
      <c r="F65" s="2186"/>
      <c r="G65" s="2186"/>
      <c r="H65" s="2186"/>
      <c r="I65" s="2186"/>
      <c r="J65" s="2187"/>
    </row>
    <row r="66" spans="1:10" s="181" customFormat="1" x14ac:dyDescent="0.2">
      <c r="A66" s="253"/>
      <c r="B66" s="2185"/>
      <c r="C66" s="2186"/>
      <c r="D66" s="2186"/>
      <c r="E66" s="2186"/>
      <c r="F66" s="2186"/>
      <c r="G66" s="2186"/>
      <c r="H66" s="2186"/>
      <c r="I66" s="2186"/>
      <c r="J66" s="2187"/>
    </row>
    <row r="67" spans="1:10" s="181" customFormat="1" ht="9" customHeight="1" x14ac:dyDescent="0.2">
      <c r="A67" s="254"/>
      <c r="B67" s="2188"/>
      <c r="C67" s="2189"/>
      <c r="D67" s="2189"/>
      <c r="E67" s="2189"/>
      <c r="F67" s="2189"/>
      <c r="G67" s="2189"/>
      <c r="H67" s="2189"/>
      <c r="I67" s="2189"/>
      <c r="J67" s="21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5" t="s">
        <v>1323</v>
      </c>
      <c r="B70" s="2178"/>
      <c r="C70" s="2178"/>
      <c r="D70" s="2178"/>
      <c r="E70" s="2179"/>
      <c r="F70" s="2179"/>
      <c r="G70" s="2179"/>
      <c r="H70" s="2179"/>
      <c r="I70" s="21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80" t="s">
        <v>1320</v>
      </c>
      <c r="B83" s="2180"/>
      <c r="C83" s="2180"/>
      <c r="D83" s="21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62" t="s">
        <v>2231</v>
      </c>
      <c r="C102" s="2163"/>
      <c r="D102" s="2163"/>
      <c r="E102" s="2163"/>
      <c r="F102" s="2163"/>
      <c r="G102" s="2163"/>
      <c r="H102" s="2163"/>
      <c r="I102" s="2164"/>
    </row>
    <row r="103" spans="1:9" s="181" customFormat="1" ht="11.25" customHeight="1" x14ac:dyDescent="0.2">
      <c r="A103" s="316"/>
      <c r="B103" s="2165"/>
      <c r="C103" s="2166"/>
      <c r="D103" s="2166"/>
      <c r="E103" s="2166"/>
      <c r="F103" s="2166"/>
      <c r="G103" s="2166"/>
      <c r="H103" s="2166"/>
      <c r="I103" s="2167"/>
    </row>
    <row r="104" spans="1:9" s="181" customFormat="1" ht="11.25" customHeight="1" x14ac:dyDescent="0.2">
      <c r="A104" s="316"/>
      <c r="B104" s="2165"/>
      <c r="C104" s="2166"/>
      <c r="D104" s="2166"/>
      <c r="E104" s="2166"/>
      <c r="F104" s="2166"/>
      <c r="G104" s="2166"/>
      <c r="H104" s="2166"/>
      <c r="I104" s="2167"/>
    </row>
    <row r="105" spans="1:9" s="181" customFormat="1" x14ac:dyDescent="0.2">
      <c r="A105" s="316"/>
      <c r="B105" s="2165"/>
      <c r="C105" s="2166"/>
      <c r="D105" s="2166"/>
      <c r="E105" s="2166"/>
      <c r="F105" s="2166"/>
      <c r="G105" s="2166"/>
      <c r="H105" s="2166"/>
      <c r="I105" s="2167"/>
    </row>
    <row r="106" spans="1:9" s="181" customFormat="1" ht="11.25" customHeight="1" x14ac:dyDescent="0.2">
      <c r="A106" s="316"/>
      <c r="B106" s="2165"/>
      <c r="C106" s="2166"/>
      <c r="D106" s="2166"/>
      <c r="E106" s="2166"/>
      <c r="F106" s="2166"/>
      <c r="G106" s="2166"/>
      <c r="H106" s="2166"/>
      <c r="I106" s="2167"/>
    </row>
    <row r="107" spans="1:9" s="181" customFormat="1" ht="11.25" customHeight="1" x14ac:dyDescent="0.2">
      <c r="A107" s="316"/>
      <c r="B107" s="2165"/>
      <c r="C107" s="2166"/>
      <c r="D107" s="2166"/>
      <c r="E107" s="2166"/>
      <c r="F107" s="2166"/>
      <c r="G107" s="2166"/>
      <c r="H107" s="2166"/>
      <c r="I107" s="2167"/>
    </row>
    <row r="108" spans="1:9" s="181" customFormat="1" ht="11.25" customHeight="1" x14ac:dyDescent="0.2">
      <c r="A108" s="316"/>
      <c r="B108" s="2165"/>
      <c r="C108" s="2166"/>
      <c r="D108" s="2166"/>
      <c r="E108" s="2166"/>
      <c r="F108" s="2166"/>
      <c r="G108" s="2166"/>
      <c r="H108" s="2166"/>
      <c r="I108" s="2167"/>
    </row>
    <row r="109" spans="1:9" s="181" customFormat="1" ht="11.25" customHeight="1" x14ac:dyDescent="0.2">
      <c r="A109" s="316"/>
      <c r="B109" s="2165"/>
      <c r="C109" s="2166"/>
      <c r="D109" s="2166"/>
      <c r="E109" s="2166"/>
      <c r="F109" s="2166"/>
      <c r="G109" s="2166"/>
      <c r="H109" s="2166"/>
      <c r="I109" s="2167"/>
    </row>
    <row r="110" spans="1:9" s="181" customFormat="1" ht="11.25" customHeight="1" x14ac:dyDescent="0.2">
      <c r="A110" s="316"/>
      <c r="B110" s="2165"/>
      <c r="C110" s="2166"/>
      <c r="D110" s="2166"/>
      <c r="E110" s="2166"/>
      <c r="F110" s="2166"/>
      <c r="G110" s="2166"/>
      <c r="H110" s="2166"/>
      <c r="I110" s="2167"/>
    </row>
    <row r="111" spans="1:9" s="181" customFormat="1" ht="11.25" customHeight="1" x14ac:dyDescent="0.2">
      <c r="A111" s="316"/>
      <c r="B111" s="2165"/>
      <c r="C111" s="2166"/>
      <c r="D111" s="2166"/>
      <c r="E111" s="2166"/>
      <c r="F111" s="2166"/>
      <c r="G111" s="2166"/>
      <c r="H111" s="2166"/>
      <c r="I111" s="2167"/>
    </row>
    <row r="112" spans="1:9" s="181" customFormat="1" ht="11.25" customHeight="1" x14ac:dyDescent="0.2">
      <c r="A112" s="316"/>
      <c r="B112" s="2168"/>
      <c r="C112" s="2169"/>
      <c r="D112" s="2169"/>
      <c r="E112" s="2169"/>
      <c r="F112" s="2169"/>
      <c r="G112" s="2169"/>
      <c r="H112" s="2169"/>
      <c r="I112" s="21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1" t="s">
        <v>2232</v>
      </c>
      <c r="D114" s="21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2" t="s">
        <v>1330</v>
      </c>
      <c r="D117" s="2173"/>
      <c r="E117" s="2174"/>
      <c r="F117" s="2174"/>
      <c r="G117" s="2174"/>
      <c r="H117" s="2174"/>
      <c r="I117" s="304"/>
    </row>
    <row r="118" spans="1:9" s="181" customFormat="1" ht="24" customHeight="1" x14ac:dyDescent="0.2">
      <c r="A118" s="316"/>
      <c r="B118" s="316"/>
      <c r="C118" s="316"/>
      <c r="D118" s="323" t="s">
        <v>2256</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57" t="str">
        <f>'Single Audit Cover'!A7</f>
        <v>Silvis SD 34</v>
      </c>
      <c r="B1" s="2557"/>
      <c r="C1" s="2557"/>
      <c r="D1" s="2557"/>
      <c r="E1" s="2557"/>
      <c r="F1" s="2557"/>
    </row>
    <row r="2" spans="1:7" ht="13.5" customHeight="1" x14ac:dyDescent="0.2">
      <c r="A2" s="2541">
        <f>'Single Audit Cover'!E7</f>
        <v>49081034002</v>
      </c>
      <c r="B2" s="2541"/>
      <c r="C2" s="2541"/>
      <c r="D2" s="2541"/>
      <c r="E2" s="2541"/>
      <c r="F2" s="2541"/>
      <c r="G2" s="1269"/>
    </row>
    <row r="3" spans="1:7" ht="15.75" customHeight="1" x14ac:dyDescent="0.2">
      <c r="A3" s="2558" t="s">
        <v>1271</v>
      </c>
      <c r="B3" s="2558"/>
      <c r="C3" s="2558"/>
      <c r="D3" s="2558"/>
      <c r="E3" s="2558"/>
      <c r="F3" s="2558"/>
    </row>
    <row r="4" spans="1:7" ht="13.5" customHeight="1" x14ac:dyDescent="0.2">
      <c r="A4" s="2559" t="str">
        <f>'Single Audit Cover'!A4</f>
        <v>Year Ending June 30, 2019</v>
      </c>
      <c r="B4" s="2559"/>
      <c r="C4" s="2559"/>
      <c r="D4" s="2559"/>
      <c r="E4" s="2559"/>
      <c r="F4" s="2559"/>
    </row>
    <row r="5" spans="1:7" ht="8.25" customHeight="1" x14ac:dyDescent="0.2">
      <c r="C5" s="317"/>
      <c r="D5" s="317"/>
    </row>
    <row r="6" spans="1:7" ht="13.5" customHeight="1" x14ac:dyDescent="0.2">
      <c r="A6" s="1270" t="s">
        <v>1728</v>
      </c>
      <c r="C6" s="317"/>
      <c r="D6" s="317"/>
    </row>
    <row r="7" spans="1:7" ht="60.95" customHeight="1" x14ac:dyDescent="0.2">
      <c r="A7" s="2556" t="s">
        <v>2187</v>
      </c>
      <c r="B7" s="2556"/>
      <c r="C7" s="2556"/>
      <c r="D7" s="2556"/>
      <c r="E7" s="2556"/>
      <c r="F7" s="2556"/>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2070</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56" t="s">
        <v>2188</v>
      </c>
      <c r="B13" s="2556"/>
      <c r="C13" s="2556"/>
      <c r="D13" s="2556"/>
      <c r="E13" s="2556"/>
      <c r="F13" s="2556"/>
    </row>
    <row r="14" spans="1:7" ht="9.75" customHeight="1" x14ac:dyDescent="0.2">
      <c r="C14" s="1254"/>
      <c r="D14" s="1254"/>
    </row>
    <row r="15" spans="1:7" ht="13.5" customHeight="1" x14ac:dyDescent="0.2">
      <c r="C15" s="1843" t="s">
        <v>1270</v>
      </c>
      <c r="D15" s="2554" t="s">
        <v>1269</v>
      </c>
      <c r="E15" s="2554"/>
      <c r="F15" s="2554"/>
    </row>
    <row r="16" spans="1:7" ht="13.5" customHeight="1" x14ac:dyDescent="0.2">
      <c r="A16" s="1276"/>
      <c r="B16" s="1270" t="s">
        <v>1268</v>
      </c>
      <c r="C16" s="1843" t="s">
        <v>1267</v>
      </c>
      <c r="D16" s="2555" t="s">
        <v>1588</v>
      </c>
      <c r="E16" s="2555"/>
      <c r="F16" s="2555"/>
    </row>
    <row r="17" spans="1:6" ht="20.45" customHeight="1" x14ac:dyDescent="0.2">
      <c r="A17" s="1277"/>
      <c r="B17" s="1278" t="s">
        <v>2186</v>
      </c>
      <c r="C17" s="1279"/>
      <c r="D17" s="2549"/>
      <c r="E17" s="2549"/>
      <c r="F17" s="2549"/>
    </row>
    <row r="18" spans="1:6" ht="20.65" customHeight="1" x14ac:dyDescent="0.2">
      <c r="A18" s="1277"/>
      <c r="B18" s="1278"/>
      <c r="C18" s="1279"/>
      <c r="D18" s="2549"/>
      <c r="E18" s="2549"/>
      <c r="F18" s="2549"/>
    </row>
    <row r="19" spans="1:6" ht="20.65" customHeight="1" x14ac:dyDescent="0.2">
      <c r="A19" s="1277"/>
      <c r="B19" s="1278"/>
      <c r="C19" s="1279"/>
      <c r="D19" s="2549"/>
      <c r="E19" s="2549"/>
      <c r="F19" s="2549"/>
    </row>
    <row r="20" spans="1:6" ht="20.65" customHeight="1" x14ac:dyDescent="0.2">
      <c r="A20" s="1277"/>
      <c r="B20" s="1278"/>
      <c r="C20" s="1279"/>
      <c r="D20" s="2549"/>
      <c r="E20" s="2549"/>
      <c r="F20" s="2549"/>
    </row>
    <row r="21" spans="1:6" ht="20.65" customHeight="1" x14ac:dyDescent="0.2">
      <c r="A21" s="1277"/>
      <c r="B21" s="1278"/>
      <c r="C21" s="1279"/>
      <c r="D21" s="2549"/>
      <c r="E21" s="2549"/>
      <c r="F21" s="2549"/>
    </row>
    <row r="22" spans="1:6" ht="20.65" customHeight="1" x14ac:dyDescent="0.2">
      <c r="A22" s="1277"/>
      <c r="B22" s="1278"/>
      <c r="C22" s="1279"/>
      <c r="D22" s="2549"/>
      <c r="E22" s="2549"/>
      <c r="F22" s="2549"/>
    </row>
    <row r="23" spans="1:6" ht="20.65" customHeight="1" x14ac:dyDescent="0.2">
      <c r="A23" s="1277"/>
      <c r="B23" s="1278"/>
      <c r="C23" s="1279"/>
      <c r="D23" s="2549"/>
      <c r="E23" s="2549"/>
      <c r="F23" s="2549"/>
    </row>
    <row r="24" spans="1:6" ht="20.65" customHeight="1" x14ac:dyDescent="0.2">
      <c r="A24" s="1277"/>
      <c r="B24" s="1278"/>
      <c r="C24" s="1279"/>
      <c r="D24" s="2549"/>
      <c r="E24" s="2549"/>
      <c r="F24" s="2549"/>
    </row>
    <row r="25" spans="1:6" ht="20.65" customHeight="1" x14ac:dyDescent="0.2">
      <c r="A25" s="1277"/>
      <c r="B25" s="1278"/>
      <c r="C25" s="1279"/>
      <c r="D25" s="2549"/>
      <c r="E25" s="2549"/>
      <c r="F25" s="2549"/>
    </row>
    <row r="26" spans="1:6" ht="20.65" customHeight="1" x14ac:dyDescent="0.2">
      <c r="A26" s="1277"/>
      <c r="B26" s="1278"/>
      <c r="C26" s="1279"/>
      <c r="D26" s="2549"/>
      <c r="E26" s="2549"/>
      <c r="F26" s="2549"/>
    </row>
    <row r="27" spans="1:6" ht="20.65" customHeight="1" x14ac:dyDescent="0.2">
      <c r="A27" s="1277"/>
      <c r="B27" s="1278"/>
      <c r="C27" s="1279"/>
      <c r="D27" s="2549"/>
      <c r="E27" s="2549"/>
      <c r="F27" s="2549"/>
    </row>
    <row r="28" spans="1:6" ht="20.65" customHeight="1" x14ac:dyDescent="0.2">
      <c r="A28" s="1277"/>
      <c r="B28" s="1278"/>
      <c r="C28" s="1279"/>
      <c r="D28" s="2549"/>
      <c r="E28" s="2549"/>
      <c r="F28" s="2549"/>
    </row>
    <row r="29" spans="1:6" ht="20.65" customHeight="1" x14ac:dyDescent="0.2">
      <c r="A29" s="1277"/>
      <c r="B29" s="1278"/>
      <c r="C29" s="1279"/>
      <c r="D29" s="2549"/>
      <c r="E29" s="2549"/>
      <c r="F29" s="254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50" t="s">
        <v>2189</v>
      </c>
      <c r="B32" s="2550"/>
      <c r="C32" s="2550"/>
      <c r="D32" s="2550"/>
      <c r="E32" s="2550"/>
      <c r="F32" s="2550"/>
    </row>
    <row r="33" spans="1:6" ht="13.5" customHeight="1" x14ac:dyDescent="0.2">
      <c r="A33" s="328" t="s">
        <v>1434</v>
      </c>
      <c r="B33" s="328"/>
      <c r="C33" s="1282">
        <v>32901</v>
      </c>
      <c r="D33" s="1900"/>
      <c r="E33" s="1280"/>
    </row>
    <row r="34" spans="1:6" ht="13.5" customHeight="1" x14ac:dyDescent="0.2">
      <c r="A34" s="328" t="s">
        <v>1835</v>
      </c>
      <c r="B34" s="328"/>
      <c r="C34" s="1283">
        <v>0</v>
      </c>
      <c r="D34" s="1900" t="s">
        <v>1589</v>
      </c>
      <c r="E34" s="2551">
        <f>+C33+C34</f>
        <v>32901</v>
      </c>
      <c r="F34" s="2552"/>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t="s">
        <v>383</v>
      </c>
      <c r="D38" s="1900"/>
      <c r="E38" s="1280"/>
    </row>
    <row r="39" spans="1:6" ht="14.25" customHeight="1" x14ac:dyDescent="0.2">
      <c r="A39" s="328"/>
      <c r="B39" s="328" t="s">
        <v>1436</v>
      </c>
      <c r="C39" s="1286" t="s">
        <v>383</v>
      </c>
      <c r="D39" s="1900"/>
      <c r="E39" s="1280"/>
    </row>
    <row r="40" spans="1:6" ht="14.25" customHeight="1" x14ac:dyDescent="0.2">
      <c r="A40" s="328"/>
      <c r="B40" s="328" t="s">
        <v>1437</v>
      </c>
      <c r="C40" s="1286" t="s">
        <v>383</v>
      </c>
      <c r="D40" s="1900"/>
      <c r="E40" s="1280"/>
    </row>
    <row r="41" spans="1:6" ht="14.25" customHeight="1" x14ac:dyDescent="0.2">
      <c r="A41" s="328"/>
      <c r="B41" s="328" t="s">
        <v>1438</v>
      </c>
      <c r="C41" s="1286" t="s">
        <v>383</v>
      </c>
      <c r="D41" s="1900"/>
      <c r="E41" s="1280"/>
    </row>
    <row r="42" spans="1:6" ht="14.25" customHeight="1" x14ac:dyDescent="0.2">
      <c r="A42" s="328" t="s">
        <v>1439</v>
      </c>
      <c r="B42" s="328"/>
      <c r="C42" s="1898" t="s">
        <v>383</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53" t="s">
        <v>1590</v>
      </c>
      <c r="C49" s="2553"/>
      <c r="D49" s="2553"/>
      <c r="E49" s="1393"/>
    </row>
    <row r="50" spans="1:5" s="1294" customFormat="1" ht="3.75" customHeight="1" x14ac:dyDescent="0.2">
      <c r="A50" s="1293"/>
      <c r="B50" s="1842"/>
      <c r="C50" s="1842"/>
      <c r="D50" s="1842"/>
      <c r="E50" s="1393"/>
    </row>
    <row r="51" spans="1:5" s="1294" customFormat="1" ht="20.25" customHeight="1" x14ac:dyDescent="0.2">
      <c r="A51" s="1295">
        <v>6</v>
      </c>
      <c r="B51" s="2548" t="s">
        <v>1551</v>
      </c>
      <c r="C51" s="2548"/>
      <c r="D51" s="2548"/>
    </row>
    <row r="52" spans="1:5" ht="14.25" customHeight="1" x14ac:dyDescent="0.2">
      <c r="A52" s="1295"/>
      <c r="B52" s="2548"/>
      <c r="C52" s="2548"/>
      <c r="D52" s="254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57" t="s">
        <v>2073</v>
      </c>
      <c r="B1" s="2557"/>
      <c r="C1" s="2557"/>
      <c r="D1" s="2557"/>
      <c r="E1" s="2557"/>
      <c r="F1" s="2557"/>
    </row>
    <row r="2" spans="1:7" ht="13.5" customHeight="1" x14ac:dyDescent="0.2">
      <c r="A2" s="2541" t="s">
        <v>2071</v>
      </c>
      <c r="B2" s="2541"/>
      <c r="C2" s="2541"/>
      <c r="D2" s="2541"/>
      <c r="E2" s="2541"/>
      <c r="F2" s="2541"/>
      <c r="G2" s="1269"/>
    </row>
    <row r="3" spans="1:7" ht="15.95" customHeight="1" x14ac:dyDescent="0.2">
      <c r="A3" s="2558" t="s">
        <v>1271</v>
      </c>
      <c r="B3" s="2558"/>
      <c r="C3" s="2558"/>
      <c r="D3" s="2558"/>
      <c r="E3" s="2558"/>
      <c r="F3" s="2558"/>
    </row>
    <row r="4" spans="1:7" ht="13.5" customHeight="1" x14ac:dyDescent="0.2">
      <c r="A4" s="2559" t="str">
        <f>'Single Audit Cover'!A4</f>
        <v>Year Ending June 30, 2019</v>
      </c>
      <c r="B4" s="2559"/>
      <c r="C4" s="2559"/>
      <c r="D4" s="2559"/>
      <c r="E4" s="2559"/>
      <c r="F4" s="2559"/>
    </row>
    <row r="5" spans="1:7" ht="8.25" customHeight="1" x14ac:dyDescent="0.2">
      <c r="C5" s="317"/>
      <c r="D5" s="317"/>
    </row>
    <row r="6" spans="1:7" ht="13.5" customHeight="1" x14ac:dyDescent="0.2">
      <c r="A6" s="1270" t="s">
        <v>1728</v>
      </c>
      <c r="C6" s="317"/>
      <c r="D6" s="317"/>
    </row>
    <row r="7" spans="1:7" ht="60.95" customHeight="1" x14ac:dyDescent="0.2">
      <c r="A7" s="2556" t="s">
        <v>2193</v>
      </c>
      <c r="B7" s="2556"/>
      <c r="C7" s="2556"/>
      <c r="D7" s="2556"/>
      <c r="E7" s="2556"/>
      <c r="F7" s="2556"/>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2067</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56" t="s">
        <v>2194</v>
      </c>
      <c r="B13" s="2556"/>
      <c r="C13" s="2556"/>
      <c r="D13" s="2556"/>
      <c r="E13" s="2556"/>
      <c r="F13" s="2556"/>
    </row>
    <row r="14" spans="1:7" ht="9.75" customHeight="1" x14ac:dyDescent="0.2">
      <c r="C14" s="1254"/>
      <c r="D14" s="1254"/>
    </row>
    <row r="15" spans="1:7" ht="13.5" customHeight="1" x14ac:dyDescent="0.2">
      <c r="C15" s="1935" t="s">
        <v>1270</v>
      </c>
      <c r="D15" s="2554" t="s">
        <v>1269</v>
      </c>
      <c r="E15" s="2554"/>
      <c r="F15" s="2554"/>
    </row>
    <row r="16" spans="1:7" ht="13.5" customHeight="1" x14ac:dyDescent="0.2">
      <c r="A16" s="1276"/>
      <c r="B16" s="1270" t="s">
        <v>1268</v>
      </c>
      <c r="C16" s="1935" t="s">
        <v>1267</v>
      </c>
      <c r="D16" s="2555" t="s">
        <v>1588</v>
      </c>
      <c r="E16" s="2555"/>
      <c r="F16" s="2555"/>
    </row>
    <row r="17" spans="1:6" ht="20.45" customHeight="1" x14ac:dyDescent="0.2">
      <c r="A17" s="1277"/>
      <c r="B17" s="1278" t="s">
        <v>2186</v>
      </c>
      <c r="C17" s="1279"/>
      <c r="D17" s="2549"/>
      <c r="E17" s="2549"/>
      <c r="F17" s="2549"/>
    </row>
    <row r="18" spans="1:6" ht="20.65" hidden="1" customHeight="1" x14ac:dyDescent="0.2">
      <c r="A18" s="1277"/>
      <c r="B18" s="1278"/>
      <c r="C18" s="1279"/>
      <c r="D18" s="2549"/>
      <c r="E18" s="2549"/>
      <c r="F18" s="2549"/>
    </row>
    <row r="19" spans="1:6" ht="20.65" hidden="1" customHeight="1" x14ac:dyDescent="0.2">
      <c r="A19" s="1277"/>
      <c r="B19" s="1278"/>
      <c r="C19" s="1279"/>
      <c r="D19" s="2549"/>
      <c r="E19" s="2549"/>
      <c r="F19" s="2549"/>
    </row>
    <row r="20" spans="1:6" ht="20.65" hidden="1" customHeight="1" x14ac:dyDescent="0.2">
      <c r="A20" s="1277"/>
      <c r="B20" s="1278"/>
      <c r="C20" s="1279"/>
      <c r="D20" s="2549"/>
      <c r="E20" s="2549"/>
      <c r="F20" s="2549"/>
    </row>
    <row r="21" spans="1:6" ht="20.65" hidden="1" customHeight="1" x14ac:dyDescent="0.2">
      <c r="A21" s="1277"/>
      <c r="B21" s="1278"/>
      <c r="C21" s="1279"/>
      <c r="D21" s="2549"/>
      <c r="E21" s="2549"/>
      <c r="F21" s="2549"/>
    </row>
    <row r="22" spans="1:6" ht="20.65" hidden="1" customHeight="1" x14ac:dyDescent="0.2">
      <c r="A22" s="1277"/>
      <c r="B22" s="1278"/>
      <c r="C22" s="1279"/>
      <c r="D22" s="2549"/>
      <c r="E22" s="2549"/>
      <c r="F22" s="2549"/>
    </row>
    <row r="23" spans="1:6" ht="20.65" hidden="1" customHeight="1" x14ac:dyDescent="0.2">
      <c r="A23" s="1277"/>
      <c r="B23" s="1278"/>
      <c r="C23" s="1279"/>
      <c r="D23" s="2549"/>
      <c r="E23" s="2549"/>
      <c r="F23" s="2549"/>
    </row>
    <row r="24" spans="1:6" ht="20.65" hidden="1" customHeight="1" x14ac:dyDescent="0.2">
      <c r="A24" s="1277"/>
      <c r="B24" s="1278"/>
      <c r="C24" s="1279"/>
      <c r="D24" s="2549"/>
      <c r="E24" s="2549"/>
      <c r="F24" s="2549"/>
    </row>
    <row r="25" spans="1:6" ht="20.65" hidden="1" customHeight="1" x14ac:dyDescent="0.2">
      <c r="A25" s="1277"/>
      <c r="B25" s="1278"/>
      <c r="C25" s="1279"/>
      <c r="D25" s="2549"/>
      <c r="E25" s="2549"/>
      <c r="F25" s="2549"/>
    </row>
    <row r="26" spans="1:6" ht="20.65" hidden="1" customHeight="1" x14ac:dyDescent="0.2">
      <c r="A26" s="1277"/>
      <c r="B26" s="1278"/>
      <c r="C26" s="1279"/>
      <c r="D26" s="2549"/>
      <c r="E26" s="2549"/>
      <c r="F26" s="2549"/>
    </row>
    <row r="27" spans="1:6" ht="20.65" hidden="1" customHeight="1" x14ac:dyDescent="0.2">
      <c r="A27" s="1277"/>
      <c r="B27" s="1278"/>
      <c r="C27" s="1279"/>
      <c r="D27" s="2549"/>
      <c r="E27" s="2549"/>
      <c r="F27" s="2549"/>
    </row>
    <row r="28" spans="1:6" ht="20.65" hidden="1" customHeight="1" x14ac:dyDescent="0.2">
      <c r="A28" s="1277"/>
      <c r="B28" s="1278"/>
      <c r="C28" s="1279"/>
      <c r="D28" s="2549"/>
      <c r="E28" s="2549"/>
      <c r="F28" s="2549"/>
    </row>
    <row r="29" spans="1:6" ht="20.65" hidden="1" customHeight="1" x14ac:dyDescent="0.2">
      <c r="A29" s="1277"/>
      <c r="B29" s="1278"/>
      <c r="C29" s="1279"/>
      <c r="D29" s="2549"/>
      <c r="E29" s="2549"/>
      <c r="F29" s="254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50" t="s">
        <v>2196</v>
      </c>
      <c r="B32" s="2550"/>
      <c r="C32" s="2550"/>
      <c r="D32" s="2550"/>
      <c r="E32" s="2550"/>
      <c r="F32" s="2550"/>
    </row>
    <row r="33" spans="1:6" ht="13.5" customHeight="1" x14ac:dyDescent="0.2">
      <c r="A33" s="328" t="s">
        <v>1434</v>
      </c>
      <c r="B33" s="328"/>
      <c r="C33" s="1282">
        <v>32901</v>
      </c>
      <c r="D33" s="1900"/>
      <c r="E33" s="1280"/>
    </row>
    <row r="34" spans="1:6" ht="13.5" customHeight="1" x14ac:dyDescent="0.2">
      <c r="A34" s="328" t="s">
        <v>1835</v>
      </c>
      <c r="B34" s="328"/>
      <c r="C34" s="1283">
        <v>0</v>
      </c>
      <c r="D34" s="1900" t="s">
        <v>1589</v>
      </c>
      <c r="E34" s="2551">
        <f>+C33+C34</f>
        <v>32901</v>
      </c>
      <c r="F34" s="2552"/>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t="s">
        <v>383</v>
      </c>
      <c r="D38" s="1900"/>
      <c r="E38" s="1280"/>
    </row>
    <row r="39" spans="1:6" ht="14.25" customHeight="1" x14ac:dyDescent="0.2">
      <c r="A39" s="328"/>
      <c r="B39" s="328" t="s">
        <v>1436</v>
      </c>
      <c r="C39" s="1286" t="s">
        <v>383</v>
      </c>
      <c r="D39" s="1900"/>
      <c r="E39" s="1280"/>
    </row>
    <row r="40" spans="1:6" ht="14.25" customHeight="1" x14ac:dyDescent="0.2">
      <c r="A40" s="328"/>
      <c r="B40" s="328" t="s">
        <v>1437</v>
      </c>
      <c r="C40" s="1286" t="s">
        <v>383</v>
      </c>
      <c r="D40" s="1900"/>
      <c r="E40" s="1280"/>
    </row>
    <row r="41" spans="1:6" ht="14.25" customHeight="1" x14ac:dyDescent="0.2">
      <c r="A41" s="328"/>
      <c r="B41" s="328" t="s">
        <v>1438</v>
      </c>
      <c r="C41" s="1286" t="s">
        <v>383</v>
      </c>
      <c r="D41" s="1900"/>
      <c r="E41" s="1280"/>
    </row>
    <row r="42" spans="1:6" ht="14.25" customHeight="1" x14ac:dyDescent="0.2">
      <c r="A42" s="328" t="s">
        <v>1439</v>
      </c>
      <c r="B42" s="328"/>
      <c r="C42" s="1898" t="s">
        <v>383</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4.25" customHeight="1" x14ac:dyDescent="0.2">
      <c r="A45" s="328"/>
      <c r="B45" s="328"/>
      <c r="C45" s="1902"/>
      <c r="D45" s="1900"/>
      <c r="E45" s="1280"/>
    </row>
    <row r="46" spans="1:6" ht="14.25" customHeight="1" x14ac:dyDescent="0.2">
      <c r="A46" s="1281" t="s">
        <v>2195</v>
      </c>
      <c r="B46" s="328"/>
      <c r="C46" s="1902"/>
      <c r="D46" s="1900"/>
      <c r="E46" s="1280"/>
    </row>
    <row r="47" spans="1:6" ht="36.75" customHeight="1" x14ac:dyDescent="0.2">
      <c r="A47" s="2560" t="s">
        <v>2197</v>
      </c>
      <c r="B47" s="2560"/>
      <c r="C47" s="2560"/>
      <c r="D47" s="2560"/>
      <c r="E47" s="2560"/>
      <c r="F47" s="2560"/>
    </row>
    <row r="48" spans="1:6" ht="13.5" customHeight="1" x14ac:dyDescent="0.2">
      <c r="B48" s="322"/>
      <c r="C48" s="1288"/>
      <c r="D48" s="1288"/>
    </row>
    <row r="49" spans="1:6" x14ac:dyDescent="0.2">
      <c r="A49" s="1289" t="s">
        <v>1730</v>
      </c>
      <c r="C49" s="317"/>
      <c r="D49" s="317"/>
    </row>
    <row r="50" spans="1:6" s="322" customFormat="1" ht="11.25" customHeight="1" x14ac:dyDescent="0.2">
      <c r="A50" s="1290"/>
      <c r="B50" s="1291"/>
      <c r="C50" s="1291"/>
      <c r="D50" s="1291"/>
      <c r="E50" s="1291"/>
      <c r="F50" s="1291"/>
    </row>
    <row r="51" spans="1:6" s="322" customFormat="1" ht="6" customHeight="1" x14ac:dyDescent="0.2">
      <c r="A51" s="1292"/>
    </row>
    <row r="52" spans="1:6" s="1294" customFormat="1" ht="23.45" customHeight="1" x14ac:dyDescent="0.2">
      <c r="A52" s="1293">
        <v>5</v>
      </c>
      <c r="B52" s="2553" t="s">
        <v>1590</v>
      </c>
      <c r="C52" s="2553"/>
      <c r="D52" s="2553"/>
      <c r="E52" s="1393"/>
    </row>
    <row r="53" spans="1:6" s="1294" customFormat="1" ht="3.75" customHeight="1" x14ac:dyDescent="0.2">
      <c r="A53" s="1293"/>
      <c r="B53" s="1934"/>
      <c r="C53" s="1934"/>
      <c r="D53" s="1934"/>
      <c r="E53" s="1393"/>
    </row>
    <row r="54" spans="1:6" s="1294" customFormat="1" ht="20.25" customHeight="1" x14ac:dyDescent="0.2">
      <c r="A54" s="1295">
        <v>6</v>
      </c>
      <c r="B54" s="2548" t="s">
        <v>1551</v>
      </c>
      <c r="C54" s="2548"/>
      <c r="D54" s="2548"/>
    </row>
    <row r="55" spans="1:6" ht="14.25" customHeight="1" x14ac:dyDescent="0.2">
      <c r="A55" s="1295"/>
      <c r="B55" s="2548"/>
      <c r="C55" s="2548"/>
      <c r="D55" s="2548"/>
    </row>
  </sheetData>
  <mergeCells count="27">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2:D52"/>
    <mergeCell ref="B54:D54"/>
    <mergeCell ref="B55:D55"/>
    <mergeCell ref="D27:F27"/>
    <mergeCell ref="D28:F28"/>
    <mergeCell ref="D29:F29"/>
    <mergeCell ref="A32:F32"/>
    <mergeCell ref="E34:F34"/>
    <mergeCell ref="A47:F47"/>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2" t="str">
        <f>'Single Audit Cover'!A7</f>
        <v>Silvis SD 34</v>
      </c>
      <c r="C1" s="2573"/>
      <c r="D1" s="2573"/>
      <c r="E1" s="2573"/>
      <c r="F1" s="2573"/>
      <c r="G1" s="2573"/>
      <c r="H1" s="2573"/>
      <c r="I1" s="2573"/>
      <c r="J1" s="1403"/>
    </row>
    <row r="2" spans="2:10" s="317" customFormat="1" ht="12.75" customHeight="1" x14ac:dyDescent="0.2">
      <c r="B2" s="2574">
        <f>'Single Audit Cover'!E7</f>
        <v>49081034002</v>
      </c>
      <c r="C2" s="2575"/>
      <c r="D2" s="2575"/>
      <c r="E2" s="2575"/>
      <c r="F2" s="2575"/>
      <c r="G2" s="2575"/>
      <c r="H2" s="2575"/>
      <c r="I2" s="2575"/>
      <c r="J2" s="1403"/>
    </row>
    <row r="3" spans="2:10" s="317" customFormat="1" ht="12.75" customHeight="1" x14ac:dyDescent="0.2">
      <c r="B3" s="2576" t="s">
        <v>1285</v>
      </c>
      <c r="C3" s="2577"/>
      <c r="D3" s="2577"/>
      <c r="E3" s="2577"/>
      <c r="F3" s="2577"/>
      <c r="G3" s="2577"/>
      <c r="H3" s="2577"/>
      <c r="I3" s="2577"/>
      <c r="J3" s="1404"/>
    </row>
    <row r="4" spans="2:10" s="317" customFormat="1" ht="12.75" customHeight="1" x14ac:dyDescent="0.2">
      <c r="B4" s="2576" t="str">
        <f>'Single Audit Cover'!A4</f>
        <v>Year Ending June 30, 2019</v>
      </c>
      <c r="C4" s="2577"/>
      <c r="D4" s="2577"/>
      <c r="E4" s="2577"/>
      <c r="F4" s="2577"/>
      <c r="G4" s="2577"/>
      <c r="H4" s="2577"/>
      <c r="I4" s="257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76" t="s">
        <v>1284</v>
      </c>
      <c r="C7" s="2577"/>
      <c r="D7" s="2577"/>
      <c r="E7" s="2577"/>
      <c r="F7" s="2577"/>
      <c r="G7" s="2577"/>
      <c r="H7" s="2577"/>
      <c r="I7" s="257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78" t="s">
        <v>1164</v>
      </c>
      <c r="D11" s="257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2070</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2070</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2070</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t="s">
        <v>2070</v>
      </c>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2070</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79" t="s">
        <v>2190</v>
      </c>
      <c r="E29" s="2579"/>
      <c r="F29" s="2579"/>
      <c r="G29" s="2579"/>
      <c r="H29" s="2579"/>
      <c r="I29" s="2579"/>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t="s">
        <v>2070</v>
      </c>
      <c r="F33" s="1294" t="s">
        <v>885</v>
      </c>
      <c r="G33" s="1419"/>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580" t="s">
        <v>1748</v>
      </c>
      <c r="D37" s="2581"/>
      <c r="E37" s="2581"/>
      <c r="F37" s="2582"/>
      <c r="G37" s="2580" t="s">
        <v>1592</v>
      </c>
      <c r="H37" s="2581"/>
      <c r="I37" s="2582"/>
    </row>
    <row r="38" spans="2:9" ht="16.5" customHeight="1" x14ac:dyDescent="0.2">
      <c r="B38" s="1425" t="s">
        <v>2191</v>
      </c>
      <c r="C38" s="2568" t="s">
        <v>2192</v>
      </c>
      <c r="D38" s="2569"/>
      <c r="E38" s="2569"/>
      <c r="F38" s="2570"/>
      <c r="G38" s="2583">
        <v>459957</v>
      </c>
      <c r="H38" s="2584"/>
      <c r="I38" s="2585"/>
    </row>
    <row r="39" spans="2:9" ht="16.5" customHeight="1" x14ac:dyDescent="0.2">
      <c r="B39" s="1425"/>
      <c r="C39" s="2568"/>
      <c r="D39" s="2569"/>
      <c r="E39" s="2569"/>
      <c r="F39" s="2570"/>
      <c r="G39" s="2571"/>
      <c r="H39" s="2571"/>
      <c r="I39" s="2571"/>
    </row>
    <row r="40" spans="2:9" ht="16.5" customHeight="1" x14ac:dyDescent="0.2">
      <c r="B40" s="1425"/>
      <c r="C40" s="2568"/>
      <c r="D40" s="2569"/>
      <c r="E40" s="2569"/>
      <c r="F40" s="2570"/>
      <c r="G40" s="2571"/>
      <c r="H40" s="2571"/>
      <c r="I40" s="2571"/>
    </row>
    <row r="41" spans="2:9" ht="16.5" customHeight="1" x14ac:dyDescent="0.2">
      <c r="B41" s="1425"/>
      <c r="C41" s="2568"/>
      <c r="D41" s="2569"/>
      <c r="E41" s="2569"/>
      <c r="F41" s="2570"/>
      <c r="G41" s="2571"/>
      <c r="H41" s="2571"/>
      <c r="I41" s="2571"/>
    </row>
    <row r="42" spans="2:9" ht="16.5" customHeight="1" x14ac:dyDescent="0.2">
      <c r="B42" s="1425"/>
      <c r="C42" s="2568"/>
      <c r="D42" s="2569"/>
      <c r="E42" s="2569"/>
      <c r="F42" s="2570"/>
      <c r="G42" s="2571"/>
      <c r="H42" s="2571"/>
      <c r="I42" s="2571"/>
    </row>
    <row r="43" spans="2:9" ht="16.5" customHeight="1" x14ac:dyDescent="0.2">
      <c r="B43" s="1425"/>
      <c r="C43" s="2561" t="s">
        <v>1593</v>
      </c>
      <c r="D43" s="2562"/>
      <c r="E43" s="2562"/>
      <c r="F43" s="2563"/>
      <c r="G43" s="2564">
        <f>SUM(G38:I42)</f>
        <v>459957</v>
      </c>
      <c r="H43" s="2564"/>
      <c r="I43" s="2564"/>
    </row>
    <row r="44" spans="2:9" ht="12.75" customHeight="1" x14ac:dyDescent="0.2"/>
    <row r="45" spans="2:9" ht="12.75" customHeight="1" x14ac:dyDescent="0.2">
      <c r="B45" s="1416" t="s">
        <v>1838</v>
      </c>
      <c r="D45" s="2565">
        <v>904816</v>
      </c>
      <c r="E45" s="2566"/>
    </row>
    <row r="46" spans="2:9" ht="5.25" customHeight="1" x14ac:dyDescent="0.2">
      <c r="B46" s="1426"/>
      <c r="D46" s="1427"/>
      <c r="E46" s="1428"/>
    </row>
    <row r="47" spans="2:9" ht="12.75" customHeight="1" x14ac:dyDescent="0.2">
      <c r="B47" s="1294" t="s">
        <v>1594</v>
      </c>
      <c r="C47" s="1294"/>
      <c r="D47" s="1429">
        <f>+G43/D45</f>
        <v>0.50834313274743148</v>
      </c>
      <c r="E47" s="1430"/>
      <c r="F47" s="1431"/>
      <c r="I47" s="1432"/>
    </row>
    <row r="48" spans="2:9" ht="9.9499999999999993" customHeight="1" x14ac:dyDescent="0.2"/>
    <row r="49" spans="1:9" x14ac:dyDescent="0.2">
      <c r="B49" s="1362" t="s">
        <v>1273</v>
      </c>
      <c r="C49" s="1276"/>
      <c r="D49" s="1276"/>
      <c r="E49" s="2567">
        <v>750000</v>
      </c>
      <c r="F49" s="2567"/>
      <c r="G49" s="2567"/>
      <c r="H49" s="322"/>
    </row>
    <row r="51" spans="1:9" ht="13.5" customHeight="1" x14ac:dyDescent="0.2">
      <c r="B51" s="1362" t="s">
        <v>1272</v>
      </c>
      <c r="C51" s="1276"/>
      <c r="E51" s="1419"/>
      <c r="F51" s="1294" t="s">
        <v>885</v>
      </c>
      <c r="G51" s="1419" t="s">
        <v>2070</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2" t="str">
        <f>'Single Audit Cover'!A7</f>
        <v>Silvis SD 34</v>
      </c>
      <c r="C1" s="2572"/>
      <c r="D1" s="2572"/>
      <c r="E1" s="2572"/>
      <c r="F1" s="2572"/>
      <c r="G1" s="2572"/>
      <c r="H1" s="2572"/>
      <c r="I1" s="2572"/>
      <c r="J1" s="2572"/>
      <c r="K1" s="2572"/>
      <c r="L1" s="1368"/>
      <c r="M1" s="1368"/>
    </row>
    <row r="2" spans="1:13" ht="12" customHeight="1" x14ac:dyDescent="0.2">
      <c r="B2" s="2574">
        <f>'Single Audit Cover'!E7</f>
        <v>49081034002</v>
      </c>
      <c r="C2" s="2574"/>
      <c r="D2" s="2574"/>
      <c r="E2" s="2574"/>
      <c r="F2" s="2574"/>
      <c r="G2" s="2574"/>
      <c r="H2" s="2574"/>
      <c r="I2" s="2574"/>
      <c r="J2" s="2574"/>
      <c r="K2" s="2574"/>
      <c r="L2" s="1369"/>
      <c r="M2" s="1370"/>
    </row>
    <row r="3" spans="1:13" ht="10.35" customHeight="1" x14ac:dyDescent="0.2">
      <c r="B3" s="2588" t="s">
        <v>1285</v>
      </c>
      <c r="C3" s="2588"/>
      <c r="D3" s="2588"/>
      <c r="E3" s="2588"/>
      <c r="F3" s="2588"/>
      <c r="G3" s="2588"/>
      <c r="H3" s="2588"/>
      <c r="I3" s="2588"/>
      <c r="J3" s="2588"/>
      <c r="K3" s="2588"/>
      <c r="L3" s="1371"/>
      <c r="M3" s="1371"/>
    </row>
    <row r="4" spans="1:13" ht="14.25" customHeight="1" x14ac:dyDescent="0.2">
      <c r="B4" s="2589" t="str">
        <f>'Single Audit Cover'!A4</f>
        <v>Year Ending June 30, 2019</v>
      </c>
      <c r="C4" s="2589"/>
      <c r="D4" s="2589"/>
      <c r="E4" s="2589"/>
      <c r="F4" s="2589"/>
      <c r="G4" s="2589"/>
      <c r="H4" s="2589"/>
      <c r="I4" s="2589"/>
      <c r="J4" s="2589"/>
      <c r="K4" s="258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89" t="s">
        <v>1296</v>
      </c>
      <c r="C7" s="2589"/>
      <c r="D7" s="2590"/>
      <c r="E7" s="2590"/>
      <c r="F7" s="2590"/>
      <c r="G7" s="2590"/>
      <c r="H7" s="2590"/>
      <c r="I7" s="2590"/>
      <c r="J7" s="2590"/>
      <c r="K7" s="259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t="s">
        <v>2198</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87"/>
      <c r="C14" s="2587"/>
      <c r="D14" s="2587"/>
      <c r="E14" s="2587"/>
      <c r="F14" s="2587"/>
      <c r="G14" s="2587"/>
      <c r="H14" s="2587"/>
      <c r="I14" s="2587"/>
      <c r="J14" s="2587"/>
      <c r="K14" s="258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87"/>
      <c r="C17" s="2587"/>
      <c r="D17" s="2587"/>
      <c r="E17" s="2587"/>
      <c r="F17" s="2587"/>
      <c r="G17" s="2587"/>
      <c r="H17" s="2587"/>
      <c r="I17" s="2587"/>
      <c r="J17" s="2587"/>
      <c r="K17" s="2587"/>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591"/>
      <c r="C20" s="2591"/>
      <c r="D20" s="2587"/>
      <c r="E20" s="2587"/>
      <c r="F20" s="2587"/>
      <c r="G20" s="2587"/>
      <c r="H20" s="2587"/>
      <c r="I20" s="2587"/>
      <c r="J20" s="2587"/>
      <c r="K20" s="258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87"/>
      <c r="C23" s="2587"/>
      <c r="D23" s="2587"/>
      <c r="E23" s="2587"/>
      <c r="F23" s="2587"/>
      <c r="G23" s="2587"/>
      <c r="H23" s="2587"/>
      <c r="I23" s="2587"/>
      <c r="J23" s="2587"/>
      <c r="K23" s="258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87"/>
      <c r="C26" s="2587"/>
      <c r="D26" s="2587"/>
      <c r="E26" s="2587"/>
      <c r="F26" s="2587"/>
      <c r="G26" s="2587"/>
      <c r="H26" s="2587"/>
      <c r="I26" s="2587"/>
      <c r="J26" s="2587"/>
      <c r="K26" s="258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86"/>
      <c r="C29" s="2586"/>
      <c r="D29" s="2587"/>
      <c r="E29" s="2587"/>
      <c r="F29" s="2587"/>
      <c r="G29" s="2587"/>
      <c r="H29" s="2587"/>
      <c r="I29" s="2587"/>
      <c r="J29" s="2587"/>
      <c r="K29" s="258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586"/>
      <c r="C32" s="2586"/>
      <c r="D32" s="2587"/>
      <c r="E32" s="2587"/>
      <c r="F32" s="2587"/>
      <c r="G32" s="2587"/>
      <c r="H32" s="2587"/>
      <c r="I32" s="2587"/>
      <c r="J32" s="2587"/>
      <c r="K32" s="258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95" t="str">
        <f>'Single Audit Cover'!A7</f>
        <v>Silvis SD 34</v>
      </c>
      <c r="C1" s="2595"/>
      <c r="D1" s="2595"/>
      <c r="E1" s="2595"/>
      <c r="F1" s="2595"/>
      <c r="G1" s="2595"/>
      <c r="H1" s="2595"/>
      <c r="I1" s="2595"/>
      <c r="J1" s="2595"/>
      <c r="K1" s="2595"/>
      <c r="L1" s="1446"/>
    </row>
    <row r="2" spans="1:12" ht="12.75" customHeight="1" x14ac:dyDescent="0.2">
      <c r="B2" s="2596">
        <f>'Single Audit Cover'!E7</f>
        <v>49081034002</v>
      </c>
      <c r="C2" s="2596"/>
      <c r="D2" s="2596"/>
      <c r="E2" s="2596"/>
      <c r="F2" s="2596"/>
      <c r="G2" s="2596"/>
      <c r="H2" s="2596"/>
      <c r="I2" s="2596"/>
      <c r="J2" s="2596"/>
      <c r="K2" s="2596"/>
      <c r="L2" s="1447"/>
    </row>
    <row r="3" spans="1:12" ht="12.75" customHeight="1" x14ac:dyDescent="0.2">
      <c r="B3" s="2588" t="s">
        <v>1285</v>
      </c>
      <c r="C3" s="2588"/>
      <c r="D3" s="2588"/>
      <c r="E3" s="2588"/>
      <c r="F3" s="2588"/>
      <c r="G3" s="2588"/>
      <c r="H3" s="2588"/>
      <c r="I3" s="2588"/>
      <c r="J3" s="2588"/>
      <c r="K3" s="2588"/>
      <c r="L3" s="1371"/>
    </row>
    <row r="4" spans="1:12" ht="12.75" customHeight="1" x14ac:dyDescent="0.2">
      <c r="B4" s="2588" t="str">
        <f>'Single Audit Cover'!A4</f>
        <v>Year Ending June 30, 2019</v>
      </c>
      <c r="C4" s="2588"/>
      <c r="D4" s="2588"/>
      <c r="E4" s="2588"/>
      <c r="F4" s="2588"/>
      <c r="G4" s="2588"/>
      <c r="H4" s="2588"/>
      <c r="I4" s="2588"/>
      <c r="J4" s="2588"/>
      <c r="K4" s="2588"/>
      <c r="L4" s="1371"/>
    </row>
    <row r="5" spans="1:12" ht="5.25" customHeight="1" x14ac:dyDescent="0.2">
      <c r="B5" s="1254" t="s">
        <v>1169</v>
      </c>
      <c r="C5" s="1254"/>
      <c r="L5" s="322"/>
    </row>
    <row r="6" spans="1:12" ht="30.75" customHeight="1" x14ac:dyDescent="0.2">
      <c r="A6" s="322"/>
      <c r="B6" s="2597" t="s">
        <v>1308</v>
      </c>
      <c r="C6" s="2597"/>
      <c r="D6" s="2597"/>
      <c r="E6" s="2597"/>
      <c r="F6" s="2597"/>
      <c r="G6" s="2597"/>
      <c r="H6" s="2597"/>
      <c r="I6" s="2597"/>
      <c r="J6" s="2597"/>
      <c r="K6" s="2597"/>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v>1</v>
      </c>
      <c r="E8" s="322"/>
      <c r="F8" s="1378" t="s">
        <v>1295</v>
      </c>
      <c r="G8" s="1450" t="s">
        <v>2070</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79" t="s">
        <v>2199</v>
      </c>
      <c r="G12" s="2579"/>
      <c r="H12" s="2579"/>
      <c r="I12" s="2579"/>
      <c r="J12" s="2579"/>
      <c r="K12" s="257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92" t="s">
        <v>2106</v>
      </c>
      <c r="E14" s="2592"/>
      <c r="F14" s="2592"/>
      <c r="H14" s="1456" t="s">
        <v>1303</v>
      </c>
      <c r="I14" s="2593">
        <v>10.555</v>
      </c>
      <c r="J14" s="2593"/>
      <c r="K14" s="259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93" t="s">
        <v>2102</v>
      </c>
      <c r="E16" s="2593"/>
      <c r="F16" s="2593"/>
      <c r="G16" s="2593"/>
      <c r="H16" s="2593"/>
      <c r="I16" s="2593"/>
      <c r="J16" s="2593"/>
      <c r="K16" s="2593"/>
      <c r="L16" s="322"/>
    </row>
    <row r="17" spans="2:12" ht="13.5" customHeight="1" x14ac:dyDescent="0.2">
      <c r="B17" s="1381" t="s">
        <v>1301</v>
      </c>
      <c r="C17" s="1381"/>
      <c r="D17" s="2594" t="s">
        <v>2200</v>
      </c>
      <c r="E17" s="2594"/>
      <c r="F17" s="2594"/>
      <c r="G17" s="2594"/>
      <c r="H17" s="2594"/>
      <c r="I17" s="2594"/>
      <c r="J17" s="2594"/>
      <c r="K17" s="259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87" t="s">
        <v>2201</v>
      </c>
      <c r="C20" s="2587"/>
      <c r="D20" s="2587"/>
      <c r="E20" s="2587"/>
      <c r="F20" s="2587"/>
      <c r="G20" s="2587"/>
      <c r="H20" s="2587"/>
      <c r="I20" s="2587"/>
      <c r="J20" s="2587"/>
      <c r="K20" s="258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587" t="s">
        <v>2202</v>
      </c>
      <c r="C23" s="2587"/>
      <c r="D23" s="2587"/>
      <c r="E23" s="2587"/>
      <c r="F23" s="2587"/>
      <c r="G23" s="2587"/>
      <c r="H23" s="2587"/>
      <c r="I23" s="2587"/>
      <c r="J23" s="2587"/>
      <c r="K23" s="258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587" t="s">
        <v>2203</v>
      </c>
      <c r="C26" s="2587"/>
      <c r="D26" s="2587"/>
      <c r="E26" s="2587"/>
      <c r="F26" s="2587"/>
      <c r="G26" s="2587"/>
      <c r="H26" s="2587"/>
      <c r="I26" s="2587"/>
      <c r="J26" s="2587"/>
      <c r="K26" s="258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587" t="s">
        <v>2204</v>
      </c>
      <c r="C29" s="2587"/>
      <c r="D29" s="2587"/>
      <c r="E29" s="2587"/>
      <c r="F29" s="2587"/>
      <c r="G29" s="2587"/>
      <c r="H29" s="2587"/>
      <c r="I29" s="2587"/>
      <c r="J29" s="2587"/>
      <c r="K29" s="258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87" t="s">
        <v>2205</v>
      </c>
      <c r="C32" s="2587"/>
      <c r="D32" s="2587"/>
      <c r="E32" s="2587"/>
      <c r="F32" s="2587"/>
      <c r="G32" s="2587"/>
      <c r="H32" s="2587"/>
      <c r="I32" s="2587"/>
      <c r="J32" s="2587"/>
      <c r="K32" s="258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87" t="s">
        <v>2206</v>
      </c>
      <c r="C35" s="2587"/>
      <c r="D35" s="2587"/>
      <c r="E35" s="2587"/>
      <c r="F35" s="2587"/>
      <c r="G35" s="2587"/>
      <c r="H35" s="2587"/>
      <c r="I35" s="2587"/>
      <c r="J35" s="2587"/>
      <c r="K35" s="258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87" t="s">
        <v>2207</v>
      </c>
      <c r="C38" s="2587"/>
      <c r="D38" s="2587"/>
      <c r="E38" s="2587"/>
      <c r="F38" s="2587"/>
      <c r="G38" s="2587"/>
      <c r="H38" s="2587"/>
      <c r="I38" s="2587"/>
      <c r="J38" s="2587"/>
      <c r="K38" s="258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587" t="s">
        <v>2208</v>
      </c>
      <c r="C41" s="2587"/>
      <c r="D41" s="2587"/>
      <c r="E41" s="2587"/>
      <c r="F41" s="2587"/>
      <c r="G41" s="2587"/>
      <c r="H41" s="2587"/>
      <c r="I41" s="2587"/>
      <c r="J41" s="2587"/>
      <c r="K41" s="258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72" t="str">
        <f>'Single Audit Cover'!A7</f>
        <v>Silvis SD 34</v>
      </c>
      <c r="C1" s="2572"/>
      <c r="D1" s="2572"/>
      <c r="E1" s="1466"/>
    </row>
    <row r="2" spans="2:5" s="1276" customFormat="1" ht="12.75" customHeight="1" x14ac:dyDescent="0.2">
      <c r="B2" s="2574">
        <f>'Single Audit Cover'!E7</f>
        <v>49081034002</v>
      </c>
      <c r="C2" s="2574"/>
      <c r="D2" s="2574"/>
      <c r="E2" s="1467"/>
    </row>
    <row r="3" spans="2:5" ht="12.75" customHeight="1" x14ac:dyDescent="0.2">
      <c r="B3" s="2588" t="s">
        <v>1763</v>
      </c>
      <c r="C3" s="2588"/>
      <c r="D3" s="2588"/>
      <c r="E3" s="1268"/>
    </row>
    <row r="4" spans="2:5" s="1276" customFormat="1" ht="12.75" customHeight="1" x14ac:dyDescent="0.2">
      <c r="B4" s="2598" t="str">
        <f>'Single Audit Cover'!A4</f>
        <v>Year Ending June 30, 2019</v>
      </c>
      <c r="C4" s="2598"/>
      <c r="D4" s="2598"/>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2186</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election activeCell="E7" sqref="E7"/>
    </sheetView>
  </sheetViews>
  <sheetFormatPr defaultColWidth="9.140625" defaultRowHeight="12.75" x14ac:dyDescent="0.2"/>
  <cols>
    <col min="1" max="1" width="1.5703125" style="2021" customWidth="1"/>
    <col min="2" max="2" width="11.28515625" style="2021" customWidth="1"/>
    <col min="3" max="3" width="6.42578125" style="2021" customWidth="1"/>
    <col min="4" max="4" width="5.42578125" style="2021" customWidth="1"/>
    <col min="5" max="5" width="74.7109375" style="2021" customWidth="1"/>
    <col min="6" max="6" width="1.5703125" style="2021" customWidth="1"/>
    <col min="7" max="8" width="2.42578125" style="2021" customWidth="1"/>
    <col min="9" max="9" width="9.28515625" style="2021" customWidth="1"/>
    <col min="10" max="10" width="14.42578125" style="2021" customWidth="1"/>
    <col min="11" max="11" width="7.28515625" style="2021" customWidth="1"/>
    <col min="12" max="12" width="3.140625" style="2021" customWidth="1"/>
    <col min="13" max="16384" width="9.140625" style="2021"/>
  </cols>
  <sheetData>
    <row r="1" spans="2:12" ht="13.5" customHeight="1" x14ac:dyDescent="0.2">
      <c r="B1" s="2600" t="s">
        <v>2220</v>
      </c>
      <c r="C1" s="2600"/>
      <c r="D1" s="2600"/>
      <c r="E1" s="2600"/>
      <c r="F1" s="2020"/>
      <c r="G1" s="2020"/>
      <c r="H1" s="2020"/>
      <c r="I1" s="2020"/>
      <c r="J1" s="2020"/>
      <c r="K1" s="2020"/>
      <c r="L1" s="2020"/>
    </row>
    <row r="2" spans="2:12" ht="13.5" customHeight="1" x14ac:dyDescent="0.2">
      <c r="B2" s="2601" t="s">
        <v>2071</v>
      </c>
      <c r="C2" s="2601"/>
      <c r="D2" s="2601"/>
      <c r="E2" s="2601"/>
      <c r="F2" s="2022"/>
      <c r="G2" s="2022"/>
      <c r="H2" s="2022"/>
      <c r="I2" s="2022"/>
      <c r="J2" s="2022"/>
      <c r="K2" s="2022"/>
      <c r="L2" s="2022"/>
    </row>
    <row r="3" spans="2:12" ht="13.5" customHeight="1" x14ac:dyDescent="0.2">
      <c r="B3" s="2602" t="s">
        <v>2209</v>
      </c>
      <c r="C3" s="2602"/>
      <c r="D3" s="2602"/>
      <c r="E3" s="2602"/>
      <c r="F3" s="2023"/>
      <c r="G3" s="2023"/>
      <c r="H3" s="2023"/>
      <c r="I3" s="2023"/>
      <c r="J3" s="2023"/>
      <c r="K3" s="2023"/>
      <c r="L3" s="2023"/>
    </row>
    <row r="4" spans="2:12" ht="13.5" customHeight="1" x14ac:dyDescent="0.2">
      <c r="B4" s="2603" t="s">
        <v>1986</v>
      </c>
      <c r="C4" s="2603"/>
      <c r="D4" s="2603"/>
      <c r="E4" s="2603"/>
      <c r="F4" s="2024"/>
      <c r="G4" s="2024"/>
      <c r="H4" s="2024"/>
      <c r="I4" s="2024"/>
      <c r="J4" s="2024"/>
      <c r="K4" s="2024"/>
      <c r="L4" s="2024"/>
    </row>
    <row r="5" spans="2:12" ht="29.85" customHeight="1" x14ac:dyDescent="0.2"/>
    <row r="6" spans="2:12" ht="13.5" customHeight="1" x14ac:dyDescent="0.2">
      <c r="B6" s="2025" t="s">
        <v>2210</v>
      </c>
      <c r="C6" s="2025"/>
      <c r="D6" s="2026"/>
      <c r="E6" s="2027"/>
      <c r="F6" s="2027"/>
      <c r="G6" s="2028"/>
      <c r="H6" s="2028"/>
      <c r="I6" s="2028"/>
    </row>
    <row r="7" spans="2:12" ht="13.5" customHeight="1" x14ac:dyDescent="0.2">
      <c r="B7" s="2021" t="s">
        <v>1169</v>
      </c>
    </row>
    <row r="8" spans="2:12" ht="13.5" customHeight="1" x14ac:dyDescent="0.2">
      <c r="B8" s="2029" t="s">
        <v>2211</v>
      </c>
      <c r="C8" s="2030" t="s">
        <v>1988</v>
      </c>
      <c r="D8" s="2031">
        <v>1</v>
      </c>
    </row>
    <row r="9" spans="2:12" ht="13.5" customHeight="1" x14ac:dyDescent="0.2">
      <c r="B9" s="2032"/>
      <c r="C9" s="2032"/>
      <c r="D9" s="2032"/>
    </row>
    <row r="10" spans="2:12" ht="13.5" customHeight="1" x14ac:dyDescent="0.2">
      <c r="B10" s="2029" t="s">
        <v>2212</v>
      </c>
      <c r="C10" s="2029"/>
    </row>
    <row r="11" spans="2:12" ht="66.75" customHeight="1" x14ac:dyDescent="0.2">
      <c r="B11" s="2599" t="s">
        <v>2213</v>
      </c>
      <c r="C11" s="2599"/>
      <c r="D11" s="2599"/>
      <c r="E11" s="2599"/>
    </row>
    <row r="12" spans="2:12" ht="13.5" customHeight="1" x14ac:dyDescent="0.2"/>
    <row r="13" spans="2:12" ht="13.5" customHeight="1" x14ac:dyDescent="0.2">
      <c r="B13" s="2029" t="s">
        <v>2214</v>
      </c>
      <c r="C13" s="2029"/>
    </row>
    <row r="14" spans="2:12" ht="76.5" customHeight="1" x14ac:dyDescent="0.2">
      <c r="B14" s="2599" t="s">
        <v>2215</v>
      </c>
      <c r="C14" s="2599"/>
      <c r="D14" s="2599"/>
      <c r="E14" s="2599"/>
    </row>
    <row r="15" spans="2:12" ht="13.5" customHeight="1" x14ac:dyDescent="0.2"/>
    <row r="16" spans="2:12" ht="13.5" customHeight="1" x14ac:dyDescent="0.2">
      <c r="B16" s="2029" t="s">
        <v>2216</v>
      </c>
      <c r="C16" s="2029"/>
      <c r="E16" s="2033">
        <v>44012</v>
      </c>
    </row>
    <row r="17" spans="2:5" ht="13.5" customHeight="1" x14ac:dyDescent="0.2"/>
    <row r="18" spans="2:5" ht="13.5" customHeight="1" x14ac:dyDescent="0.2">
      <c r="B18" s="2029" t="s">
        <v>2217</v>
      </c>
      <c r="C18" s="2029"/>
      <c r="E18" s="2034" t="s">
        <v>2223</v>
      </c>
    </row>
    <row r="19" spans="2:5" ht="13.5" customHeight="1" x14ac:dyDescent="0.2"/>
    <row r="20" spans="2:5" ht="13.5" customHeight="1" x14ac:dyDescent="0.2">
      <c r="B20" s="2029" t="s">
        <v>2218</v>
      </c>
      <c r="C20" s="2029"/>
      <c r="E20" s="2034" t="s">
        <v>2221</v>
      </c>
    </row>
    <row r="21" spans="2:5" ht="13.5" customHeight="1" x14ac:dyDescent="0.2">
      <c r="E21" s="2034" t="s">
        <v>2222</v>
      </c>
    </row>
    <row r="22" spans="2:5" ht="13.5" customHeight="1" x14ac:dyDescent="0.2">
      <c r="E22" s="2034"/>
    </row>
    <row r="23" spans="2:5" ht="13.5" customHeight="1" x14ac:dyDescent="0.2"/>
    <row r="24" spans="2:5" ht="13.5" customHeight="1" x14ac:dyDescent="0.2"/>
    <row r="25" spans="2:5" ht="13.5" customHeight="1" x14ac:dyDescent="0.2">
      <c r="B25" s="2035"/>
      <c r="C25" s="2035"/>
      <c r="D25" s="2035"/>
    </row>
    <row r="26" spans="2:5" ht="13.5" customHeight="1" x14ac:dyDescent="0.2">
      <c r="B26" s="2035"/>
      <c r="C26" s="2035"/>
      <c r="D26" s="2035"/>
    </row>
    <row r="27" spans="2:5" ht="13.5" customHeight="1" x14ac:dyDescent="0.2">
      <c r="B27" s="2035"/>
      <c r="C27" s="2035"/>
      <c r="D27" s="203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36"/>
      <c r="C35" s="2036"/>
      <c r="D35" s="2036"/>
    </row>
    <row r="36" spans="2:5" ht="13.5" customHeight="1" x14ac:dyDescent="0.2"/>
    <row r="37" spans="2:5" ht="13.5" customHeight="1" x14ac:dyDescent="0.2">
      <c r="B37" s="2036"/>
      <c r="C37" s="2036"/>
      <c r="D37" s="2036"/>
    </row>
    <row r="38" spans="2:5" ht="13.5" customHeight="1" x14ac:dyDescent="0.2">
      <c r="B38" s="2036"/>
      <c r="C38" s="2036"/>
      <c r="D38" s="2036"/>
    </row>
    <row r="39" spans="2:5" ht="13.5" customHeight="1" x14ac:dyDescent="0.2">
      <c r="B39" s="2036"/>
      <c r="C39" s="2036"/>
      <c r="D39" s="2036"/>
    </row>
    <row r="40" spans="2:5" ht="13.5" customHeight="1" x14ac:dyDescent="0.2">
      <c r="B40" s="2036"/>
      <c r="C40" s="2036"/>
      <c r="D40" s="2036"/>
    </row>
    <row r="41" spans="2:5" ht="13.5" customHeight="1" x14ac:dyDescent="0.2">
      <c r="B41" s="2037"/>
      <c r="C41" s="2037"/>
      <c r="D41" s="2037"/>
      <c r="E41" s="2037"/>
    </row>
    <row r="42" spans="2:5" ht="12.2" customHeight="1" x14ac:dyDescent="0.2">
      <c r="B42" s="2038" t="s">
        <v>2219</v>
      </c>
      <c r="C42" s="2038"/>
      <c r="D42" s="2038"/>
    </row>
    <row r="43" spans="2:5" ht="12.2" customHeight="1" x14ac:dyDescent="0.2">
      <c r="B43" s="2039"/>
      <c r="C43" s="2039"/>
      <c r="D43" s="2039"/>
    </row>
    <row r="44" spans="2:5" ht="12.75" customHeight="1" x14ac:dyDescent="0.2">
      <c r="B44" s="2029"/>
      <c r="C44" s="2029"/>
      <c r="D44" s="2029"/>
    </row>
    <row r="45" spans="2:5" ht="12.75" customHeight="1" x14ac:dyDescent="0.2">
      <c r="B45" s="2029"/>
      <c r="C45" s="2029"/>
      <c r="D45" s="2029"/>
    </row>
    <row r="46" spans="2:5" x14ac:dyDescent="0.2">
      <c r="B46" s="2029"/>
      <c r="C46" s="2029"/>
      <c r="D46" s="2029"/>
    </row>
    <row r="47" spans="2:5" x14ac:dyDescent="0.2">
      <c r="B47" s="2029"/>
      <c r="C47" s="2029"/>
      <c r="D47" s="2029"/>
    </row>
    <row r="51" spans="2:4" x14ac:dyDescent="0.2">
      <c r="B51" s="2040"/>
      <c r="C51" s="2040"/>
      <c r="D51" s="204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1"/>
      <c r="C64" s="2041"/>
      <c r="D64" s="2041"/>
    </row>
    <row r="65" spans="2:4" x14ac:dyDescent="0.2">
      <c r="B65" s="2029"/>
      <c r="C65" s="2029"/>
      <c r="D65" s="2029"/>
    </row>
    <row r="66" spans="2:4" x14ac:dyDescent="0.2">
      <c r="B66" s="2029"/>
      <c r="C66" s="2029"/>
      <c r="D66" s="2029"/>
    </row>
    <row r="67" spans="2:4" x14ac:dyDescent="0.2">
      <c r="B67" s="2041"/>
      <c r="C67" s="2041"/>
      <c r="D67" s="2041"/>
    </row>
    <row r="68" spans="2:4" x14ac:dyDescent="0.2">
      <c r="B68" s="2041"/>
      <c r="C68" s="2041"/>
      <c r="D68" s="2041"/>
    </row>
    <row r="69" spans="2:4" x14ac:dyDescent="0.2">
      <c r="B69" s="2041"/>
      <c r="C69" s="2041"/>
      <c r="D69" s="2041"/>
    </row>
    <row r="70" spans="2:4" x14ac:dyDescent="0.2">
      <c r="B70" s="2029"/>
      <c r="C70" s="2029"/>
      <c r="D70" s="202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1" t="s">
        <v>386</v>
      </c>
      <c r="B1" s="2191"/>
      <c r="C1" s="2191"/>
      <c r="D1" s="2191"/>
      <c r="E1" s="2191"/>
      <c r="F1" s="2191"/>
      <c r="G1" s="2191"/>
      <c r="H1" s="2191"/>
      <c r="I1" s="2191"/>
      <c r="J1" s="2191"/>
      <c r="K1" s="2191"/>
      <c r="L1" s="2191"/>
      <c r="M1" s="21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77531249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2.6200000000000001E-2</v>
      </c>
      <c r="E10" s="356" t="s">
        <v>1005</v>
      </c>
      <c r="F10" s="355">
        <v>2.5000000000000001E-3</v>
      </c>
      <c r="G10" s="356" t="s">
        <v>1005</v>
      </c>
      <c r="H10" s="355">
        <v>1.1999999999999999E-3</v>
      </c>
      <c r="I10" s="356" t="s">
        <v>1006</v>
      </c>
      <c r="J10" s="1729">
        <f>ROUND(D10+F10+H10,5)</f>
        <v>2.9899999999999999E-2</v>
      </c>
      <c r="K10" s="222"/>
      <c r="L10" s="355">
        <v>5.0000000000000001E-4</v>
      </c>
      <c r="M10" s="222"/>
    </row>
    <row r="11" spans="1:14" ht="7.5" customHeight="1" x14ac:dyDescent="0.2">
      <c r="B11" s="222"/>
      <c r="C11" s="222"/>
      <c r="D11" s="2201" t="str">
        <f>IF(SUM(J10)&lt;=0.0999999,"","Enter the Tax Rates by moving the decimal two places to the left.")</f>
        <v/>
      </c>
      <c r="E11" s="2202"/>
      <c r="F11" s="2202"/>
      <c r="G11" s="2202"/>
      <c r="H11" s="2202"/>
      <c r="I11" s="2202"/>
      <c r="J11" s="22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6782761</v>
      </c>
      <c r="E16" s="356"/>
      <c r="F16" s="1730">
        <f>SUM('Acct Summary 7-8'!C17,'Acct Summary 7-8'!D17,'Acct Summary 7-8'!F17)</f>
        <v>6392728</v>
      </c>
      <c r="G16" s="356"/>
      <c r="H16" s="1730">
        <f>SUM(D16-F16)</f>
        <v>390033</v>
      </c>
      <c r="I16" s="222"/>
      <c r="J16" s="1730">
        <f>SUM('Acct Summary 7-8'!C81,'Acct Summary 7-8'!D81,'Acct Summary 7-8'!F81,'Acct Summary 7-8'!I81)</f>
        <v>8382906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5349656.1810000008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3010000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92"/>
      <c r="C54" s="2193"/>
      <c r="D54" s="2193"/>
      <c r="E54" s="2193"/>
      <c r="F54" s="2193"/>
      <c r="G54" s="2193"/>
      <c r="H54" s="2193"/>
      <c r="I54" s="2193"/>
      <c r="J54" s="2193"/>
      <c r="K54" s="2193"/>
      <c r="L54" s="2194"/>
      <c r="M54" s="380"/>
    </row>
    <row r="55" spans="1:13" ht="12.75" customHeight="1" x14ac:dyDescent="0.2">
      <c r="B55" s="2195"/>
      <c r="C55" s="2196"/>
      <c r="D55" s="2196"/>
      <c r="E55" s="2196"/>
      <c r="F55" s="2196"/>
      <c r="G55" s="2196"/>
      <c r="H55" s="2196"/>
      <c r="I55" s="2196"/>
      <c r="J55" s="2196"/>
      <c r="K55" s="2196"/>
      <c r="L55" s="2197"/>
      <c r="M55" s="380"/>
    </row>
    <row r="56" spans="1:13" ht="12.75" customHeight="1" x14ac:dyDescent="0.2">
      <c r="B56" s="2195"/>
      <c r="C56" s="2196"/>
      <c r="D56" s="2196"/>
      <c r="E56" s="2196"/>
      <c r="F56" s="2196"/>
      <c r="G56" s="2196"/>
      <c r="H56" s="2196"/>
      <c r="I56" s="2196"/>
      <c r="J56" s="2196"/>
      <c r="K56" s="2196"/>
      <c r="L56" s="2197"/>
      <c r="M56" s="222"/>
    </row>
    <row r="57" spans="1:13" ht="12.75" customHeight="1" x14ac:dyDescent="0.2">
      <c r="B57" s="2195"/>
      <c r="C57" s="2196"/>
      <c r="D57" s="2196"/>
      <c r="E57" s="2196"/>
      <c r="F57" s="2196"/>
      <c r="G57" s="2196"/>
      <c r="H57" s="2196"/>
      <c r="I57" s="2196"/>
      <c r="J57" s="2196"/>
      <c r="K57" s="2196"/>
      <c r="L57" s="2197"/>
      <c r="M57" s="222"/>
    </row>
    <row r="58" spans="1:13" x14ac:dyDescent="0.2">
      <c r="B58" s="2198"/>
      <c r="C58" s="2199"/>
      <c r="D58" s="2199"/>
      <c r="E58" s="2199"/>
      <c r="F58" s="2199"/>
      <c r="G58" s="2199"/>
      <c r="H58" s="2199"/>
      <c r="I58" s="2199"/>
      <c r="J58" s="2199"/>
      <c r="K58" s="2199"/>
      <c r="L58" s="22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3"/>
      <c r="D61" s="22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6"/>
      <c r="B1" s="2207"/>
      <c r="C1" s="2207"/>
      <c r="D1" s="384"/>
      <c r="E1" s="384"/>
      <c r="F1" s="384"/>
      <c r="G1" s="384"/>
      <c r="H1" s="384"/>
      <c r="I1" s="384"/>
      <c r="J1" s="384"/>
      <c r="K1" s="384"/>
      <c r="L1" s="384"/>
      <c r="M1" s="384"/>
      <c r="N1" s="384"/>
      <c r="O1" s="2206"/>
      <c r="P1" s="2207"/>
      <c r="Q1" s="2207"/>
    </row>
    <row r="2" spans="1:18" ht="15" x14ac:dyDescent="0.2">
      <c r="A2" s="2210" t="s">
        <v>556</v>
      </c>
      <c r="B2" s="2210"/>
      <c r="C2" s="2210"/>
      <c r="D2" s="2210"/>
      <c r="E2" s="2210"/>
      <c r="F2" s="2210"/>
      <c r="G2" s="2210"/>
      <c r="H2" s="2210"/>
      <c r="I2" s="2210"/>
      <c r="J2" s="2210"/>
      <c r="K2" s="2210"/>
      <c r="L2" s="2210"/>
      <c r="M2" s="2210"/>
      <c r="N2" s="2210"/>
      <c r="O2" s="2210"/>
      <c r="P2" s="2210"/>
      <c r="Q2" s="2210"/>
      <c r="R2" s="2210"/>
    </row>
    <row r="3" spans="1:18" ht="12.75" x14ac:dyDescent="0.2">
      <c r="A3" s="2211" t="s">
        <v>1413</v>
      </c>
      <c r="B3" s="2211"/>
      <c r="C3" s="2211"/>
      <c r="D3" s="2211"/>
      <c r="E3" s="2211"/>
      <c r="F3" s="2211"/>
      <c r="G3" s="2211"/>
      <c r="H3" s="2211"/>
      <c r="I3" s="2211"/>
      <c r="J3" s="2211"/>
      <c r="K3" s="2211"/>
      <c r="L3" s="2211"/>
      <c r="M3" s="2211"/>
      <c r="N3" s="2211"/>
      <c r="O3" s="2211"/>
      <c r="P3" s="2211"/>
      <c r="Q3" s="2211"/>
      <c r="R3" s="2211"/>
    </row>
    <row r="4" spans="1:18" x14ac:dyDescent="0.2">
      <c r="A4" s="2212" t="s">
        <v>1554</v>
      </c>
      <c r="B4" s="2212"/>
      <c r="C4" s="2212"/>
      <c r="D4" s="2212"/>
      <c r="E4" s="2212"/>
      <c r="F4" s="2212"/>
      <c r="G4" s="2212"/>
      <c r="H4" s="2212"/>
      <c r="I4" s="2212"/>
      <c r="J4" s="2212"/>
      <c r="K4" s="2212"/>
      <c r="L4" s="2212"/>
      <c r="M4" s="2212"/>
      <c r="N4" s="2212"/>
      <c r="O4" s="2212"/>
      <c r="P4" s="2212"/>
      <c r="Q4" s="2212"/>
      <c r="R4" s="22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Silvis SD 34</v>
      </c>
      <c r="E7" s="391"/>
      <c r="G7" s="252"/>
      <c r="H7" s="387"/>
      <c r="I7" s="387"/>
      <c r="J7" s="387"/>
      <c r="K7" s="387"/>
      <c r="L7" s="329"/>
      <c r="M7" s="329"/>
      <c r="N7" s="329"/>
      <c r="O7" s="329"/>
      <c r="P7" s="329"/>
    </row>
    <row r="8" spans="1:18" ht="12.75" x14ac:dyDescent="0.2">
      <c r="A8" s="329"/>
      <c r="B8" s="329"/>
      <c r="C8" s="389" t="s">
        <v>1125</v>
      </c>
      <c r="D8" s="392">
        <f>COVER!A13</f>
        <v>49081034002</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8382906</v>
      </c>
      <c r="I12" s="404"/>
      <c r="J12" s="404"/>
      <c r="K12" s="405">
        <f>TRUNC((H12/H13*100000),5)/100000</f>
        <v>1.2359135165999999</v>
      </c>
      <c r="L12" s="406"/>
      <c r="M12" s="360" t="s">
        <v>1144</v>
      </c>
      <c r="N12" s="360"/>
      <c r="O12" s="407">
        <v>0.35</v>
      </c>
      <c r="P12" s="218"/>
      <c r="Q12" s="218"/>
    </row>
    <row r="13" spans="1:18" s="408" customFormat="1" ht="12.75" x14ac:dyDescent="0.2">
      <c r="A13" s="218"/>
      <c r="B13" s="401"/>
      <c r="C13" s="2208" t="s">
        <v>1324</v>
      </c>
      <c r="D13" s="2209"/>
      <c r="E13" s="218"/>
      <c r="F13" s="409" t="s">
        <v>793</v>
      </c>
      <c r="G13" s="402"/>
      <c r="H13" s="403">
        <f>SUM('Acct Summary 7-8'!C8+'Acct Summary 7-8'!D8+'Acct Summary 7-8'!F8+'Acct Summary 7-8'!I8)+H14</f>
        <v>6782761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6392728</v>
      </c>
      <c r="I17" s="404"/>
      <c r="J17" s="416"/>
      <c r="K17" s="405">
        <f>TRUNC((H17/H18*100000),5)/100000</f>
        <v>0.94249642580000004</v>
      </c>
      <c r="L17" s="406"/>
      <c r="M17" s="417" t="s">
        <v>1171</v>
      </c>
      <c r="O17" s="418" t="str">
        <f>IF(AND(O16="2", J20 &gt; 2),"1",IF(AND(O16 = "1", J20 &gt; 2),"2",IF(AND(O16="1", J20 &gt;1),"1","0")))</f>
        <v>0</v>
      </c>
      <c r="P17" s="218"/>
    </row>
    <row r="18" spans="1:18" s="408" customFormat="1" ht="11.25" x14ac:dyDescent="0.2">
      <c r="A18" s="218"/>
      <c r="B18" s="401"/>
      <c r="C18" s="2208" t="s">
        <v>1317</v>
      </c>
      <c r="D18" s="2209"/>
      <c r="E18" s="218"/>
      <c r="F18" s="419" t="s">
        <v>794</v>
      </c>
      <c r="G18" s="402"/>
      <c r="H18" s="403">
        <f>SUM('Acct Summary 7-8'!C8+'Acct Summary 7-8'!D8+'Acct Summary 7-8'!F8+'Acct Summary 7-8'!I8)+H19</f>
        <v>6782761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05" t="s">
        <v>1412</v>
      </c>
      <c r="D24" s="2205"/>
      <c r="E24" s="218"/>
      <c r="F24" s="218" t="s">
        <v>445</v>
      </c>
      <c r="G24" s="402"/>
      <c r="H24" s="403">
        <f>SUM('Assets-Liab 5-6'!C4+'Assets-Liab 5-6'!D4+'Assets-Liab 5-6'!F4+'Assets-Liab 5-6'!I4+'Assets-Liab 5-6'!C5+'Assets-Liab 5-6'!D5+'Assets-Liab 5-6'!F5+'Assets-Liab 5-6'!I5)</f>
        <v>8382906</v>
      </c>
      <c r="I24" s="422"/>
      <c r="J24" s="422"/>
      <c r="K24" s="423">
        <f>TRUNC(((H24/H25*100000)/100000),2)</f>
        <v>472.07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17757.57778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1970456.69334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3010000</v>
      </c>
      <c r="I32" s="420"/>
      <c r="J32" s="420"/>
      <c r="K32" s="423">
        <f>TRUNC(100-((((H32/H33*100))*100)/100),2)</f>
        <v>43.73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5349656.1810000008</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15" t="s">
        <v>973</v>
      </c>
      <c r="B3" s="2216"/>
      <c r="C3" s="1556"/>
      <c r="D3" s="1557"/>
      <c r="E3" s="1557"/>
      <c r="F3" s="1557"/>
      <c r="G3" s="1557"/>
      <c r="H3" s="1557"/>
      <c r="I3" s="1557"/>
      <c r="J3" s="1557"/>
      <c r="K3" s="1557"/>
      <c r="L3" s="1557"/>
      <c r="M3" s="1558"/>
      <c r="N3" s="1559"/>
    </row>
    <row r="4" spans="1:14" ht="13.5" customHeight="1" x14ac:dyDescent="0.2">
      <c r="A4" s="463" t="s">
        <v>1651</v>
      </c>
      <c r="B4" s="464"/>
      <c r="C4" s="465">
        <v>5204236</v>
      </c>
      <c r="D4" s="465">
        <v>1915158</v>
      </c>
      <c r="E4" s="465">
        <v>158966</v>
      </c>
      <c r="F4" s="465">
        <v>435836</v>
      </c>
      <c r="G4" s="465">
        <v>234540</v>
      </c>
      <c r="H4" s="465">
        <v>475020</v>
      </c>
      <c r="I4" s="465">
        <v>445900</v>
      </c>
      <c r="J4" s="465">
        <v>212241</v>
      </c>
      <c r="K4" s="465">
        <v>40928</v>
      </c>
      <c r="L4" s="465">
        <v>38029</v>
      </c>
      <c r="M4" s="468"/>
      <c r="N4" s="469"/>
    </row>
    <row r="5" spans="1:14" x14ac:dyDescent="0.2">
      <c r="A5" s="463" t="s">
        <v>992</v>
      </c>
      <c r="B5" s="470">
        <v>120</v>
      </c>
      <c r="C5" s="465">
        <v>183685</v>
      </c>
      <c r="D5" s="465">
        <v>0</v>
      </c>
      <c r="E5" s="465">
        <v>0</v>
      </c>
      <c r="F5" s="465">
        <v>0</v>
      </c>
      <c r="G5" s="465">
        <v>38907</v>
      </c>
      <c r="H5" s="465">
        <v>0</v>
      </c>
      <c r="I5" s="465">
        <v>198091</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5387921</v>
      </c>
      <c r="D13" s="1734">
        <f t="shared" ref="D13:L13" si="0">SUM(D4:D12)</f>
        <v>1915158</v>
      </c>
      <c r="E13" s="1734">
        <f t="shared" si="0"/>
        <v>158966</v>
      </c>
      <c r="F13" s="1734">
        <f t="shared" si="0"/>
        <v>435836</v>
      </c>
      <c r="G13" s="1734">
        <f t="shared" si="0"/>
        <v>273447</v>
      </c>
      <c r="H13" s="1734">
        <f t="shared" si="0"/>
        <v>475020</v>
      </c>
      <c r="I13" s="1734">
        <f t="shared" si="0"/>
        <v>643991</v>
      </c>
      <c r="J13" s="1734">
        <f t="shared" si="0"/>
        <v>212241</v>
      </c>
      <c r="K13" s="1734">
        <f t="shared" si="0"/>
        <v>40928</v>
      </c>
      <c r="L13" s="1734">
        <f t="shared" si="0"/>
        <v>38029</v>
      </c>
      <c r="M13" s="468"/>
      <c r="N13" s="469"/>
    </row>
    <row r="14" spans="1:14" ht="18" customHeight="1" thickTop="1" x14ac:dyDescent="0.2">
      <c r="A14" s="2217" t="s">
        <v>147</v>
      </c>
      <c r="B14" s="221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988388</v>
      </c>
      <c r="N16" s="482"/>
    </row>
    <row r="17" spans="1:14" s="483" customFormat="1" ht="12.75" customHeight="1" x14ac:dyDescent="0.2">
      <c r="A17" s="480" t="s">
        <v>1403</v>
      </c>
      <c r="B17" s="481">
        <v>230</v>
      </c>
      <c r="C17" s="475"/>
      <c r="D17" s="475"/>
      <c r="E17" s="475"/>
      <c r="F17" s="475"/>
      <c r="G17" s="475"/>
      <c r="H17" s="475"/>
      <c r="I17" s="475"/>
      <c r="J17" s="475"/>
      <c r="K17" s="475"/>
      <c r="L17" s="475"/>
      <c r="M17" s="465">
        <v>19953312</v>
      </c>
      <c r="N17" s="482"/>
    </row>
    <row r="18" spans="1:14" s="483" customFormat="1" ht="12.75" customHeight="1" x14ac:dyDescent="0.2">
      <c r="A18" s="480" t="s">
        <v>1404</v>
      </c>
      <c r="B18" s="481">
        <v>240</v>
      </c>
      <c r="C18" s="475"/>
      <c r="D18" s="475"/>
      <c r="E18" s="475"/>
      <c r="F18" s="475"/>
      <c r="G18" s="475"/>
      <c r="H18" s="475"/>
      <c r="I18" s="475"/>
      <c r="J18" s="475"/>
      <c r="K18" s="475"/>
      <c r="L18" s="475"/>
      <c r="M18" s="465">
        <v>1301782</v>
      </c>
      <c r="N18" s="482"/>
    </row>
    <row r="19" spans="1:14" s="483" customFormat="1" ht="12.75" customHeight="1" x14ac:dyDescent="0.2">
      <c r="A19" s="480" t="s">
        <v>1405</v>
      </c>
      <c r="B19" s="481">
        <v>250</v>
      </c>
      <c r="C19" s="475"/>
      <c r="D19" s="475"/>
      <c r="E19" s="475"/>
      <c r="F19" s="475"/>
      <c r="G19" s="475"/>
      <c r="H19" s="475"/>
      <c r="I19" s="475"/>
      <c r="J19" s="475"/>
      <c r="K19" s="475"/>
      <c r="L19" s="475"/>
      <c r="M19" s="465">
        <v>735985</v>
      </c>
      <c r="N19" s="482"/>
    </row>
    <row r="20" spans="1:14" s="483" customFormat="1" ht="12.75" customHeight="1" x14ac:dyDescent="0.2">
      <c r="A20" s="480" t="s">
        <v>1406</v>
      </c>
      <c r="B20" s="481">
        <v>260</v>
      </c>
      <c r="C20" s="475"/>
      <c r="D20" s="475"/>
      <c r="E20" s="475"/>
      <c r="F20" s="475"/>
      <c r="G20" s="475"/>
      <c r="H20" s="475"/>
      <c r="I20" s="475"/>
      <c r="J20" s="475"/>
      <c r="K20" s="475"/>
      <c r="L20" s="475"/>
      <c r="M20" s="465">
        <v>68184</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158966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2851034</v>
      </c>
    </row>
    <row r="23" spans="1:14" ht="13.5" customHeight="1" thickBot="1" x14ac:dyDescent="0.25">
      <c r="A23" s="1733" t="s">
        <v>643</v>
      </c>
      <c r="B23" s="1738"/>
      <c r="C23" s="468"/>
      <c r="D23" s="468"/>
      <c r="E23" s="468"/>
      <c r="F23" s="468"/>
      <c r="G23" s="468"/>
      <c r="H23" s="468"/>
      <c r="I23" s="468"/>
      <c r="J23" s="468"/>
      <c r="K23" s="468"/>
      <c r="L23" s="468"/>
      <c r="M23" s="1685">
        <f>SUM(M15:M22)</f>
        <v>23047651</v>
      </c>
      <c r="N23" s="1685">
        <f>SUM(N21:N22)</f>
        <v>3010000</v>
      </c>
    </row>
    <row r="24" spans="1:14" ht="18" customHeight="1" thickTop="1" x14ac:dyDescent="0.2">
      <c r="A24" s="2219" t="s">
        <v>598</v>
      </c>
      <c r="B24" s="222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18213</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18213</v>
      </c>
      <c r="M34" s="468"/>
      <c r="N34" s="478"/>
    </row>
    <row r="35" spans="1:14" ht="18" customHeight="1" thickTop="1" x14ac:dyDescent="0.2">
      <c r="A35" s="2221" t="s">
        <v>529</v>
      </c>
      <c r="B35" s="222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3010000</v>
      </c>
    </row>
    <row r="37" spans="1:14" ht="13.5" thickBot="1" x14ac:dyDescent="0.25">
      <c r="A37" s="1733" t="s">
        <v>653</v>
      </c>
      <c r="B37" s="1738"/>
      <c r="C37" s="475"/>
      <c r="D37" s="475"/>
      <c r="E37" s="475"/>
      <c r="F37" s="475"/>
      <c r="G37" s="475"/>
      <c r="H37" s="475"/>
      <c r="I37" s="475"/>
      <c r="J37" s="475"/>
      <c r="K37" s="475"/>
      <c r="L37" s="478"/>
      <c r="M37" s="468"/>
      <c r="N37" s="1685">
        <f>SUM(N36:N36)</f>
        <v>3010000</v>
      </c>
    </row>
    <row r="38" spans="1:14" s="329" customFormat="1" ht="13.5" customHeight="1" thickTop="1" x14ac:dyDescent="0.2">
      <c r="A38" s="493" t="s">
        <v>420</v>
      </c>
      <c r="B38" s="481">
        <v>714</v>
      </c>
      <c r="C38" s="465">
        <v>7997</v>
      </c>
      <c r="D38" s="465">
        <v>0</v>
      </c>
      <c r="E38" s="465">
        <v>0</v>
      </c>
      <c r="F38" s="465">
        <v>0</v>
      </c>
      <c r="G38" s="465">
        <v>185252</v>
      </c>
      <c r="H38" s="465">
        <v>475020</v>
      </c>
      <c r="I38" s="465">
        <v>0</v>
      </c>
      <c r="J38" s="465">
        <v>0</v>
      </c>
      <c r="K38" s="465">
        <v>0</v>
      </c>
      <c r="L38" s="465">
        <v>19816</v>
      </c>
      <c r="M38" s="494"/>
      <c r="N38" s="494"/>
    </row>
    <row r="39" spans="1:14" s="329" customFormat="1" ht="13.5" customHeight="1" x14ac:dyDescent="0.2">
      <c r="A39" s="493" t="s">
        <v>342</v>
      </c>
      <c r="B39" s="481">
        <v>730</v>
      </c>
      <c r="C39" s="465">
        <v>5379924</v>
      </c>
      <c r="D39" s="465">
        <v>1915158</v>
      </c>
      <c r="E39" s="465">
        <v>158966</v>
      </c>
      <c r="F39" s="465">
        <v>435836</v>
      </c>
      <c r="G39" s="465">
        <v>88195</v>
      </c>
      <c r="H39" s="465">
        <v>0</v>
      </c>
      <c r="I39" s="465">
        <v>643991</v>
      </c>
      <c r="J39" s="465">
        <v>212241</v>
      </c>
      <c r="K39" s="465">
        <v>40928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23047651</v>
      </c>
      <c r="N40" s="494"/>
    </row>
    <row r="41" spans="1:14" ht="13.5" customHeight="1" thickBot="1" x14ac:dyDescent="0.25">
      <c r="A41" s="1733" t="s">
        <v>655</v>
      </c>
      <c r="B41" s="1703"/>
      <c r="C41" s="1685">
        <f>(SUM(C34,C37,C38,C39))</f>
        <v>5387921</v>
      </c>
      <c r="D41" s="1685">
        <f t="shared" ref="D41:L41" si="2">SUM(D34,D37,D38:D39)</f>
        <v>1915158</v>
      </c>
      <c r="E41" s="1685">
        <f t="shared" si="2"/>
        <v>158966</v>
      </c>
      <c r="F41" s="1685">
        <f t="shared" si="2"/>
        <v>435836</v>
      </c>
      <c r="G41" s="1685">
        <f t="shared" si="2"/>
        <v>273447</v>
      </c>
      <c r="H41" s="1685">
        <f t="shared" si="2"/>
        <v>475020</v>
      </c>
      <c r="I41" s="1685">
        <f t="shared" si="2"/>
        <v>643991</v>
      </c>
      <c r="J41" s="1685">
        <f t="shared" si="2"/>
        <v>212241</v>
      </c>
      <c r="K41" s="1685">
        <f t="shared" si="2"/>
        <v>40928</v>
      </c>
      <c r="L41" s="1685">
        <f t="shared" si="2"/>
        <v>38029</v>
      </c>
      <c r="M41" s="1685">
        <f>SUM(M40)</f>
        <v>23047651</v>
      </c>
      <c r="N41" s="1685">
        <f>SUM(N37)</f>
        <v>3010000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1" sqref="J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3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3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43" t="s">
        <v>1175</v>
      </c>
      <c r="B3" s="2244"/>
      <c r="C3" s="1570"/>
      <c r="D3" s="1571"/>
      <c r="E3" s="1571"/>
      <c r="F3" s="1571"/>
      <c r="G3" s="1571"/>
      <c r="H3" s="1571"/>
      <c r="I3" s="1571"/>
      <c r="J3" s="1571"/>
      <c r="K3" s="1572"/>
      <c r="L3" s="503"/>
    </row>
    <row r="4" spans="1:13" ht="15.75" customHeight="1" x14ac:dyDescent="0.2">
      <c r="A4" s="1925" t="s">
        <v>1499</v>
      </c>
      <c r="B4" s="1926">
        <v>1000</v>
      </c>
      <c r="C4" s="1739">
        <f>'Revenues 9-14'!C109</f>
        <v>2348238</v>
      </c>
      <c r="D4" s="1739">
        <f>'Revenues 9-14'!D109</f>
        <v>341719</v>
      </c>
      <c r="E4" s="1739">
        <f>'Revenues 9-14'!E109</f>
        <v>407398</v>
      </c>
      <c r="F4" s="1739">
        <f>'Revenues 9-14'!F109</f>
        <v>198855</v>
      </c>
      <c r="G4" s="1739">
        <f>'Revenues 9-14'!G109</f>
        <v>189565</v>
      </c>
      <c r="H4" s="1739">
        <f>'Revenues 9-14'!H109</f>
        <v>341891</v>
      </c>
      <c r="I4" s="1739">
        <f>'Revenues 9-14'!I109</f>
        <v>45016</v>
      </c>
      <c r="J4" s="1739">
        <f>'Revenues 9-14'!J109</f>
        <v>151768</v>
      </c>
      <c r="K4" s="1739">
        <f>'Revenues 9-14'!K109</f>
        <v>526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2871807</v>
      </c>
      <c r="D6" s="1740">
        <f>'Revenues 9-14'!D170</f>
        <v>0</v>
      </c>
      <c r="E6" s="1740">
        <f>'Revenues 9-14'!E170</f>
        <v>0</v>
      </c>
      <c r="F6" s="1740">
        <f>'Revenues 9-14'!F170</f>
        <v>118000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858660</v>
      </c>
      <c r="D7" s="1740">
        <f>'Revenues 9-14'!D267</f>
        <v>0</v>
      </c>
      <c r="E7" s="1740">
        <f>'Revenues 9-14'!E267</f>
        <v>0</v>
      </c>
      <c r="F7" s="1740">
        <f>'Revenues 9-14'!F267</f>
        <v>466</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6078705</v>
      </c>
      <c r="D8" s="1685">
        <f t="shared" ref="D8:K8" si="0">SUM(D4:D7)</f>
        <v>341719</v>
      </c>
      <c r="E8" s="1685">
        <f t="shared" si="0"/>
        <v>407398</v>
      </c>
      <c r="F8" s="1685">
        <f t="shared" si="0"/>
        <v>317321</v>
      </c>
      <c r="G8" s="1685">
        <f t="shared" si="0"/>
        <v>189565</v>
      </c>
      <c r="H8" s="1685">
        <f t="shared" si="0"/>
        <v>341891</v>
      </c>
      <c r="I8" s="1685">
        <f t="shared" si="0"/>
        <v>45016</v>
      </c>
      <c r="J8" s="1685">
        <f t="shared" si="0"/>
        <v>151768</v>
      </c>
      <c r="K8" s="1685">
        <f t="shared" si="0"/>
        <v>526</v>
      </c>
      <c r="L8" s="347"/>
    </row>
    <row r="9" spans="1:13" ht="15.75" thickTop="1" x14ac:dyDescent="0.2">
      <c r="A9" s="511" t="s">
        <v>1653</v>
      </c>
      <c r="B9" s="512">
        <v>3998</v>
      </c>
      <c r="C9" s="465">
        <v>2071721</v>
      </c>
      <c r="D9" s="513"/>
      <c r="E9" s="479"/>
      <c r="F9" s="479"/>
      <c r="G9" s="514"/>
      <c r="H9" s="479"/>
      <c r="I9" s="506" t="s">
        <v>1169</v>
      </c>
      <c r="J9" s="476"/>
      <c r="K9" s="479"/>
      <c r="L9" s="347"/>
    </row>
    <row r="10" spans="1:13" s="516" customFormat="1" ht="13.5" thickBot="1" x14ac:dyDescent="0.25">
      <c r="A10" s="1733" t="s">
        <v>1173</v>
      </c>
      <c r="B10" s="1706"/>
      <c r="C10" s="1685">
        <f>SUM(C8:C9)</f>
        <v>8150426</v>
      </c>
      <c r="D10" s="1685">
        <f t="shared" ref="D10:K10" si="1">SUM(D8:D9)</f>
        <v>341719</v>
      </c>
      <c r="E10" s="1685">
        <f t="shared" si="1"/>
        <v>407398</v>
      </c>
      <c r="F10" s="1685">
        <f t="shared" si="1"/>
        <v>317321</v>
      </c>
      <c r="G10" s="1685">
        <f t="shared" si="1"/>
        <v>189565</v>
      </c>
      <c r="H10" s="1685">
        <f t="shared" si="1"/>
        <v>341891</v>
      </c>
      <c r="I10" s="1685">
        <f t="shared" si="1"/>
        <v>45016</v>
      </c>
      <c r="J10" s="1685">
        <f t="shared" si="1"/>
        <v>151768</v>
      </c>
      <c r="K10" s="1685">
        <f t="shared" si="1"/>
        <v>526</v>
      </c>
      <c r="L10" s="515"/>
    </row>
    <row r="11" spans="1:13" s="516" customFormat="1" ht="16.7" customHeight="1" thickTop="1" x14ac:dyDescent="0.2">
      <c r="A11" s="2217" t="s">
        <v>1176</v>
      </c>
      <c r="B11" s="2218"/>
      <c r="C11" s="1567"/>
      <c r="D11" s="1568"/>
      <c r="E11" s="1568"/>
      <c r="F11" s="1568"/>
      <c r="G11" s="1568"/>
      <c r="H11" s="1568"/>
      <c r="I11" s="1568"/>
      <c r="J11" s="1568"/>
      <c r="K11" s="1569"/>
      <c r="L11" s="515"/>
    </row>
    <row r="12" spans="1:13" ht="15.75" customHeight="1" x14ac:dyDescent="0.2">
      <c r="A12" s="1573" t="s">
        <v>456</v>
      </c>
      <c r="B12" s="1575">
        <v>1000</v>
      </c>
      <c r="C12" s="1739">
        <f>'Expenditures 15-22'!K33</f>
        <v>3622276</v>
      </c>
      <c r="D12" s="517" t="s">
        <v>1169</v>
      </c>
      <c r="E12" s="468" t="s">
        <v>1169</v>
      </c>
      <c r="F12" s="468" t="s">
        <v>1169</v>
      </c>
      <c r="G12" s="1739">
        <f>'Expenditures 15-22'!K229</f>
        <v>51514</v>
      </c>
      <c r="H12" s="518"/>
      <c r="I12" s="468" t="s">
        <v>1169</v>
      </c>
      <c r="J12" s="468" t="s">
        <v>1169</v>
      </c>
      <c r="K12" s="518" t="s">
        <v>1169</v>
      </c>
      <c r="L12" s="347"/>
    </row>
    <row r="13" spans="1:13" ht="15.75" customHeight="1" x14ac:dyDescent="0.2">
      <c r="A13" s="1573" t="s">
        <v>457</v>
      </c>
      <c r="B13" s="1575">
        <v>2000</v>
      </c>
      <c r="C13" s="1740">
        <f>'Expenditures 15-22'!K74</f>
        <v>1641707</v>
      </c>
      <c r="D13" s="1740">
        <f>'Expenditures 15-22'!K129</f>
        <v>224978</v>
      </c>
      <c r="E13" s="469" t="s">
        <v>1169</v>
      </c>
      <c r="F13" s="1740">
        <f>'Expenditures 15-22'!K184</f>
        <v>195570</v>
      </c>
      <c r="G13" s="1740">
        <f>'Expenditures 15-22'!K279</f>
        <v>85300</v>
      </c>
      <c r="H13" s="1740">
        <f>'Expenditures 15-22'!K303</f>
        <v>90493</v>
      </c>
      <c r="I13" s="468" t="s">
        <v>1169</v>
      </c>
      <c r="J13" s="1740">
        <f>'Expenditures 15-22'!K330</f>
        <v>102619</v>
      </c>
      <c r="K13" s="1744">
        <f>'Expenditures 15-22'!K352</f>
        <v>0</v>
      </c>
      <c r="L13" s="347"/>
    </row>
    <row r="14" spans="1:13" ht="15.75" customHeight="1" x14ac:dyDescent="0.2">
      <c r="A14" s="1573" t="s">
        <v>449</v>
      </c>
      <c r="B14" s="1575">
        <v>3000</v>
      </c>
      <c r="C14" s="1740">
        <f>'Expenditures 15-22'!K75</f>
        <v>13985</v>
      </c>
      <c r="D14" s="1740">
        <f>'Expenditures 15-22'!K130</f>
        <v>0</v>
      </c>
      <c r="E14" s="517" t="s">
        <v>1169</v>
      </c>
      <c r="F14" s="1740">
        <f>'Expenditures 15-22'!K185</f>
        <v>0</v>
      </c>
      <c r="G14" s="1740">
        <f>'Expenditures 15-22'!K280</f>
        <v>570</v>
      </c>
      <c r="H14" s="509"/>
      <c r="I14" s="468" t="s">
        <v>1169</v>
      </c>
      <c r="J14" s="468" t="s">
        <v>1169</v>
      </c>
      <c r="K14" s="509" t="s">
        <v>1169</v>
      </c>
      <c r="L14" s="347"/>
    </row>
    <row r="15" spans="1:13" ht="15.75" customHeight="1" x14ac:dyDescent="0.2">
      <c r="A15" s="1573" t="s">
        <v>107</v>
      </c>
      <c r="B15" s="1575">
        <v>4000</v>
      </c>
      <c r="C15" s="1740">
        <f>'Expenditures 15-22'!K102</f>
        <v>506493</v>
      </c>
      <c r="D15" s="1740">
        <f>'Expenditures 15-22'!K139</f>
        <v>104318</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440386</v>
      </c>
      <c r="F16" s="1740">
        <f>'Expenditures 15-22'!K208</f>
        <v>83401</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5784461</v>
      </c>
      <c r="D17" s="1685">
        <f t="shared" si="2"/>
        <v>329296</v>
      </c>
      <c r="E17" s="1685">
        <f t="shared" si="2"/>
        <v>440386</v>
      </c>
      <c r="F17" s="1685">
        <f t="shared" si="2"/>
        <v>278971</v>
      </c>
      <c r="G17" s="1685">
        <f t="shared" si="2"/>
        <v>137384</v>
      </c>
      <c r="H17" s="1685">
        <f t="shared" si="2"/>
        <v>90493</v>
      </c>
      <c r="I17" s="468"/>
      <c r="J17" s="1685">
        <f>SUM(J12:J16)</f>
        <v>102619</v>
      </c>
      <c r="K17" s="1685">
        <f>SUM(K12:K16)</f>
        <v>0</v>
      </c>
      <c r="L17" s="347"/>
    </row>
    <row r="18" spans="1:12" ht="15" customHeight="1" thickTop="1" x14ac:dyDescent="0.2">
      <c r="A18" s="1741" t="s">
        <v>1654</v>
      </c>
      <c r="B18" s="1742">
        <v>4180</v>
      </c>
      <c r="C18" s="1739">
        <f t="shared" ref="C18:H18" si="3">C9</f>
        <v>2071721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7856182</v>
      </c>
      <c r="D19" s="1685">
        <f t="shared" si="4"/>
        <v>329296</v>
      </c>
      <c r="E19" s="1685">
        <f t="shared" si="4"/>
        <v>440386</v>
      </c>
      <c r="F19" s="1685">
        <f t="shared" si="4"/>
        <v>278971</v>
      </c>
      <c r="G19" s="1685">
        <f t="shared" si="4"/>
        <v>137384</v>
      </c>
      <c r="H19" s="1685">
        <f t="shared" si="4"/>
        <v>90493</v>
      </c>
      <c r="I19" s="468"/>
      <c r="J19" s="1685">
        <f>SUM(J17:J18)</f>
        <v>102619</v>
      </c>
      <c r="K19" s="1685">
        <f>SUM(K17:K18)</f>
        <v>0</v>
      </c>
      <c r="L19" s="347"/>
    </row>
    <row r="20" spans="1:12" ht="16.5" thickTop="1" thickBot="1" x14ac:dyDescent="0.25">
      <c r="A20" s="2233" t="s">
        <v>1655</v>
      </c>
      <c r="B20" s="2234"/>
      <c r="C20" s="1743">
        <f>C8-C17</f>
        <v>294244</v>
      </c>
      <c r="D20" s="1743">
        <f t="shared" ref="D20:K20" si="5">D8-D17</f>
        <v>12423</v>
      </c>
      <c r="E20" s="1743">
        <f t="shared" si="5"/>
        <v>-32988</v>
      </c>
      <c r="F20" s="1743">
        <f t="shared" si="5"/>
        <v>38350</v>
      </c>
      <c r="G20" s="1743">
        <f t="shared" si="5"/>
        <v>52181</v>
      </c>
      <c r="H20" s="1743">
        <f t="shared" si="5"/>
        <v>251398</v>
      </c>
      <c r="I20" s="1743">
        <f t="shared" si="5"/>
        <v>45016</v>
      </c>
      <c r="J20" s="1743">
        <f t="shared" si="5"/>
        <v>49149</v>
      </c>
      <c r="K20" s="1743">
        <f t="shared" si="5"/>
        <v>526</v>
      </c>
      <c r="L20" s="347"/>
    </row>
    <row r="21" spans="1:12" ht="16.7" customHeight="1" thickTop="1" x14ac:dyDescent="0.2">
      <c r="A21" s="2245" t="s">
        <v>595</v>
      </c>
      <c r="B21" s="2246"/>
      <c r="C21" s="1567"/>
      <c r="D21" s="1568"/>
      <c r="E21" s="1568"/>
      <c r="F21" s="1568"/>
      <c r="G21" s="1568"/>
      <c r="H21" s="1568"/>
      <c r="I21" s="1568"/>
      <c r="J21" s="1568"/>
      <c r="K21" s="1569"/>
      <c r="L21" s="521"/>
    </row>
    <row r="22" spans="1:12" ht="15.75" customHeight="1" collapsed="1" x14ac:dyDescent="0.2">
      <c r="A22" s="2241" t="s">
        <v>596</v>
      </c>
      <c r="B22" s="2242"/>
      <c r="C22" s="475"/>
      <c r="D22" s="475"/>
      <c r="E22" s="475"/>
      <c r="F22" s="475"/>
      <c r="G22" s="475"/>
      <c r="H22" s="475"/>
      <c r="I22" s="475"/>
      <c r="J22" s="475"/>
      <c r="K22" s="475"/>
      <c r="L22" s="347"/>
    </row>
    <row r="23" spans="1:12" s="483" customFormat="1" ht="15.75" customHeight="1" x14ac:dyDescent="0.2">
      <c r="A23" s="2237" t="s">
        <v>293</v>
      </c>
      <c r="B23" s="223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39" t="s">
        <v>981</v>
      </c>
      <c r="B32" s="224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47" t="s">
        <v>374</v>
      </c>
      <c r="B44" s="2248"/>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41" t="s">
        <v>108</v>
      </c>
      <c r="B45" s="2242"/>
      <c r="C45" s="525"/>
      <c r="D45" s="525"/>
      <c r="E45" s="525"/>
      <c r="F45" s="525"/>
      <c r="G45" s="525"/>
      <c r="H45" s="525"/>
      <c r="I45" s="525"/>
      <c r="J45" s="525"/>
      <c r="K45" s="525"/>
      <c r="L45" s="347"/>
    </row>
    <row r="46" spans="1:12" s="483" customFormat="1" ht="15.75" customHeight="1" x14ac:dyDescent="0.2">
      <c r="A46" s="2249" t="s">
        <v>109</v>
      </c>
      <c r="B46" s="225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23" t="s">
        <v>440</v>
      </c>
      <c r="B76" s="2224"/>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25" t="s">
        <v>1177</v>
      </c>
      <c r="B77" s="2226"/>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229" t="s">
        <v>597</v>
      </c>
      <c r="B78" s="2230"/>
      <c r="C78" s="1699">
        <f t="shared" ref="C78:K78" si="9">C20+C77</f>
        <v>294244</v>
      </c>
      <c r="D78" s="1699">
        <f t="shared" si="9"/>
        <v>12423</v>
      </c>
      <c r="E78" s="1699">
        <f t="shared" si="9"/>
        <v>-32988</v>
      </c>
      <c r="F78" s="1699">
        <f t="shared" si="9"/>
        <v>38350</v>
      </c>
      <c r="G78" s="1699">
        <f t="shared" si="9"/>
        <v>52181</v>
      </c>
      <c r="H78" s="1699">
        <f t="shared" si="9"/>
        <v>251398</v>
      </c>
      <c r="I78" s="1699">
        <f t="shared" si="9"/>
        <v>45016</v>
      </c>
      <c r="J78" s="1699">
        <f t="shared" si="9"/>
        <v>49149</v>
      </c>
      <c r="K78" s="1699">
        <f t="shared" si="9"/>
        <v>526</v>
      </c>
      <c r="L78" s="530"/>
    </row>
    <row r="79" spans="1:12" ht="13.5" thickTop="1" x14ac:dyDescent="0.2">
      <c r="A79" s="1491" t="s">
        <v>1946</v>
      </c>
      <c r="B79" s="531"/>
      <c r="C79" s="476">
        <v>5093677</v>
      </c>
      <c r="D79" s="476">
        <v>1902735</v>
      </c>
      <c r="E79" s="476">
        <v>191954</v>
      </c>
      <c r="F79" s="476">
        <v>397486</v>
      </c>
      <c r="G79" s="476">
        <v>221266</v>
      </c>
      <c r="H79" s="476">
        <v>223622</v>
      </c>
      <c r="I79" s="476">
        <v>598975</v>
      </c>
      <c r="J79" s="476">
        <v>163092</v>
      </c>
      <c r="K79" s="476">
        <v>40402</v>
      </c>
      <c r="L79" s="347"/>
    </row>
    <row r="80" spans="1:12" x14ac:dyDescent="0.2">
      <c r="A80" s="2235" t="s">
        <v>1792</v>
      </c>
      <c r="B80" s="2236"/>
      <c r="C80" s="467">
        <v>0</v>
      </c>
      <c r="D80" s="467">
        <v>0</v>
      </c>
      <c r="E80" s="467">
        <v>0</v>
      </c>
      <c r="F80" s="467">
        <v>0</v>
      </c>
      <c r="G80" s="467">
        <v>0</v>
      </c>
      <c r="H80" s="467">
        <v>0</v>
      </c>
      <c r="I80" s="467">
        <v>0</v>
      </c>
      <c r="J80" s="467">
        <v>0</v>
      </c>
      <c r="K80" s="467">
        <v>0</v>
      </c>
      <c r="L80" s="347"/>
    </row>
    <row r="81" spans="1:12" ht="13.5" thickBot="1" x14ac:dyDescent="0.25">
      <c r="A81" s="2227" t="s">
        <v>1947</v>
      </c>
      <c r="B81" s="2228"/>
      <c r="C81" s="1685">
        <f>(SUM(C78:C80))</f>
        <v>5387921</v>
      </c>
      <c r="D81" s="1685">
        <f>SUM(D78:D80)</f>
        <v>1915158</v>
      </c>
      <c r="E81" s="1685">
        <f t="shared" ref="E81:K81" si="10">SUM(E78:E80)</f>
        <v>158966</v>
      </c>
      <c r="F81" s="1685">
        <f t="shared" si="10"/>
        <v>435836</v>
      </c>
      <c r="G81" s="1685">
        <f t="shared" si="10"/>
        <v>273447</v>
      </c>
      <c r="H81" s="1685">
        <f t="shared" si="10"/>
        <v>475020</v>
      </c>
      <c r="I81" s="1685">
        <f t="shared" si="10"/>
        <v>643991</v>
      </c>
      <c r="J81" s="1685">
        <f t="shared" si="10"/>
        <v>212241</v>
      </c>
      <c r="K81" s="1685">
        <f t="shared" si="10"/>
        <v>40928</v>
      </c>
      <c r="L81" s="347"/>
    </row>
    <row r="82" spans="1:12" ht="0.75" customHeight="1" thickTop="1" thickBot="1" x14ac:dyDescent="0.25">
      <c r="A82" s="533" t="s">
        <v>343</v>
      </c>
      <c r="B82" s="534"/>
      <c r="C82" s="535">
        <f>(C81-C79)</f>
        <v>294244</v>
      </c>
      <c r="D82" s="535">
        <f t="shared" ref="D82:K82" si="11">(D81-D79)</f>
        <v>12423</v>
      </c>
      <c r="E82" s="535">
        <f t="shared" si="11"/>
        <v>-32988</v>
      </c>
      <c r="F82" s="535">
        <f t="shared" si="11"/>
        <v>38350</v>
      </c>
      <c r="G82" s="535">
        <f t="shared" si="11"/>
        <v>52181</v>
      </c>
      <c r="H82" s="535">
        <f t="shared" si="11"/>
        <v>251398</v>
      </c>
      <c r="I82" s="535">
        <f t="shared" si="11"/>
        <v>45016</v>
      </c>
      <c r="J82" s="535">
        <f t="shared" si="11"/>
        <v>49149</v>
      </c>
      <c r="K82" s="535">
        <f t="shared" si="11"/>
        <v>526</v>
      </c>
    </row>
    <row r="83" spans="1:12" ht="14.25" hidden="1" thickTop="1" thickBot="1" x14ac:dyDescent="0.25">
      <c r="A83" s="536" t="s">
        <v>344</v>
      </c>
      <c r="B83" s="464"/>
      <c r="C83" s="537">
        <f>C82/C81</f>
        <v>5.4611788108994176E-2</v>
      </c>
      <c r="D83" s="537">
        <f t="shared" ref="D83:K83" si="12">D82/D81</f>
        <v>6.4866710736137699E-3</v>
      </c>
      <c r="E83" s="537">
        <f t="shared" si="12"/>
        <v>-0.20751607261930224</v>
      </c>
      <c r="F83" s="537">
        <f t="shared" si="12"/>
        <v>8.7991813434411106E-2</v>
      </c>
      <c r="G83" s="537">
        <f t="shared" si="12"/>
        <v>0.1908267415623503</v>
      </c>
      <c r="H83" s="537">
        <f t="shared" si="12"/>
        <v>0.52923666371942235</v>
      </c>
      <c r="I83" s="537">
        <f t="shared" si="12"/>
        <v>6.9901598003698814E-2</v>
      </c>
      <c r="J83" s="537">
        <f t="shared" si="12"/>
        <v>0.23157165674869606</v>
      </c>
      <c r="K83" s="537">
        <f t="shared" si="12"/>
        <v>1.2851837372947615E-2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1" sqref="J31"/>
      <selection pane="bottomLeft" activeCell="C16" sqref="C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31" t="s">
        <v>1799</v>
      </c>
      <c r="B1" s="452"/>
      <c r="C1" s="453" t="s">
        <v>425</v>
      </c>
      <c r="D1" s="453" t="s">
        <v>426</v>
      </c>
      <c r="E1" s="453" t="s">
        <v>427</v>
      </c>
      <c r="F1" s="453" t="s">
        <v>428</v>
      </c>
      <c r="G1" s="453" t="s">
        <v>429</v>
      </c>
      <c r="H1" s="453" t="s">
        <v>430</v>
      </c>
      <c r="I1" s="453" t="s">
        <v>431</v>
      </c>
      <c r="J1" s="453" t="s">
        <v>432</v>
      </c>
      <c r="K1" s="453" t="s">
        <v>756</v>
      </c>
    </row>
    <row r="2" spans="1:12" ht="36" x14ac:dyDescent="0.2">
      <c r="A2" s="223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2007697</v>
      </c>
      <c r="D5" s="479">
        <v>191574</v>
      </c>
      <c r="E5" s="466">
        <v>403249</v>
      </c>
      <c r="F5" s="545">
        <v>91955</v>
      </c>
      <c r="G5" s="466">
        <v>60597</v>
      </c>
      <c r="H5" s="466">
        <v>0</v>
      </c>
      <c r="I5" s="466">
        <v>38315</v>
      </c>
      <c r="J5" s="467">
        <v>144364</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15325</v>
      </c>
      <c r="D7" s="466">
        <v>0</v>
      </c>
      <c r="E7" s="468"/>
      <c r="F7" s="467">
        <v>0</v>
      </c>
      <c r="G7" s="467">
        <v>0</v>
      </c>
      <c r="H7" s="467">
        <v>0</v>
      </c>
      <c r="I7" s="468"/>
      <c r="J7" s="468"/>
      <c r="K7" s="468"/>
    </row>
    <row r="8" spans="1:12" x14ac:dyDescent="0.2">
      <c r="A8" s="463" t="s">
        <v>413</v>
      </c>
      <c r="B8" s="470">
        <v>1150</v>
      </c>
      <c r="C8" s="474"/>
      <c r="D8" s="474"/>
      <c r="E8" s="475"/>
      <c r="F8" s="475"/>
      <c r="G8" s="479">
        <v>117332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2023022</v>
      </c>
      <c r="D12" s="1704">
        <f t="shared" si="0"/>
        <v>191574</v>
      </c>
      <c r="E12" s="1704">
        <f t="shared" si="0"/>
        <v>403249</v>
      </c>
      <c r="F12" s="1704">
        <f t="shared" si="0"/>
        <v>91955</v>
      </c>
      <c r="G12" s="1704">
        <f t="shared" si="0"/>
        <v>177929</v>
      </c>
      <c r="H12" s="1704">
        <f t="shared" si="0"/>
        <v>0</v>
      </c>
      <c r="I12" s="1704">
        <f t="shared" si="0"/>
        <v>38315</v>
      </c>
      <c r="J12" s="1704">
        <f t="shared" si="0"/>
        <v>144364</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4334</v>
      </c>
      <c r="D14" s="466">
        <v>410</v>
      </c>
      <c r="E14" s="466">
        <v>945</v>
      </c>
      <c r="F14" s="466">
        <v>197</v>
      </c>
      <c r="G14" s="466">
        <v>403</v>
      </c>
      <c r="H14" s="466">
        <v>0</v>
      </c>
      <c r="I14" s="466">
        <v>82</v>
      </c>
      <c r="J14" s="467">
        <v>316</v>
      </c>
      <c r="K14" s="466">
        <v>0</v>
      </c>
    </row>
    <row r="15" spans="1:12" ht="12.75" customHeight="1" x14ac:dyDescent="0.2">
      <c r="A15" s="463" t="s">
        <v>95</v>
      </c>
      <c r="B15" s="470">
        <v>1220</v>
      </c>
      <c r="C15" s="548">
        <v>3294</v>
      </c>
      <c r="D15" s="466">
        <v>314</v>
      </c>
      <c r="E15" s="466">
        <v>720</v>
      </c>
      <c r="F15" s="466">
        <v>151</v>
      </c>
      <c r="G15" s="466">
        <v>300</v>
      </c>
      <c r="H15" s="466">
        <v>0</v>
      </c>
      <c r="I15" s="466">
        <v>62</v>
      </c>
      <c r="J15" s="467">
        <v>234</v>
      </c>
      <c r="K15" s="466">
        <v>0</v>
      </c>
    </row>
    <row r="16" spans="1:12" ht="15" customHeight="1" x14ac:dyDescent="0.2">
      <c r="A16" s="463" t="s">
        <v>1663</v>
      </c>
      <c r="B16" s="546">
        <v>1230</v>
      </c>
      <c r="C16" s="548">
        <v>166958</v>
      </c>
      <c r="D16" s="466">
        <v>123304</v>
      </c>
      <c r="E16" s="466">
        <v>0</v>
      </c>
      <c r="F16" s="466">
        <v>75239</v>
      </c>
      <c r="G16" s="466">
        <v>7962</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174586</v>
      </c>
      <c r="D18" s="1707">
        <f t="shared" ref="D18:K18" si="1">SUM(D14:D17)</f>
        <v>124028</v>
      </c>
      <c r="E18" s="1707">
        <f t="shared" si="1"/>
        <v>1665</v>
      </c>
      <c r="F18" s="1707">
        <f t="shared" si="1"/>
        <v>75587</v>
      </c>
      <c r="G18" s="1707">
        <f t="shared" si="1"/>
        <v>8665</v>
      </c>
      <c r="H18" s="1707">
        <f t="shared" si="1"/>
        <v>0</v>
      </c>
      <c r="I18" s="1707">
        <f t="shared" si="1"/>
        <v>144</v>
      </c>
      <c r="J18" s="1707">
        <f t="shared" si="1"/>
        <v>550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17160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17160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24410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24410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64950</v>
      </c>
      <c r="D65" s="466">
        <v>24612</v>
      </c>
      <c r="E65" s="466">
        <v>2484</v>
      </c>
      <c r="F65" s="467">
        <v>4992</v>
      </c>
      <c r="G65" s="466">
        <v>2971</v>
      </c>
      <c r="H65" s="466">
        <v>4231</v>
      </c>
      <c r="I65" s="466">
        <v>6557</v>
      </c>
      <c r="J65" s="467">
        <v>2189</v>
      </c>
      <c r="K65" s="466">
        <v>526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64950</v>
      </c>
      <c r="D67" s="1685">
        <f t="shared" ref="D67:K67" si="2">SUM(D65:D66)</f>
        <v>24612</v>
      </c>
      <c r="E67" s="1685">
        <f t="shared" si="2"/>
        <v>2484</v>
      </c>
      <c r="F67" s="1685">
        <f t="shared" si="2"/>
        <v>4992</v>
      </c>
      <c r="G67" s="1685">
        <f t="shared" si="2"/>
        <v>2971</v>
      </c>
      <c r="H67" s="1685">
        <f t="shared" si="2"/>
        <v>4231</v>
      </c>
      <c r="I67" s="1685">
        <f t="shared" si="2"/>
        <v>6557</v>
      </c>
      <c r="J67" s="1685">
        <f t="shared" si="2"/>
        <v>2189</v>
      </c>
      <c r="K67" s="1685">
        <f t="shared" si="2"/>
        <v>526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1919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3520</v>
      </c>
      <c r="D73" s="468"/>
      <c r="E73" s="468"/>
      <c r="F73" s="468"/>
      <c r="G73" s="468"/>
      <c r="H73" s="468"/>
      <c r="I73" s="468"/>
      <c r="J73" s="468"/>
      <c r="K73" s="468"/>
    </row>
    <row r="74" spans="1:11" ht="12.75" customHeight="1" x14ac:dyDescent="0.2">
      <c r="A74" s="463" t="s">
        <v>25</v>
      </c>
      <c r="B74" s="470">
        <v>1690</v>
      </c>
      <c r="C74" s="548">
        <v>169</v>
      </c>
      <c r="D74" s="468"/>
      <c r="E74" s="468"/>
      <c r="F74" s="468"/>
      <c r="G74" s="468"/>
      <c r="H74" s="468"/>
      <c r="I74" s="468"/>
      <c r="J74" s="468"/>
      <c r="K74" s="468"/>
    </row>
    <row r="75" spans="1:11" ht="12.75" customHeight="1" thickBot="1" x14ac:dyDescent="0.25">
      <c r="A75" s="1705" t="s">
        <v>548</v>
      </c>
      <c r="B75" s="1706"/>
      <c r="C75" s="1685">
        <f>SUM(C69:C74)</f>
        <v>5608</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5634</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5634</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16684</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16684</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1505</v>
      </c>
      <c r="E95" s="518"/>
      <c r="F95" s="518"/>
      <c r="G95" s="518"/>
      <c r="H95" s="518"/>
      <c r="I95" s="518"/>
      <c r="J95" s="518"/>
      <c r="K95" s="518"/>
    </row>
    <row r="96" spans="1:11" ht="12.75" customHeight="1" x14ac:dyDescent="0.2">
      <c r="A96" s="463" t="s">
        <v>391</v>
      </c>
      <c r="B96" s="470">
        <v>1920</v>
      </c>
      <c r="C96" s="548">
        <v>2004</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39</v>
      </c>
      <c r="D99" s="466">
        <v>0</v>
      </c>
      <c r="E99" s="466">
        <v>0</v>
      </c>
      <c r="F99" s="466">
        <v>0</v>
      </c>
      <c r="G99" s="466">
        <v>0</v>
      </c>
      <c r="H99" s="466">
        <v>0</v>
      </c>
      <c r="I99" s="468"/>
      <c r="J99" s="467">
        <v>4665</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337660</v>
      </c>
      <c r="I103" s="468"/>
      <c r="J103" s="507"/>
      <c r="K103" s="507"/>
    </row>
    <row r="104" spans="1:12" ht="12.75" customHeight="1" x14ac:dyDescent="0.2">
      <c r="A104" s="463" t="s">
        <v>830</v>
      </c>
      <c r="B104" s="470">
        <v>1991</v>
      </c>
      <c r="C104" s="486">
        <v>9931</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33</v>
      </c>
      <c r="D106" s="486">
        <v>0</v>
      </c>
      <c r="E106" s="467">
        <v>0</v>
      </c>
      <c r="F106" s="467">
        <v>0</v>
      </c>
      <c r="G106" s="467">
        <v>0</v>
      </c>
      <c r="H106" s="467">
        <v>0</v>
      </c>
      <c r="I106" s="518"/>
      <c r="J106" s="467">
        <v>0</v>
      </c>
      <c r="K106" s="467">
        <v>0</v>
      </c>
    </row>
    <row r="107" spans="1:12" ht="12.75" customHeight="1" x14ac:dyDescent="0.2">
      <c r="A107" s="463" t="s">
        <v>78</v>
      </c>
      <c r="B107" s="470">
        <v>1999</v>
      </c>
      <c r="C107" s="548">
        <v>28587</v>
      </c>
      <c r="D107" s="466">
        <v>0</v>
      </c>
      <c r="E107" s="466">
        <v>0</v>
      </c>
      <c r="F107" s="466">
        <v>1911</v>
      </c>
      <c r="G107" s="466">
        <v>0</v>
      </c>
      <c r="H107" s="466">
        <v>0</v>
      </c>
      <c r="I107" s="466">
        <v>0</v>
      </c>
      <c r="J107" s="467">
        <v>0</v>
      </c>
      <c r="K107" s="466">
        <v>0</v>
      </c>
    </row>
    <row r="108" spans="1:12" ht="12.75" customHeight="1" thickBot="1" x14ac:dyDescent="0.25">
      <c r="A108" s="1705" t="s">
        <v>487</v>
      </c>
      <c r="B108" s="1709"/>
      <c r="C108" s="1704">
        <f>SUM(C95:C107)</f>
        <v>40594</v>
      </c>
      <c r="D108" s="1704">
        <f t="shared" ref="D108:K108" si="3">SUM(D95:D107)</f>
        <v>1505</v>
      </c>
      <c r="E108" s="1704">
        <f t="shared" si="3"/>
        <v>0</v>
      </c>
      <c r="F108" s="1704">
        <f t="shared" si="3"/>
        <v>1911</v>
      </c>
      <c r="G108" s="1704">
        <f t="shared" si="3"/>
        <v>0</v>
      </c>
      <c r="H108" s="1704">
        <f t="shared" si="3"/>
        <v>337660</v>
      </c>
      <c r="I108" s="1704">
        <f t="shared" si="3"/>
        <v>0</v>
      </c>
      <c r="J108" s="1704">
        <f t="shared" si="3"/>
        <v>4665</v>
      </c>
      <c r="K108" s="1685">
        <f t="shared" si="3"/>
        <v>0</v>
      </c>
    </row>
    <row r="109" spans="1:12" ht="14.25" thickTop="1" thickBot="1" x14ac:dyDescent="0.25">
      <c r="A109" s="1710" t="s">
        <v>248</v>
      </c>
      <c r="B109" s="1711" t="s">
        <v>570</v>
      </c>
      <c r="C109" s="1712">
        <f t="shared" ref="C109:K109" si="4">SUM(C12,C18,C40,C63,C67,C75,C82,C93,C108,)</f>
        <v>2348238</v>
      </c>
      <c r="D109" s="1712">
        <f t="shared" si="4"/>
        <v>341719</v>
      </c>
      <c r="E109" s="1712">
        <f t="shared" si="4"/>
        <v>407398</v>
      </c>
      <c r="F109" s="1712">
        <f t="shared" si="4"/>
        <v>198855</v>
      </c>
      <c r="G109" s="1712">
        <f t="shared" si="4"/>
        <v>189565</v>
      </c>
      <c r="H109" s="1712">
        <f t="shared" si="4"/>
        <v>341891</v>
      </c>
      <c r="I109" s="1712">
        <f t="shared" si="4"/>
        <v>45016</v>
      </c>
      <c r="J109" s="1712">
        <f t="shared" si="4"/>
        <v>151768</v>
      </c>
      <c r="K109" s="1699">
        <f t="shared" si="4"/>
        <v>526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2638063</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7"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2638063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6233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14838</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21071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8024</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62465</v>
      </c>
      <c r="G152" s="467">
        <v>0</v>
      </c>
      <c r="H152" s="468"/>
      <c r="I152" s="468"/>
      <c r="J152" s="468"/>
      <c r="K152" s="468"/>
    </row>
    <row r="153" spans="1:11" ht="12.75" customHeight="1" x14ac:dyDescent="0.2">
      <c r="A153" s="463" t="s">
        <v>1057</v>
      </c>
      <c r="B153" s="559">
        <v>3510</v>
      </c>
      <c r="C153" s="548">
        <v>0</v>
      </c>
      <c r="D153" s="466">
        <v>0</v>
      </c>
      <c r="E153" s="558"/>
      <c r="F153" s="466">
        <v>55535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118000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172348</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32301</v>
      </c>
      <c r="D168" s="577">
        <v>0</v>
      </c>
      <c r="E168" s="577">
        <v>0</v>
      </c>
      <c r="F168" s="577">
        <v>0</v>
      </c>
      <c r="G168" s="578">
        <v>0</v>
      </c>
      <c r="H168" s="579">
        <v>0</v>
      </c>
      <c r="I168" s="578">
        <v>0</v>
      </c>
      <c r="J168" s="578">
        <v>0</v>
      </c>
      <c r="K168" s="579">
        <v>0</v>
      </c>
    </row>
    <row r="169" spans="1:11" ht="12.75" customHeight="1" thickTop="1" thickBot="1" x14ac:dyDescent="0.25">
      <c r="A169" s="2251" t="s">
        <v>398</v>
      </c>
      <c r="B169" s="2252"/>
      <c r="C169" s="1719">
        <f t="shared" ref="C169:K169" si="6">SUM(C132,C141,C145,C146:C150,C155,C156:C167,C168)</f>
        <v>233744</v>
      </c>
      <c r="D169" s="1719">
        <f t="shared" si="6"/>
        <v>0</v>
      </c>
      <c r="E169" s="1719">
        <f t="shared" si="6"/>
        <v>0</v>
      </c>
      <c r="F169" s="1719">
        <f t="shared" si="6"/>
        <v>118000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2871807</v>
      </c>
      <c r="D170" s="1712">
        <f t="shared" si="7"/>
        <v>0</v>
      </c>
      <c r="E170" s="1712">
        <f t="shared" si="7"/>
        <v>0</v>
      </c>
      <c r="F170" s="1712">
        <f t="shared" si="7"/>
        <v>118000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53" t="s">
        <v>1492</v>
      </c>
      <c r="B172" s="225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57" t="s">
        <v>1665</v>
      </c>
      <c r="B175" s="225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61" t="s">
        <v>1664</v>
      </c>
      <c r="B176" s="226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59" t="s">
        <v>785</v>
      </c>
      <c r="B181" s="226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55" t="s">
        <v>1800</v>
      </c>
      <c r="B182" s="225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297669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105916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21852</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425437</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250263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250263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2455</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2455</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124979</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124979</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3159</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21436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1934</v>
      </c>
      <c r="B261" s="470">
        <v>4981</v>
      </c>
      <c r="C261" s="572">
        <v>0</v>
      </c>
      <c r="D261" s="573">
        <v>0</v>
      </c>
      <c r="E261" s="468"/>
      <c r="F261" s="573">
        <v>0</v>
      </c>
      <c r="G261" s="573">
        <v>0</v>
      </c>
      <c r="H261" s="468"/>
      <c r="I261" s="468"/>
      <c r="J261" s="468"/>
      <c r="K261" s="468"/>
    </row>
    <row r="262" spans="1:11" ht="12.75" customHeight="1" thickTop="1" thickBot="1" x14ac:dyDescent="0.25">
      <c r="A262" s="1928"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10967</v>
      </c>
      <c r="D263" s="573">
        <v>0</v>
      </c>
      <c r="E263" s="468"/>
      <c r="F263" s="573">
        <v>0</v>
      </c>
      <c r="G263" s="573">
        <v>0</v>
      </c>
      <c r="H263" s="468"/>
      <c r="I263" s="468"/>
      <c r="J263" s="468"/>
      <c r="K263" s="468"/>
    </row>
    <row r="264" spans="1:11" ht="12.75" customHeight="1" thickTop="1" thickBot="1" x14ac:dyDescent="0.25">
      <c r="A264" s="463" t="s">
        <v>377</v>
      </c>
      <c r="B264" s="470">
        <v>4992</v>
      </c>
      <c r="C264" s="572">
        <v>19964</v>
      </c>
      <c r="D264" s="573">
        <v>0</v>
      </c>
      <c r="E264" s="468"/>
      <c r="F264" s="573">
        <v>466</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858660</v>
      </c>
      <c r="D266" s="1712">
        <f t="shared" si="10"/>
        <v>0</v>
      </c>
      <c r="E266" s="1712">
        <f t="shared" si="10"/>
        <v>0</v>
      </c>
      <c r="F266" s="1712">
        <f t="shared" si="10"/>
        <v>466</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858660</v>
      </c>
      <c r="D267" s="1712">
        <f>SUM(D175,D181,D266)</f>
        <v>0</v>
      </c>
      <c r="E267" s="1712">
        <f>SUM(E175,E266)</f>
        <v>0</v>
      </c>
      <c r="F267" s="1712">
        <f t="shared" ref="F267:K267" si="11">SUM(F175,F181,F266)</f>
        <v>466</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6078705</v>
      </c>
      <c r="D268" s="1712">
        <f t="shared" si="12"/>
        <v>341719</v>
      </c>
      <c r="E268" s="1712">
        <f t="shared" si="12"/>
        <v>407398</v>
      </c>
      <c r="F268" s="1712">
        <f t="shared" si="12"/>
        <v>317321</v>
      </c>
      <c r="G268" s="1712">
        <f t="shared" si="12"/>
        <v>189565</v>
      </c>
      <c r="H268" s="1712">
        <f t="shared" si="12"/>
        <v>341891</v>
      </c>
      <c r="I268" s="1712">
        <f t="shared" si="12"/>
        <v>45016</v>
      </c>
      <c r="J268" s="1712">
        <f t="shared" si="12"/>
        <v>151768</v>
      </c>
      <c r="K268" s="1699">
        <f t="shared" si="12"/>
        <v>526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61" bottom="0.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1" sqref="J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31"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63"/>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69" t="s">
        <v>297</v>
      </c>
      <c r="B3" s="2270"/>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1918744</v>
      </c>
      <c r="D5" s="466">
        <v>335220</v>
      </c>
      <c r="E5" s="466">
        <v>196035</v>
      </c>
      <c r="F5" s="466">
        <v>135549</v>
      </c>
      <c r="G5" s="466">
        <v>6301</v>
      </c>
      <c r="H5" s="466">
        <v>0</v>
      </c>
      <c r="I5" s="467">
        <v>40177</v>
      </c>
      <c r="J5" s="467">
        <v>0</v>
      </c>
      <c r="K5" s="1668">
        <f>SUM(C5:J5)</f>
        <v>2632026</v>
      </c>
      <c r="L5" s="471">
        <v>2567499</v>
      </c>
    </row>
    <row r="6" spans="1:14" x14ac:dyDescent="0.2">
      <c r="A6" s="1501" t="s">
        <v>1433</v>
      </c>
      <c r="B6" s="611" t="s">
        <v>1431</v>
      </c>
      <c r="C6" s="475"/>
      <c r="D6" s="475"/>
      <c r="E6" s="466">
        <v>0</v>
      </c>
      <c r="F6" s="475"/>
      <c r="G6" s="475"/>
      <c r="H6" s="475"/>
      <c r="I6" s="475"/>
      <c r="J6" s="475"/>
      <c r="K6" s="1668">
        <f>SUM(C6,E6)</f>
        <v>0</v>
      </c>
      <c r="L6" s="471">
        <v>197550</v>
      </c>
    </row>
    <row r="7" spans="1:14" x14ac:dyDescent="0.2">
      <c r="A7" s="1501" t="s">
        <v>163</v>
      </c>
      <c r="B7" s="611" t="s">
        <v>967</v>
      </c>
      <c r="C7" s="467">
        <v>104306</v>
      </c>
      <c r="D7" s="467">
        <v>41574</v>
      </c>
      <c r="E7" s="467">
        <v>115</v>
      </c>
      <c r="F7" s="467">
        <v>1799</v>
      </c>
      <c r="G7" s="467">
        <v>0</v>
      </c>
      <c r="H7" s="467">
        <v>0</v>
      </c>
      <c r="I7" s="467">
        <v>0</v>
      </c>
      <c r="J7" s="467">
        <v>0</v>
      </c>
      <c r="K7" s="1668">
        <f t="shared" ref="K7:K32" si="0">SUM(C7:J7)</f>
        <v>147794</v>
      </c>
      <c r="L7" s="471">
        <v>141095</v>
      </c>
    </row>
    <row r="8" spans="1:14" x14ac:dyDescent="0.2">
      <c r="A8" s="1501" t="s">
        <v>164</v>
      </c>
      <c r="B8" s="611">
        <v>1200</v>
      </c>
      <c r="C8" s="466">
        <v>351336</v>
      </c>
      <c r="D8" s="466">
        <v>90451</v>
      </c>
      <c r="E8" s="466">
        <v>5233</v>
      </c>
      <c r="F8" s="466">
        <v>1692</v>
      </c>
      <c r="G8" s="466">
        <v>0</v>
      </c>
      <c r="H8" s="466">
        <v>0</v>
      </c>
      <c r="I8" s="467">
        <v>0</v>
      </c>
      <c r="J8" s="467">
        <v>0</v>
      </c>
      <c r="K8" s="1668">
        <f t="shared" si="0"/>
        <v>448712</v>
      </c>
      <c r="L8" s="471">
        <v>449955</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127372</v>
      </c>
      <c r="D10" s="466">
        <v>28540</v>
      </c>
      <c r="E10" s="466">
        <v>17229</v>
      </c>
      <c r="F10" s="466">
        <v>32050</v>
      </c>
      <c r="G10" s="466">
        <v>0</v>
      </c>
      <c r="H10" s="466">
        <v>0</v>
      </c>
      <c r="I10" s="467">
        <v>1406</v>
      </c>
      <c r="J10" s="467">
        <v>0</v>
      </c>
      <c r="K10" s="1668">
        <f t="shared" si="0"/>
        <v>206597</v>
      </c>
      <c r="L10" s="471">
        <v>232164</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54782</v>
      </c>
      <c r="D14" s="466">
        <v>463</v>
      </c>
      <c r="E14" s="466">
        <v>9133</v>
      </c>
      <c r="F14" s="466">
        <v>1799</v>
      </c>
      <c r="G14" s="466">
        <v>0</v>
      </c>
      <c r="H14" s="466">
        <v>0</v>
      </c>
      <c r="I14" s="467">
        <v>0</v>
      </c>
      <c r="J14" s="467">
        <v>0</v>
      </c>
      <c r="K14" s="1668">
        <f t="shared" si="0"/>
        <v>66177</v>
      </c>
      <c r="L14" s="471">
        <v>63870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81653</v>
      </c>
      <c r="D18" s="467">
        <v>31220</v>
      </c>
      <c r="E18" s="467">
        <v>2078</v>
      </c>
      <c r="F18" s="466">
        <v>2124</v>
      </c>
      <c r="G18" s="466">
        <v>3895</v>
      </c>
      <c r="H18" s="466">
        <v>0</v>
      </c>
      <c r="I18" s="467">
        <v>0</v>
      </c>
      <c r="J18" s="467">
        <v>0</v>
      </c>
      <c r="K18" s="1668">
        <f t="shared" si="0"/>
        <v>120970</v>
      </c>
      <c r="L18" s="471">
        <v>112482</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2638193</v>
      </c>
      <c r="D33" s="1667">
        <f t="shared" ref="D33:L33" si="1">SUM(D5:D32)</f>
        <v>527468</v>
      </c>
      <c r="E33" s="1667">
        <f t="shared" si="1"/>
        <v>229823</v>
      </c>
      <c r="F33" s="1667">
        <f t="shared" si="1"/>
        <v>175013</v>
      </c>
      <c r="G33" s="1667">
        <f t="shared" si="1"/>
        <v>10196</v>
      </c>
      <c r="H33" s="1667">
        <f t="shared" si="1"/>
        <v>0</v>
      </c>
      <c r="I33" s="1667">
        <f t="shared" si="1"/>
        <v>41583</v>
      </c>
      <c r="J33" s="1667">
        <f t="shared" si="1"/>
        <v>0</v>
      </c>
      <c r="K33" s="1667">
        <f t="shared" si="1"/>
        <v>3622276</v>
      </c>
      <c r="L33" s="1667">
        <f t="shared" si="1"/>
        <v>3764615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70835</v>
      </c>
      <c r="D38" s="466">
        <v>16663</v>
      </c>
      <c r="E38" s="466">
        <v>1036</v>
      </c>
      <c r="F38" s="466">
        <v>801</v>
      </c>
      <c r="G38" s="466">
        <v>0</v>
      </c>
      <c r="H38" s="466">
        <v>0</v>
      </c>
      <c r="I38" s="467">
        <v>0</v>
      </c>
      <c r="J38" s="467">
        <v>0</v>
      </c>
      <c r="K38" s="1668">
        <f t="shared" si="2"/>
        <v>89335</v>
      </c>
      <c r="L38" s="466">
        <v>100883</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19811</v>
      </c>
      <c r="D41" s="466">
        <v>5694</v>
      </c>
      <c r="E41" s="466">
        <v>0</v>
      </c>
      <c r="F41" s="466">
        <v>0</v>
      </c>
      <c r="G41" s="466">
        <v>0</v>
      </c>
      <c r="H41" s="466">
        <v>0</v>
      </c>
      <c r="I41" s="467">
        <v>0</v>
      </c>
      <c r="J41" s="467">
        <v>0</v>
      </c>
      <c r="K41" s="1668">
        <f t="shared" si="2"/>
        <v>25505</v>
      </c>
      <c r="L41" s="466">
        <v>25040</v>
      </c>
    </row>
    <row r="42" spans="1:14" ht="12.75" customHeight="1" thickBot="1" x14ac:dyDescent="0.25">
      <c r="A42" s="1665" t="s">
        <v>560</v>
      </c>
      <c r="B42" s="1666" t="s">
        <v>716</v>
      </c>
      <c r="C42" s="1667">
        <f>SUM(C36:C41)</f>
        <v>90646</v>
      </c>
      <c r="D42" s="1667">
        <f t="shared" ref="D42:L42" si="3">SUM(D36:D41)</f>
        <v>22357</v>
      </c>
      <c r="E42" s="1667">
        <f t="shared" si="3"/>
        <v>1036</v>
      </c>
      <c r="F42" s="1667">
        <f t="shared" si="3"/>
        <v>801</v>
      </c>
      <c r="G42" s="1667">
        <f t="shared" si="3"/>
        <v>0</v>
      </c>
      <c r="H42" s="1667">
        <f t="shared" si="3"/>
        <v>0</v>
      </c>
      <c r="I42" s="1667">
        <f t="shared" si="3"/>
        <v>0</v>
      </c>
      <c r="J42" s="1667">
        <f t="shared" si="3"/>
        <v>0</v>
      </c>
      <c r="K42" s="1667">
        <f t="shared" si="3"/>
        <v>114840</v>
      </c>
      <c r="L42" s="1667">
        <f t="shared" si="3"/>
        <v>125923</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11875</v>
      </c>
      <c r="D44" s="479">
        <v>883</v>
      </c>
      <c r="E44" s="479">
        <v>27244</v>
      </c>
      <c r="F44" s="479">
        <v>0</v>
      </c>
      <c r="G44" s="479">
        <v>0</v>
      </c>
      <c r="H44" s="479">
        <v>0</v>
      </c>
      <c r="I44" s="467">
        <v>0</v>
      </c>
      <c r="J44" s="467">
        <v>0</v>
      </c>
      <c r="K44" s="1669">
        <f>SUM(C44:J44)</f>
        <v>40002</v>
      </c>
      <c r="L44" s="479">
        <v>66435</v>
      </c>
    </row>
    <row r="45" spans="1:14" x14ac:dyDescent="0.2">
      <c r="A45" s="1501" t="s">
        <v>815</v>
      </c>
      <c r="B45" s="611">
        <v>2220</v>
      </c>
      <c r="C45" s="466">
        <v>74107</v>
      </c>
      <c r="D45" s="466">
        <v>9254</v>
      </c>
      <c r="E45" s="466">
        <v>65</v>
      </c>
      <c r="F45" s="466">
        <v>5012</v>
      </c>
      <c r="G45" s="466">
        <v>0</v>
      </c>
      <c r="H45" s="466">
        <v>0</v>
      </c>
      <c r="I45" s="467">
        <v>0</v>
      </c>
      <c r="J45" s="467">
        <v>0</v>
      </c>
      <c r="K45" s="1669">
        <f>SUM(C45:J45)</f>
        <v>88438</v>
      </c>
      <c r="L45" s="466">
        <v>93397</v>
      </c>
    </row>
    <row r="46" spans="1:14" x14ac:dyDescent="0.2">
      <c r="A46" s="1501" t="s">
        <v>816</v>
      </c>
      <c r="B46" s="611">
        <v>2230</v>
      </c>
      <c r="C46" s="466">
        <v>0</v>
      </c>
      <c r="D46" s="466">
        <v>0</v>
      </c>
      <c r="E46" s="466">
        <v>8054</v>
      </c>
      <c r="F46" s="466">
        <v>0</v>
      </c>
      <c r="G46" s="466">
        <v>0</v>
      </c>
      <c r="H46" s="466">
        <v>0</v>
      </c>
      <c r="I46" s="467">
        <v>0</v>
      </c>
      <c r="J46" s="467">
        <v>0</v>
      </c>
      <c r="K46" s="1669">
        <f>SUM(C46:J46)</f>
        <v>8054</v>
      </c>
      <c r="L46" s="466">
        <v>10500</v>
      </c>
    </row>
    <row r="47" spans="1:14" ht="12.75" customHeight="1" thickBot="1" x14ac:dyDescent="0.25">
      <c r="A47" s="1665" t="s">
        <v>561</v>
      </c>
      <c r="B47" s="1666" t="s">
        <v>32</v>
      </c>
      <c r="C47" s="1667">
        <f>SUM(C44:C46)</f>
        <v>85982</v>
      </c>
      <c r="D47" s="1667">
        <f t="shared" ref="D47:K47" si="4">SUM(D44:D46)</f>
        <v>10137</v>
      </c>
      <c r="E47" s="1667">
        <f t="shared" si="4"/>
        <v>35363</v>
      </c>
      <c r="F47" s="1667">
        <f t="shared" si="4"/>
        <v>5012</v>
      </c>
      <c r="G47" s="1667">
        <f t="shared" si="4"/>
        <v>0</v>
      </c>
      <c r="H47" s="1667">
        <f t="shared" si="4"/>
        <v>0</v>
      </c>
      <c r="I47" s="1667">
        <f t="shared" si="4"/>
        <v>0</v>
      </c>
      <c r="J47" s="1667">
        <f t="shared" si="4"/>
        <v>0</v>
      </c>
      <c r="K47" s="1667">
        <f t="shared" si="4"/>
        <v>136494</v>
      </c>
      <c r="L47" s="1667">
        <f>SUM(L44:L46)</f>
        <v>170332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2158</v>
      </c>
      <c r="D49" s="479">
        <v>32</v>
      </c>
      <c r="E49" s="479">
        <v>39308</v>
      </c>
      <c r="F49" s="479">
        <v>6360</v>
      </c>
      <c r="G49" s="479">
        <v>0</v>
      </c>
      <c r="H49" s="479">
        <v>0</v>
      </c>
      <c r="I49" s="467">
        <v>0</v>
      </c>
      <c r="J49" s="467">
        <v>0</v>
      </c>
      <c r="K49" s="1669">
        <f>SUM(C49:J49)</f>
        <v>47858</v>
      </c>
      <c r="L49" s="479">
        <v>39480</v>
      </c>
    </row>
    <row r="50" spans="1:14" x14ac:dyDescent="0.2">
      <c r="A50" s="1501" t="s">
        <v>818</v>
      </c>
      <c r="B50" s="611">
        <v>2320</v>
      </c>
      <c r="C50" s="467">
        <v>156851</v>
      </c>
      <c r="D50" s="466">
        <v>3353</v>
      </c>
      <c r="E50" s="466">
        <v>7177</v>
      </c>
      <c r="F50" s="466">
        <v>515</v>
      </c>
      <c r="G50" s="466">
        <v>0</v>
      </c>
      <c r="H50" s="466">
        <v>0</v>
      </c>
      <c r="I50" s="467">
        <v>0</v>
      </c>
      <c r="J50" s="467">
        <v>0</v>
      </c>
      <c r="K50" s="1669">
        <f>SUM(C50:J50)</f>
        <v>167896</v>
      </c>
      <c r="L50" s="466">
        <v>172615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159009</v>
      </c>
      <c r="D53" s="1667">
        <f t="shared" ref="D53:L53" si="5">SUM(D49:D52)</f>
        <v>3385</v>
      </c>
      <c r="E53" s="1667">
        <f t="shared" si="5"/>
        <v>46485</v>
      </c>
      <c r="F53" s="1667">
        <f t="shared" si="5"/>
        <v>6875</v>
      </c>
      <c r="G53" s="1667">
        <f t="shared" si="5"/>
        <v>0</v>
      </c>
      <c r="H53" s="1667">
        <f t="shared" si="5"/>
        <v>0</v>
      </c>
      <c r="I53" s="1667">
        <f t="shared" si="5"/>
        <v>0</v>
      </c>
      <c r="J53" s="1667">
        <f t="shared" si="5"/>
        <v>0</v>
      </c>
      <c r="K53" s="1667">
        <f t="shared" si="5"/>
        <v>215754</v>
      </c>
      <c r="L53" s="1667">
        <f t="shared" si="5"/>
        <v>212095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339433</v>
      </c>
      <c r="D55" s="479">
        <v>77585</v>
      </c>
      <c r="E55" s="479">
        <v>20803</v>
      </c>
      <c r="F55" s="479">
        <v>86</v>
      </c>
      <c r="G55" s="479">
        <v>0</v>
      </c>
      <c r="H55" s="479">
        <v>0</v>
      </c>
      <c r="I55" s="467">
        <v>0</v>
      </c>
      <c r="J55" s="467">
        <v>0</v>
      </c>
      <c r="K55" s="1669">
        <f>SUM(C55:J55)</f>
        <v>437907</v>
      </c>
      <c r="L55" s="479">
        <v>486555</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339433</v>
      </c>
      <c r="D57" s="1671">
        <f t="shared" ref="D57:K57" si="6">SUM(D55:D56)</f>
        <v>77585</v>
      </c>
      <c r="E57" s="1671">
        <f t="shared" si="6"/>
        <v>20803</v>
      </c>
      <c r="F57" s="1671">
        <f t="shared" si="6"/>
        <v>86</v>
      </c>
      <c r="G57" s="1671">
        <f t="shared" si="6"/>
        <v>0</v>
      </c>
      <c r="H57" s="1671">
        <f t="shared" si="6"/>
        <v>0</v>
      </c>
      <c r="I57" s="1671">
        <f t="shared" si="6"/>
        <v>0</v>
      </c>
      <c r="J57" s="1671">
        <f t="shared" si="6"/>
        <v>0</v>
      </c>
      <c r="K57" s="1671">
        <f t="shared" si="6"/>
        <v>437907</v>
      </c>
      <c r="L57" s="1667">
        <f>SUM(L55:L56)</f>
        <v>486555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81054</v>
      </c>
      <c r="D60" s="466">
        <v>8410</v>
      </c>
      <c r="E60" s="466">
        <v>2668</v>
      </c>
      <c r="F60" s="466">
        <v>686</v>
      </c>
      <c r="G60" s="466">
        <v>0</v>
      </c>
      <c r="H60" s="466">
        <v>0</v>
      </c>
      <c r="I60" s="467">
        <v>596</v>
      </c>
      <c r="J60" s="467">
        <v>0</v>
      </c>
      <c r="K60" s="1669">
        <f t="shared" si="7"/>
        <v>93414</v>
      </c>
      <c r="L60" s="466">
        <v>94878</v>
      </c>
      <c r="M60" s="606"/>
      <c r="N60" s="606"/>
    </row>
    <row r="61" spans="1:14" s="343" customFormat="1" x14ac:dyDescent="0.2">
      <c r="A61" s="1501" t="s">
        <v>197</v>
      </c>
      <c r="B61" s="611">
        <v>2540</v>
      </c>
      <c r="C61" s="466">
        <v>149475</v>
      </c>
      <c r="D61" s="466">
        <v>45964</v>
      </c>
      <c r="E61" s="466">
        <v>9849</v>
      </c>
      <c r="F61" s="466">
        <v>15741</v>
      </c>
      <c r="G61" s="466">
        <v>25346</v>
      </c>
      <c r="H61" s="466">
        <v>0</v>
      </c>
      <c r="I61" s="467">
        <v>2157</v>
      </c>
      <c r="J61" s="467">
        <v>0</v>
      </c>
      <c r="K61" s="1669">
        <f t="shared" si="7"/>
        <v>248532</v>
      </c>
      <c r="L61" s="466">
        <v>256847</v>
      </c>
      <c r="M61" s="606"/>
      <c r="N61" s="606"/>
    </row>
    <row r="62" spans="1:14" s="343" customFormat="1" x14ac:dyDescent="0.2">
      <c r="A62" s="1501" t="s">
        <v>953</v>
      </c>
      <c r="B62" s="611">
        <v>2550</v>
      </c>
      <c r="C62" s="466">
        <v>10649</v>
      </c>
      <c r="D62" s="466">
        <v>0</v>
      </c>
      <c r="E62" s="466">
        <v>140</v>
      </c>
      <c r="F62" s="466">
        <v>0</v>
      </c>
      <c r="G62" s="466">
        <v>0</v>
      </c>
      <c r="H62" s="466">
        <v>0</v>
      </c>
      <c r="I62" s="467">
        <v>0</v>
      </c>
      <c r="J62" s="467">
        <v>0</v>
      </c>
      <c r="K62" s="1669">
        <f t="shared" si="7"/>
        <v>10789</v>
      </c>
      <c r="L62" s="466">
        <v>10090</v>
      </c>
      <c r="M62" s="606"/>
      <c r="N62" s="606"/>
    </row>
    <row r="63" spans="1:14" s="606" customFormat="1" x14ac:dyDescent="0.2">
      <c r="A63" s="1501" t="s">
        <v>100</v>
      </c>
      <c r="B63" s="611">
        <v>2560</v>
      </c>
      <c r="C63" s="466">
        <v>133489</v>
      </c>
      <c r="D63" s="466">
        <v>42871</v>
      </c>
      <c r="E63" s="466">
        <v>5963</v>
      </c>
      <c r="F63" s="466">
        <v>189963</v>
      </c>
      <c r="G63" s="466">
        <v>0</v>
      </c>
      <c r="H63" s="466">
        <v>0</v>
      </c>
      <c r="I63" s="467">
        <v>1503</v>
      </c>
      <c r="J63" s="467">
        <v>0</v>
      </c>
      <c r="K63" s="1669">
        <f t="shared" si="7"/>
        <v>373789</v>
      </c>
      <c r="L63" s="466">
        <v>387488</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374667</v>
      </c>
      <c r="D65" s="1667">
        <f t="shared" ref="D65:L65" si="8">SUM(D59:D64)</f>
        <v>97245</v>
      </c>
      <c r="E65" s="1667">
        <f t="shared" si="8"/>
        <v>18620</v>
      </c>
      <c r="F65" s="1667">
        <f t="shared" si="8"/>
        <v>206390</v>
      </c>
      <c r="G65" s="1667">
        <f t="shared" si="8"/>
        <v>25346</v>
      </c>
      <c r="H65" s="1667">
        <f t="shared" si="8"/>
        <v>0</v>
      </c>
      <c r="I65" s="1667">
        <f t="shared" si="8"/>
        <v>4256</v>
      </c>
      <c r="J65" s="1667">
        <f t="shared" si="8"/>
        <v>0</v>
      </c>
      <c r="K65" s="1667">
        <f t="shared" si="8"/>
        <v>726524</v>
      </c>
      <c r="L65" s="1667">
        <f t="shared" si="8"/>
        <v>749303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10188</v>
      </c>
      <c r="F68" s="466">
        <v>0</v>
      </c>
      <c r="G68" s="466">
        <v>0</v>
      </c>
      <c r="H68" s="466">
        <v>0</v>
      </c>
      <c r="I68" s="467">
        <v>0</v>
      </c>
      <c r="J68" s="467">
        <v>0</v>
      </c>
      <c r="K68" s="1669">
        <f>SUM(C68:J68)</f>
        <v>10188</v>
      </c>
      <c r="L68" s="466">
        <v>10190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10188</v>
      </c>
      <c r="F72" s="1667">
        <f t="shared" si="9"/>
        <v>0</v>
      </c>
      <c r="G72" s="1667">
        <f t="shared" si="9"/>
        <v>0</v>
      </c>
      <c r="H72" s="1667">
        <f t="shared" si="9"/>
        <v>0</v>
      </c>
      <c r="I72" s="1667">
        <f t="shared" si="9"/>
        <v>0</v>
      </c>
      <c r="J72" s="1667">
        <f t="shared" si="9"/>
        <v>0</v>
      </c>
      <c r="K72" s="1667">
        <f t="shared" si="9"/>
        <v>10188</v>
      </c>
      <c r="L72" s="1667">
        <f>SUM(L67:L71)</f>
        <v>10190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1049737</v>
      </c>
      <c r="D74" s="1674">
        <f t="shared" ref="D74:K74" si="10">SUM(D42,D47,D53,D57,D65,D72,D73)</f>
        <v>210709</v>
      </c>
      <c r="E74" s="1674">
        <f t="shared" si="10"/>
        <v>132495</v>
      </c>
      <c r="F74" s="1674">
        <f t="shared" si="10"/>
        <v>219164</v>
      </c>
      <c r="G74" s="1674">
        <f t="shared" si="10"/>
        <v>25346</v>
      </c>
      <c r="H74" s="1674">
        <f t="shared" si="10"/>
        <v>0</v>
      </c>
      <c r="I74" s="1674">
        <f t="shared" si="10"/>
        <v>4256</v>
      </c>
      <c r="J74" s="1674">
        <f t="shared" si="10"/>
        <v>0</v>
      </c>
      <c r="K74" s="1674">
        <f t="shared" si="10"/>
        <v>1641707</v>
      </c>
      <c r="L74" s="1674">
        <f>SUM(L42,L47,L53,L57,L65,L72,L73)</f>
        <v>1754398</v>
      </c>
    </row>
    <row r="75" spans="1:14" s="259" customFormat="1" ht="15.75" customHeight="1" thickTop="1" thickBot="1" x14ac:dyDescent="0.25">
      <c r="A75" s="1607" t="s">
        <v>47</v>
      </c>
      <c r="B75" s="1608" t="s">
        <v>575</v>
      </c>
      <c r="C75" s="467">
        <v>13450</v>
      </c>
      <c r="D75" s="467">
        <v>0</v>
      </c>
      <c r="E75" s="467">
        <v>25</v>
      </c>
      <c r="F75" s="467">
        <v>510</v>
      </c>
      <c r="G75" s="467">
        <v>0</v>
      </c>
      <c r="H75" s="467">
        <v>0</v>
      </c>
      <c r="I75" s="467">
        <v>0</v>
      </c>
      <c r="J75" s="467">
        <v>0</v>
      </c>
      <c r="K75" s="1667">
        <f>SUM(C75:J75)</f>
        <v>13985</v>
      </c>
      <c r="L75" s="573">
        <v>14600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42153</v>
      </c>
      <c r="F78" s="613"/>
      <c r="G78" s="613"/>
      <c r="H78" s="631">
        <v>0</v>
      </c>
      <c r="I78" s="475"/>
      <c r="J78" s="475"/>
      <c r="K78" s="1668">
        <f t="shared" ref="K78:K83" si="11">SUM(C78:J78)</f>
        <v>42153</v>
      </c>
      <c r="L78" s="479">
        <v>42250</v>
      </c>
    </row>
    <row r="79" spans="1:14" x14ac:dyDescent="0.2">
      <c r="A79" s="1501" t="s">
        <v>304</v>
      </c>
      <c r="B79" s="611">
        <v>4120</v>
      </c>
      <c r="C79" s="613"/>
      <c r="D79" s="613"/>
      <c r="E79" s="466">
        <v>158302</v>
      </c>
      <c r="F79" s="613"/>
      <c r="G79" s="613"/>
      <c r="H79" s="466">
        <v>0</v>
      </c>
      <c r="I79" s="475"/>
      <c r="J79" s="475"/>
      <c r="K79" s="1668">
        <f t="shared" si="11"/>
        <v>158302</v>
      </c>
      <c r="L79" s="466">
        <v>159979</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200455</v>
      </c>
      <c r="F84" s="613"/>
      <c r="G84" s="613"/>
      <c r="H84" s="1667">
        <f>SUM(H78:H83)</f>
        <v>0</v>
      </c>
      <c r="I84" s="475"/>
      <c r="J84" s="475"/>
      <c r="K84" s="1667">
        <f>SUM(K78:K83)</f>
        <v>200455</v>
      </c>
      <c r="L84" s="1667">
        <f>SUM(L78:L83)</f>
        <v>202229</v>
      </c>
    </row>
    <row r="85" spans="1:12" ht="12.75" customHeight="1" thickTop="1" thickBot="1" x14ac:dyDescent="0.25">
      <c r="A85" s="1508" t="s">
        <v>255</v>
      </c>
      <c r="B85" s="632">
        <v>4210</v>
      </c>
      <c r="C85" s="613"/>
      <c r="D85" s="613"/>
      <c r="E85" s="633"/>
      <c r="F85" s="613"/>
      <c r="G85" s="613"/>
      <c r="H85" s="532">
        <v>58695</v>
      </c>
      <c r="I85" s="475"/>
      <c r="J85" s="475"/>
      <c r="K85" s="1674">
        <f>H85</f>
        <v>58695</v>
      </c>
      <c r="L85" s="527">
        <v>22000</v>
      </c>
    </row>
    <row r="86" spans="1:12" ht="12.75" customHeight="1" thickTop="1" thickBot="1" x14ac:dyDescent="0.25">
      <c r="A86" s="1509" t="s">
        <v>699</v>
      </c>
      <c r="B86" s="634">
        <v>4220</v>
      </c>
      <c r="C86" s="613"/>
      <c r="D86" s="613"/>
      <c r="E86" s="635"/>
      <c r="F86" s="613"/>
      <c r="G86" s="613"/>
      <c r="H86" s="467">
        <v>247343</v>
      </c>
      <c r="I86" s="475"/>
      <c r="J86" s="475"/>
      <c r="K86" s="1674">
        <f t="shared" ref="K86:K98" si="12">H86</f>
        <v>247343</v>
      </c>
      <c r="L86" s="527">
        <v>221000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306038</v>
      </c>
      <c r="I92" s="475"/>
      <c r="J92" s="475"/>
      <c r="K92" s="1674">
        <f t="shared" si="12"/>
        <v>306038</v>
      </c>
      <c r="L92" s="1667">
        <f>SUM(L85:L91)</f>
        <v>243000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200455</v>
      </c>
      <c r="F102" s="613"/>
      <c r="G102" s="613"/>
      <c r="H102" s="1674">
        <f>SUM(H84,H92,H100,H101)</f>
        <v>306038</v>
      </c>
      <c r="I102" s="475"/>
      <c r="J102" s="475"/>
      <c r="K102" s="1674">
        <f>SUM(K84,K92,K100,K101)</f>
        <v>506493</v>
      </c>
      <c r="L102" s="1674">
        <f>SUM(L84,L92,L100,L101)</f>
        <v>445229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3701380</v>
      </c>
      <c r="D114" s="1667">
        <f t="shared" ref="D114:K114" si="13">SUM(D33,D74,D75,D102,D112,D113)</f>
        <v>738177</v>
      </c>
      <c r="E114" s="1667">
        <f t="shared" si="13"/>
        <v>562798</v>
      </c>
      <c r="F114" s="1667">
        <f t="shared" si="13"/>
        <v>394687</v>
      </c>
      <c r="G114" s="1667">
        <f t="shared" si="13"/>
        <v>35542</v>
      </c>
      <c r="H114" s="1667">
        <f>SUM(H33,H74,H75,H102,H112,H113)</f>
        <v>306038</v>
      </c>
      <c r="I114" s="1667">
        <f t="shared" si="13"/>
        <v>45839</v>
      </c>
      <c r="J114" s="1667">
        <f t="shared" si="13"/>
        <v>0</v>
      </c>
      <c r="K114" s="1667">
        <f t="shared" si="13"/>
        <v>5784461</v>
      </c>
      <c r="L114" s="1667">
        <f>SUM(L33,L74,L75,L102,L112,L113)</f>
        <v>5978842</v>
      </c>
    </row>
    <row r="115" spans="1:14" ht="13.5" thickTop="1" x14ac:dyDescent="0.2">
      <c r="A115" s="2288" t="s">
        <v>996</v>
      </c>
      <c r="B115" s="2289"/>
      <c r="C115" s="615"/>
      <c r="D115" s="615"/>
      <c r="E115" s="615"/>
      <c r="F115" s="615"/>
      <c r="G115" s="615"/>
      <c r="H115" s="615"/>
      <c r="I115" s="615"/>
      <c r="J115" s="615"/>
      <c r="K115" s="1681">
        <f>'Revenues 9-14'!C268-'Expenditures 15-22'!K114</f>
        <v>294244</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66" t="s">
        <v>296</v>
      </c>
      <c r="B117" s="2267"/>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87719</v>
      </c>
      <c r="F124" s="466">
        <v>130506</v>
      </c>
      <c r="G124" s="466">
        <v>3521</v>
      </c>
      <c r="H124" s="466">
        <v>0</v>
      </c>
      <c r="I124" s="467">
        <v>0</v>
      </c>
      <c r="J124" s="467">
        <v>0</v>
      </c>
      <c r="K124" s="1667">
        <f>SUM(C124:J124)</f>
        <v>221746</v>
      </c>
      <c r="L124" s="466">
        <v>240100</v>
      </c>
    </row>
    <row r="125" spans="1:14" ht="14.25" thickTop="1" thickBot="1" x14ac:dyDescent="0.25">
      <c r="A125" s="1501" t="s">
        <v>953</v>
      </c>
      <c r="B125" s="611">
        <v>2550</v>
      </c>
      <c r="C125" s="466">
        <v>0</v>
      </c>
      <c r="D125" s="466">
        <v>0</v>
      </c>
      <c r="E125" s="466">
        <v>0</v>
      </c>
      <c r="F125" s="466">
        <v>3232</v>
      </c>
      <c r="G125" s="466">
        <v>0</v>
      </c>
      <c r="H125" s="466">
        <v>0</v>
      </c>
      <c r="I125" s="467">
        <v>0</v>
      </c>
      <c r="J125" s="467">
        <v>0</v>
      </c>
      <c r="K125" s="1667">
        <f>SUM(C125:J125)</f>
        <v>3232</v>
      </c>
      <c r="L125" s="466">
        <v>3950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87719</v>
      </c>
      <c r="F127" s="1667">
        <f t="shared" si="14"/>
        <v>133738</v>
      </c>
      <c r="G127" s="1667">
        <f t="shared" si="14"/>
        <v>3521</v>
      </c>
      <c r="H127" s="1667">
        <f t="shared" si="14"/>
        <v>0</v>
      </c>
      <c r="I127" s="1667">
        <f t="shared" si="14"/>
        <v>0</v>
      </c>
      <c r="J127" s="1667">
        <f t="shared" si="14"/>
        <v>0</v>
      </c>
      <c r="K127" s="1667">
        <f t="shared" si="14"/>
        <v>224978</v>
      </c>
      <c r="L127" s="1667">
        <f t="shared" si="14"/>
        <v>244050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87719</v>
      </c>
      <c r="F129" s="1674">
        <f t="shared" si="15"/>
        <v>133738</v>
      </c>
      <c r="G129" s="1674">
        <f t="shared" si="15"/>
        <v>3521</v>
      </c>
      <c r="H129" s="1674">
        <f t="shared" si="15"/>
        <v>0</v>
      </c>
      <c r="I129" s="1674">
        <f t="shared" si="15"/>
        <v>0</v>
      </c>
      <c r="J129" s="1674">
        <f t="shared" si="15"/>
        <v>0</v>
      </c>
      <c r="K129" s="1674">
        <f t="shared" si="15"/>
        <v>224978</v>
      </c>
      <c r="L129" s="1674">
        <f t="shared" si="15"/>
        <v>244050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104318</v>
      </c>
      <c r="F136" s="613"/>
      <c r="G136" s="613"/>
      <c r="H136" s="466">
        <v>0</v>
      </c>
      <c r="I136" s="475"/>
      <c r="J136" s="613"/>
      <c r="K136" s="1669">
        <f>SUM(E136,H136)</f>
        <v>104318</v>
      </c>
      <c r="L136" s="466">
        <v>105000</v>
      </c>
    </row>
    <row r="137" spans="1:14" ht="12.75" customHeight="1" thickBot="1" x14ac:dyDescent="0.25">
      <c r="A137" s="1665" t="s">
        <v>480</v>
      </c>
      <c r="B137" s="1675">
        <v>4100</v>
      </c>
      <c r="C137" s="613"/>
      <c r="D137" s="613"/>
      <c r="E137" s="1667">
        <f>SUM(E133:E136)</f>
        <v>104318</v>
      </c>
      <c r="F137" s="613"/>
      <c r="G137" s="613"/>
      <c r="H137" s="1667">
        <f>SUM(H133:H136)</f>
        <v>0</v>
      </c>
      <c r="I137" s="475"/>
      <c r="J137" s="613"/>
      <c r="K137" s="1667">
        <f>SUM(K133:K136)</f>
        <v>104318</v>
      </c>
      <c r="L137" s="1667">
        <f>SUM(L133:L136)</f>
        <v>105000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104318</v>
      </c>
      <c r="F139" s="613"/>
      <c r="G139" s="613"/>
      <c r="H139" s="1676">
        <f>SUM(H137:H138)</f>
        <v>0</v>
      </c>
      <c r="I139" s="475"/>
      <c r="J139" s="613"/>
      <c r="K139" s="1669">
        <f>SUM(K137,K138)</f>
        <v>104318</v>
      </c>
      <c r="L139" s="1676">
        <f>SUM(L137,L138)</f>
        <v>105000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78" t="s">
        <v>620</v>
      </c>
      <c r="B151" s="2260"/>
      <c r="C151" s="1667">
        <f>SUM(C129,C130,C139,C149,C150)</f>
        <v>0</v>
      </c>
      <c r="D151" s="1667">
        <f t="shared" ref="D151:K151" si="16">SUM(D129,D130,D139,D149,D150)</f>
        <v>0</v>
      </c>
      <c r="E151" s="1667">
        <f t="shared" si="16"/>
        <v>192037</v>
      </c>
      <c r="F151" s="1667">
        <f t="shared" si="16"/>
        <v>133738</v>
      </c>
      <c r="G151" s="1667">
        <f t="shared" si="16"/>
        <v>3521</v>
      </c>
      <c r="H151" s="1667">
        <f t="shared" si="16"/>
        <v>0</v>
      </c>
      <c r="I151" s="1667">
        <f t="shared" si="16"/>
        <v>0</v>
      </c>
      <c r="J151" s="1667">
        <f t="shared" si="16"/>
        <v>0</v>
      </c>
      <c r="K151" s="1667">
        <f t="shared" si="16"/>
        <v>329296</v>
      </c>
      <c r="L151" s="1667">
        <f>SUM(L129,L130,L139,L149,L150)</f>
        <v>349050</v>
      </c>
    </row>
    <row r="152" spans="1:14" ht="12.75" customHeight="1" thickTop="1" x14ac:dyDescent="0.2">
      <c r="A152" s="2281" t="s">
        <v>1178</v>
      </c>
      <c r="B152" s="2282"/>
      <c r="C152" s="615"/>
      <c r="D152" s="615"/>
      <c r="E152" s="615"/>
      <c r="F152" s="615"/>
      <c r="G152" s="615"/>
      <c r="H152" s="615"/>
      <c r="I152" s="615"/>
      <c r="J152" s="613"/>
      <c r="K152" s="1681">
        <f>'Revenues 9-14'!D268-'Expenditures 15-22'!K151</f>
        <v>12423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66" t="s">
        <v>621</v>
      </c>
      <c r="B154" s="2268"/>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179536</v>
      </c>
      <c r="I169" s="613"/>
      <c r="J169" s="613"/>
      <c r="K169" s="1668">
        <f>SUM(C169:H169)</f>
        <v>179536</v>
      </c>
      <c r="L169" s="653">
        <v>180000</v>
      </c>
    </row>
    <row r="170" spans="1:14" ht="33.75" customHeight="1" x14ac:dyDescent="0.2">
      <c r="A170" s="666" t="s">
        <v>1670</v>
      </c>
      <c r="B170" s="668" t="s">
        <v>31</v>
      </c>
      <c r="C170" s="613"/>
      <c r="D170" s="613"/>
      <c r="E170" s="613"/>
      <c r="F170" s="613"/>
      <c r="G170" s="613"/>
      <c r="H170" s="566">
        <v>259000</v>
      </c>
      <c r="I170" s="613"/>
      <c r="J170" s="613"/>
      <c r="K170" s="1668">
        <f>SUM(C170:J170)</f>
        <v>259000</v>
      </c>
      <c r="L170" s="566">
        <v>259000</v>
      </c>
    </row>
    <row r="171" spans="1:14" ht="15.75" customHeight="1" x14ac:dyDescent="0.2">
      <c r="A171" s="618" t="s">
        <v>766</v>
      </c>
      <c r="B171" s="669" t="s">
        <v>84</v>
      </c>
      <c r="C171" s="613"/>
      <c r="D171" s="613"/>
      <c r="E171" s="466">
        <v>1850</v>
      </c>
      <c r="F171" s="613"/>
      <c r="G171" s="613"/>
      <c r="H171" s="566">
        <v>0</v>
      </c>
      <c r="I171" s="475"/>
      <c r="J171" s="613"/>
      <c r="K171" s="1668">
        <f>SUM(C171:J171)</f>
        <v>1850</v>
      </c>
      <c r="L171" s="566">
        <v>1850</v>
      </c>
    </row>
    <row r="172" spans="1:14" ht="12.75" customHeight="1" thickBot="1" x14ac:dyDescent="0.25">
      <c r="A172" s="1665" t="s">
        <v>638</v>
      </c>
      <c r="B172" s="1666" t="s">
        <v>492</v>
      </c>
      <c r="C172" s="613"/>
      <c r="D172" s="613"/>
      <c r="E172" s="1674">
        <f>SUM(E168,E169,E170,E171)</f>
        <v>1850</v>
      </c>
      <c r="F172" s="613"/>
      <c r="G172" s="613"/>
      <c r="H172" s="1674">
        <f>SUM(H168,H169,H170,H171)</f>
        <v>438536</v>
      </c>
      <c r="I172" s="635"/>
      <c r="J172" s="613"/>
      <c r="K172" s="1674">
        <f>SUM(K168,K169,K170,K171)</f>
        <v>440386</v>
      </c>
      <c r="L172" s="1674">
        <f>SUM(L168,L169,L170,L171)</f>
        <v>440850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1850</v>
      </c>
      <c r="F174" s="613"/>
      <c r="G174" s="613"/>
      <c r="H174" s="1674">
        <f>SUM(H160,H172,H173)</f>
        <v>438536</v>
      </c>
      <c r="I174" s="635"/>
      <c r="J174" s="613"/>
      <c r="K174" s="1674">
        <f>SUM(K160,K172,K173)</f>
        <v>440386</v>
      </c>
      <c r="L174" s="1674">
        <f>SUM(L160,L172,L173)</f>
        <v>440850</v>
      </c>
    </row>
    <row r="175" spans="1:14" ht="13.5" thickTop="1" x14ac:dyDescent="0.2">
      <c r="A175" s="2288" t="s">
        <v>996</v>
      </c>
      <c r="B175" s="2289"/>
      <c r="C175" s="613"/>
      <c r="D175" s="613"/>
      <c r="E175" s="613"/>
      <c r="F175" s="613"/>
      <c r="G175" s="613"/>
      <c r="H175" s="615"/>
      <c r="I175" s="613"/>
      <c r="J175" s="613"/>
      <c r="K175" s="1681">
        <f>'Revenues 9-14'!E268-'Expenditures 15-22'!K174</f>
        <v>-32988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148672</v>
      </c>
      <c r="D182" s="466">
        <v>10029</v>
      </c>
      <c r="E182" s="466">
        <v>16672</v>
      </c>
      <c r="F182" s="466">
        <v>20197</v>
      </c>
      <c r="G182" s="466">
        <v>0</v>
      </c>
      <c r="H182" s="466">
        <v>0</v>
      </c>
      <c r="I182" s="467">
        <v>0</v>
      </c>
      <c r="J182" s="467">
        <v>0</v>
      </c>
      <c r="K182" s="1668">
        <f>SUM(C182:J182)</f>
        <v>195570</v>
      </c>
      <c r="L182" s="466">
        <v>209735</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148672</v>
      </c>
      <c r="D184" s="1674">
        <f t="shared" ref="D184:J184" si="17">SUM(D180,D182,D183)</f>
        <v>10029</v>
      </c>
      <c r="E184" s="1674">
        <f t="shared" si="17"/>
        <v>16672</v>
      </c>
      <c r="F184" s="1674">
        <f t="shared" si="17"/>
        <v>20197</v>
      </c>
      <c r="G184" s="1674">
        <f t="shared" si="17"/>
        <v>0</v>
      </c>
      <c r="H184" s="1674">
        <f t="shared" si="17"/>
        <v>0</v>
      </c>
      <c r="I184" s="1674">
        <f t="shared" si="17"/>
        <v>0</v>
      </c>
      <c r="J184" s="1674">
        <f t="shared" si="17"/>
        <v>0</v>
      </c>
      <c r="K184" s="1674">
        <f>SUM(K180,K182,K183)</f>
        <v>195570</v>
      </c>
      <c r="L184" s="1674">
        <f>SUM(L180, L182:L183)</f>
        <v>209735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10991</v>
      </c>
      <c r="I205" s="613"/>
      <c r="J205" s="613"/>
      <c r="K205" s="1682">
        <f>SUM(H205)</f>
        <v>10991</v>
      </c>
      <c r="L205" s="532">
        <v>10990</v>
      </c>
    </row>
    <row r="206" spans="1:14" ht="30" customHeight="1" x14ac:dyDescent="0.2">
      <c r="A206" s="678" t="s">
        <v>1671</v>
      </c>
      <c r="B206" s="669" t="s">
        <v>31</v>
      </c>
      <c r="C206" s="613"/>
      <c r="D206" s="613"/>
      <c r="E206" s="613"/>
      <c r="F206" s="613"/>
      <c r="G206" s="613"/>
      <c r="H206" s="466">
        <v>72410</v>
      </c>
      <c r="I206" s="613"/>
      <c r="J206" s="613"/>
      <c r="K206" s="1668">
        <f>SUM(H206)</f>
        <v>72410</v>
      </c>
      <c r="L206" s="466">
        <v>72410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83401</v>
      </c>
      <c r="I208" s="613"/>
      <c r="J208" s="613"/>
      <c r="K208" s="1674">
        <f>SUM(K204,K205,K206,K207)</f>
        <v>83401</v>
      </c>
      <c r="L208" s="1674">
        <f>SUM(L204,L205,L206,L207)</f>
        <v>83400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148672</v>
      </c>
      <c r="D210" s="1667">
        <f>SUM(D184,D185)</f>
        <v>10029</v>
      </c>
      <c r="E210" s="1667">
        <f>SUM(E184,E185,E196)</f>
        <v>16672</v>
      </c>
      <c r="F210" s="1667">
        <f>SUM(F184,F185)</f>
        <v>20197</v>
      </c>
      <c r="G210" s="1667">
        <f>SUM(G184,G185)</f>
        <v>0</v>
      </c>
      <c r="H210" s="1667">
        <f>SUM(H184,H185,H196,H208,H209)</f>
        <v>83401</v>
      </c>
      <c r="I210" s="1667">
        <f>SUM(I184,I185)</f>
        <v>0</v>
      </c>
      <c r="J210" s="1667">
        <f>SUM(J184,J185)</f>
        <v>0</v>
      </c>
      <c r="K210" s="1668">
        <f>SUM(K184,K185,K196,K208,K209)</f>
        <v>278971</v>
      </c>
      <c r="L210" s="1667">
        <f>SUM(L184,L185,L196,L208,L209)</f>
        <v>293135</v>
      </c>
    </row>
    <row r="211" spans="1:14" ht="13.5" thickTop="1" x14ac:dyDescent="0.2">
      <c r="A211" s="2288" t="s">
        <v>996</v>
      </c>
      <c r="B211" s="2289"/>
      <c r="C211" s="615"/>
      <c r="D211" s="615"/>
      <c r="E211" s="615"/>
      <c r="F211" s="615"/>
      <c r="G211" s="615"/>
      <c r="H211" s="615"/>
      <c r="I211" s="613"/>
      <c r="J211" s="613"/>
      <c r="K211" s="1681">
        <f>'Revenues 9-14'!F268-'Expenditures 15-22'!K210</f>
        <v>38350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83" t="s">
        <v>965</v>
      </c>
      <c r="B213" s="2284"/>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26755</v>
      </c>
      <c r="E215" s="613"/>
      <c r="F215" s="613"/>
      <c r="G215" s="613"/>
      <c r="H215" s="613"/>
      <c r="I215" s="613"/>
      <c r="J215" s="613"/>
      <c r="K215" s="1668">
        <f>D215</f>
        <v>26755</v>
      </c>
      <c r="L215" s="466">
        <v>27265</v>
      </c>
    </row>
    <row r="216" spans="1:14" x14ac:dyDescent="0.2">
      <c r="A216" s="1501" t="s">
        <v>163</v>
      </c>
      <c r="B216" s="611" t="s">
        <v>967</v>
      </c>
      <c r="C216" s="613"/>
      <c r="D216" s="467">
        <v>4348</v>
      </c>
      <c r="E216" s="613"/>
      <c r="F216" s="613"/>
      <c r="G216" s="613"/>
      <c r="H216" s="613"/>
      <c r="I216" s="613"/>
      <c r="J216" s="613"/>
      <c r="K216" s="1668">
        <f t="shared" ref="K216:K228" si="19">D216</f>
        <v>4348</v>
      </c>
      <c r="L216" s="466">
        <v>5000</v>
      </c>
    </row>
    <row r="217" spans="1:14" x14ac:dyDescent="0.2">
      <c r="A217" s="1501" t="s">
        <v>164</v>
      </c>
      <c r="B217" s="611">
        <v>1200</v>
      </c>
      <c r="C217" s="613"/>
      <c r="D217" s="466">
        <v>11599</v>
      </c>
      <c r="E217" s="613"/>
      <c r="F217" s="613"/>
      <c r="G217" s="613"/>
      <c r="H217" s="613"/>
      <c r="I217" s="613"/>
      <c r="J217" s="613"/>
      <c r="K217" s="1668">
        <f t="shared" si="19"/>
        <v>11599</v>
      </c>
      <c r="L217" s="466">
        <v>13600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2560</v>
      </c>
      <c r="E219" s="613"/>
      <c r="F219" s="613"/>
      <c r="G219" s="613"/>
      <c r="H219" s="613"/>
      <c r="I219" s="613"/>
      <c r="J219" s="613"/>
      <c r="K219" s="1668">
        <f t="shared" si="19"/>
        <v>2560</v>
      </c>
      <c r="L219" s="466">
        <v>2630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3279</v>
      </c>
      <c r="E223" s="613"/>
      <c r="F223" s="613"/>
      <c r="G223" s="613"/>
      <c r="H223" s="613"/>
      <c r="I223" s="613"/>
      <c r="J223" s="613"/>
      <c r="K223" s="1668">
        <f t="shared" si="19"/>
        <v>3279</v>
      </c>
      <c r="L223" s="466">
        <v>4255</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2973</v>
      </c>
      <c r="E227" s="613"/>
      <c r="F227" s="613"/>
      <c r="G227" s="613"/>
      <c r="H227" s="613"/>
      <c r="I227" s="613"/>
      <c r="J227" s="613"/>
      <c r="K227" s="1668">
        <f t="shared" si="19"/>
        <v>2973</v>
      </c>
      <c r="L227" s="466">
        <v>2755</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51514</v>
      </c>
      <c r="E229" s="613"/>
      <c r="F229" s="613"/>
      <c r="G229" s="613"/>
      <c r="H229" s="613"/>
      <c r="I229" s="613"/>
      <c r="J229" s="613"/>
      <c r="K229" s="1667">
        <f>SUM(K215:K228)</f>
        <v>51514</v>
      </c>
      <c r="L229" s="1667">
        <f>SUM(L215:L228)</f>
        <v>55505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3951</v>
      </c>
      <c r="E234" s="613"/>
      <c r="F234" s="613"/>
      <c r="G234" s="613"/>
      <c r="H234" s="613"/>
      <c r="I234" s="613"/>
      <c r="J234" s="613"/>
      <c r="K234" s="1668">
        <f t="shared" si="20"/>
        <v>3951</v>
      </c>
      <c r="L234" s="466">
        <v>4215</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2645</v>
      </c>
      <c r="E237" s="613"/>
      <c r="F237" s="613"/>
      <c r="G237" s="613"/>
      <c r="H237" s="613"/>
      <c r="I237" s="613"/>
      <c r="J237" s="613"/>
      <c r="K237" s="1668">
        <f t="shared" si="20"/>
        <v>2645</v>
      </c>
      <c r="L237" s="466">
        <v>3075</v>
      </c>
    </row>
    <row r="238" spans="1:12" ht="12.75" customHeight="1" thickBot="1" x14ac:dyDescent="0.25">
      <c r="A238" s="1665" t="s">
        <v>560</v>
      </c>
      <c r="B238" s="1672" t="s">
        <v>716</v>
      </c>
      <c r="C238" s="613"/>
      <c r="D238" s="1667">
        <f>SUM(D232:D237)</f>
        <v>6596</v>
      </c>
      <c r="E238" s="613"/>
      <c r="F238" s="613"/>
      <c r="G238" s="613"/>
      <c r="H238" s="613"/>
      <c r="I238" s="613"/>
      <c r="J238" s="613"/>
      <c r="K238" s="1667">
        <f>SUM(K232:K237)</f>
        <v>6596</v>
      </c>
      <c r="L238" s="1667">
        <f>SUM(L232:L237)</f>
        <v>7290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125</v>
      </c>
      <c r="E240" s="613"/>
      <c r="F240" s="613"/>
      <c r="G240" s="613"/>
      <c r="H240" s="613"/>
      <c r="I240" s="613"/>
      <c r="J240" s="613"/>
      <c r="K240" s="1669">
        <f>D240</f>
        <v>125</v>
      </c>
      <c r="L240" s="479">
        <v>210</v>
      </c>
    </row>
    <row r="241" spans="1:12" x14ac:dyDescent="0.2">
      <c r="A241" s="1501" t="s">
        <v>815</v>
      </c>
      <c r="B241" s="611">
        <v>2220</v>
      </c>
      <c r="C241" s="613"/>
      <c r="D241" s="466">
        <v>1040</v>
      </c>
      <c r="E241" s="613"/>
      <c r="F241" s="613"/>
      <c r="G241" s="613"/>
      <c r="H241" s="613"/>
      <c r="I241" s="613"/>
      <c r="J241" s="613"/>
      <c r="K241" s="1669">
        <f>D241</f>
        <v>1040</v>
      </c>
      <c r="L241" s="466">
        <v>1050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1165</v>
      </c>
      <c r="E243" s="613"/>
      <c r="F243" s="613"/>
      <c r="G243" s="613"/>
      <c r="H243" s="613"/>
      <c r="I243" s="613"/>
      <c r="J243" s="613"/>
      <c r="K243" s="1667">
        <f>SUM(K240:K242)</f>
        <v>1165</v>
      </c>
      <c r="L243" s="1667">
        <f>SUM(L240:L242)</f>
        <v>1260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31</v>
      </c>
      <c r="E245" s="613"/>
      <c r="F245" s="613"/>
      <c r="G245" s="613"/>
      <c r="H245" s="613"/>
      <c r="I245" s="613"/>
      <c r="J245" s="613"/>
      <c r="K245" s="1669">
        <f>D245</f>
        <v>31</v>
      </c>
      <c r="L245" s="479">
        <v>40</v>
      </c>
    </row>
    <row r="246" spans="1:12" x14ac:dyDescent="0.2">
      <c r="A246" s="1501" t="s">
        <v>818</v>
      </c>
      <c r="B246" s="611">
        <v>2320</v>
      </c>
      <c r="C246" s="613"/>
      <c r="D246" s="466">
        <v>2274</v>
      </c>
      <c r="E246" s="613"/>
      <c r="F246" s="613"/>
      <c r="G246" s="613"/>
      <c r="H246" s="613"/>
      <c r="I246" s="613"/>
      <c r="J246" s="613"/>
      <c r="K246" s="1669">
        <f t="shared" ref="K246:K256" si="21">D246</f>
        <v>2274</v>
      </c>
      <c r="L246" s="466">
        <v>2250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186</v>
      </c>
      <c r="E252" s="613"/>
      <c r="F252" s="613"/>
      <c r="G252" s="613"/>
      <c r="H252" s="613"/>
      <c r="I252" s="613"/>
      <c r="J252" s="613"/>
      <c r="K252" s="1669">
        <f t="shared" si="21"/>
        <v>186</v>
      </c>
      <c r="L252" s="466">
        <v>200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919</v>
      </c>
      <c r="E254" s="613"/>
      <c r="F254" s="613"/>
      <c r="G254" s="613"/>
      <c r="H254" s="613"/>
      <c r="I254" s="613"/>
      <c r="J254" s="613"/>
      <c r="K254" s="1669">
        <f t="shared" si="21"/>
        <v>919</v>
      </c>
      <c r="L254" s="466">
        <v>1000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3410</v>
      </c>
      <c r="E257" s="613"/>
      <c r="F257" s="613"/>
      <c r="G257" s="613"/>
      <c r="H257" s="613"/>
      <c r="I257" s="613"/>
      <c r="J257" s="613"/>
      <c r="K257" s="1667">
        <f>SUM(K245:K256)</f>
        <v>3410</v>
      </c>
      <c r="L257" s="1667">
        <f>SUM(L245:L256)</f>
        <v>3490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19578</v>
      </c>
      <c r="E259" s="613"/>
      <c r="F259" s="613"/>
      <c r="G259" s="613"/>
      <c r="H259" s="613"/>
      <c r="I259" s="613"/>
      <c r="J259" s="613"/>
      <c r="K259" s="1669">
        <f>D259</f>
        <v>19578</v>
      </c>
      <c r="L259" s="479">
        <v>26850</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19578</v>
      </c>
      <c r="E261" s="613"/>
      <c r="F261" s="613"/>
      <c r="G261" s="613"/>
      <c r="H261" s="613"/>
      <c r="I261" s="613"/>
      <c r="J261" s="613"/>
      <c r="K261" s="1667">
        <f>SUM(K259:K260)</f>
        <v>19578</v>
      </c>
      <c r="L261" s="1667">
        <f>SUM(L259:L260)</f>
        <v>26850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1172</v>
      </c>
      <c r="E264" s="613"/>
      <c r="F264" s="613"/>
      <c r="G264" s="613"/>
      <c r="H264" s="613"/>
      <c r="I264" s="613"/>
      <c r="J264" s="613"/>
      <c r="K264" s="1669">
        <f t="shared" ref="K264:K269" si="22">D264</f>
        <v>1172</v>
      </c>
      <c r="L264" s="466">
        <v>1350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19599</v>
      </c>
      <c r="E266" s="613"/>
      <c r="F266" s="613"/>
      <c r="G266" s="613"/>
      <c r="H266" s="613"/>
      <c r="I266" s="613"/>
      <c r="J266" s="613"/>
      <c r="K266" s="1669">
        <f t="shared" si="22"/>
        <v>19599</v>
      </c>
      <c r="L266" s="466">
        <v>21000</v>
      </c>
    </row>
    <row r="267" spans="1:14" x14ac:dyDescent="0.2">
      <c r="A267" s="1501" t="s">
        <v>953</v>
      </c>
      <c r="B267" s="611">
        <v>2550</v>
      </c>
      <c r="C267" s="613"/>
      <c r="D267" s="466">
        <v>16671</v>
      </c>
      <c r="E267" s="613"/>
      <c r="F267" s="613"/>
      <c r="G267" s="613"/>
      <c r="H267" s="613"/>
      <c r="I267" s="613"/>
      <c r="J267" s="613"/>
      <c r="K267" s="1669">
        <f t="shared" si="22"/>
        <v>16671</v>
      </c>
      <c r="L267" s="466">
        <v>20166</v>
      </c>
    </row>
    <row r="268" spans="1:14" x14ac:dyDescent="0.2">
      <c r="A268" s="1501" t="s">
        <v>100</v>
      </c>
      <c r="B268" s="611">
        <v>2560</v>
      </c>
      <c r="C268" s="613"/>
      <c r="D268" s="466">
        <v>17109</v>
      </c>
      <c r="E268" s="613"/>
      <c r="F268" s="613"/>
      <c r="G268" s="613"/>
      <c r="H268" s="613"/>
      <c r="I268" s="613"/>
      <c r="J268" s="613"/>
      <c r="K268" s="1669">
        <f t="shared" si="22"/>
        <v>17109</v>
      </c>
      <c r="L268" s="466">
        <v>22360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54551</v>
      </c>
      <c r="E270" s="613"/>
      <c r="F270" s="613"/>
      <c r="G270" s="613"/>
      <c r="H270" s="613"/>
      <c r="I270" s="613"/>
      <c r="J270" s="613"/>
      <c r="K270" s="1667">
        <f>SUM(K263:K269)</f>
        <v>54551</v>
      </c>
      <c r="L270" s="1667">
        <f>SUM(L263:L269)</f>
        <v>64876</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85300</v>
      </c>
      <c r="E279" s="613"/>
      <c r="F279" s="613"/>
      <c r="G279" s="613"/>
      <c r="H279" s="613"/>
      <c r="I279" s="613"/>
      <c r="J279" s="613"/>
      <c r="K279" s="1674">
        <f>SUM(K238,K243,K257,K261,K270,K277,K278)</f>
        <v>85300</v>
      </c>
      <c r="L279" s="1674">
        <f>SUM(L238,L243,L257,L261,L270,L277,L278)</f>
        <v>103766</v>
      </c>
    </row>
    <row r="280" spans="1:12" ht="15.75" customHeight="1" thickTop="1" thickBot="1" x14ac:dyDescent="0.25">
      <c r="A280" s="1621" t="s">
        <v>875</v>
      </c>
      <c r="B280" s="1610">
        <v>3000</v>
      </c>
      <c r="C280" s="613"/>
      <c r="D280" s="573">
        <v>570</v>
      </c>
      <c r="E280" s="613"/>
      <c r="F280" s="613"/>
      <c r="G280" s="613"/>
      <c r="H280" s="613"/>
      <c r="I280" s="613"/>
      <c r="J280" s="613"/>
      <c r="K280" s="1676">
        <f>D280</f>
        <v>570</v>
      </c>
      <c r="L280" s="573">
        <v>1020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79" t="s">
        <v>505</v>
      </c>
      <c r="B295" s="2280"/>
      <c r="C295" s="613"/>
      <c r="D295" s="1667">
        <f>SUM(D229,D279,D280,D285)</f>
        <v>137384</v>
      </c>
      <c r="E295" s="613"/>
      <c r="F295" s="613"/>
      <c r="G295" s="613"/>
      <c r="H295" s="1667">
        <f>H293</f>
        <v>0</v>
      </c>
      <c r="I295" s="613"/>
      <c r="J295" s="613"/>
      <c r="K295" s="1667">
        <f>SUM(K229,K279,K280,K285,K293,K294)</f>
        <v>137384</v>
      </c>
      <c r="L295" s="1667">
        <f>SUM(L229,L279,L280,L285,L293,L294)</f>
        <v>160291</v>
      </c>
    </row>
    <row r="296" spans="1:14" ht="13.5" thickTop="1" x14ac:dyDescent="0.2">
      <c r="A296" s="2288" t="s">
        <v>996</v>
      </c>
      <c r="B296" s="2289"/>
      <c r="C296" s="613"/>
      <c r="D296" s="615"/>
      <c r="E296" s="613"/>
      <c r="F296" s="613"/>
      <c r="G296" s="613"/>
      <c r="H296" s="684"/>
      <c r="I296" s="613"/>
      <c r="J296" s="613"/>
      <c r="K296" s="1681">
        <f>'Revenues 9-14'!G268-'Expenditures 15-22'!K295</f>
        <v>52181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71" t="s">
        <v>143</v>
      </c>
      <c r="B298" s="2265"/>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1330</v>
      </c>
      <c r="F301" s="466">
        <v>1900</v>
      </c>
      <c r="G301" s="466">
        <v>87263</v>
      </c>
      <c r="H301" s="466">
        <v>0</v>
      </c>
      <c r="I301" s="467">
        <v>0</v>
      </c>
      <c r="J301" s="467">
        <v>0</v>
      </c>
      <c r="K301" s="1668">
        <f>SUM(C301:J301)</f>
        <v>90493</v>
      </c>
      <c r="L301" s="467">
        <v>237500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1330</v>
      </c>
      <c r="F303" s="1674">
        <f t="shared" si="23"/>
        <v>1900</v>
      </c>
      <c r="G303" s="1674">
        <f t="shared" si="23"/>
        <v>87263</v>
      </c>
      <c r="H303" s="1674">
        <f t="shared" si="23"/>
        <v>0</v>
      </c>
      <c r="I303" s="1674">
        <f t="shared" si="23"/>
        <v>0</v>
      </c>
      <c r="J303" s="1674">
        <f t="shared" si="23"/>
        <v>0</v>
      </c>
      <c r="K303" s="1674">
        <f t="shared" si="23"/>
        <v>90493</v>
      </c>
      <c r="L303" s="1674">
        <f t="shared" si="23"/>
        <v>237500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76" t="s">
        <v>277</v>
      </c>
      <c r="B312" s="2277"/>
      <c r="C312" s="1667">
        <f>SUM(C303)</f>
        <v>0</v>
      </c>
      <c r="D312" s="1667">
        <f>SUM(D303)</f>
        <v>0</v>
      </c>
      <c r="E312" s="1667">
        <f>SUM(E303,E310)</f>
        <v>1330</v>
      </c>
      <c r="F312" s="1667">
        <f>SUM(F303)</f>
        <v>1900</v>
      </c>
      <c r="G312" s="1667">
        <f>SUM(G303)</f>
        <v>87263</v>
      </c>
      <c r="H312" s="1667">
        <f>SUM(H303,H310)</f>
        <v>0</v>
      </c>
      <c r="I312" s="1667">
        <f>SUM(I303)</f>
        <v>0</v>
      </c>
      <c r="J312" s="1667">
        <f>SUM(J303)</f>
        <v>0</v>
      </c>
      <c r="K312" s="1667">
        <f>SUM(K303,K310,K311)</f>
        <v>90493</v>
      </c>
      <c r="L312" s="1667">
        <f>SUM(L303,L310,L311)</f>
        <v>237500</v>
      </c>
      <c r="M312" s="662"/>
      <c r="N312" s="662"/>
    </row>
    <row r="313" spans="1:14" ht="13.5" thickTop="1" x14ac:dyDescent="0.2">
      <c r="A313" s="2272" t="s">
        <v>996</v>
      </c>
      <c r="B313" s="2273"/>
      <c r="C313" s="623"/>
      <c r="D313" s="623"/>
      <c r="E313" s="623"/>
      <c r="F313" s="623"/>
      <c r="G313" s="623"/>
      <c r="H313" s="623"/>
      <c r="I313" s="623"/>
      <c r="J313" s="623"/>
      <c r="K313" s="1682">
        <f>'Revenues 9-14'!H268-'Expenditures 15-22'!K312</f>
        <v>251398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85" t="s">
        <v>149</v>
      </c>
      <c r="B315" s="2286"/>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87" t="s">
        <v>898</v>
      </c>
      <c r="B317" s="2286"/>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1000</v>
      </c>
      <c r="M321" s="662"/>
      <c r="N321" s="662"/>
    </row>
    <row r="322" spans="1:14" s="671" customFormat="1" x14ac:dyDescent="0.2">
      <c r="A322" s="1516" t="s">
        <v>238</v>
      </c>
      <c r="B322" s="694" t="s">
        <v>284</v>
      </c>
      <c r="C322" s="467">
        <v>0</v>
      </c>
      <c r="D322" s="467">
        <v>0</v>
      </c>
      <c r="E322" s="467">
        <v>54945</v>
      </c>
      <c r="F322" s="467">
        <v>0</v>
      </c>
      <c r="G322" s="467">
        <v>0</v>
      </c>
      <c r="H322" s="467">
        <v>0</v>
      </c>
      <c r="I322" s="467">
        <v>0</v>
      </c>
      <c r="J322" s="467">
        <v>0</v>
      </c>
      <c r="K322" s="1668">
        <f t="shared" si="24"/>
        <v>54945</v>
      </c>
      <c r="L322" s="467">
        <v>54945</v>
      </c>
      <c r="M322" s="662"/>
      <c r="N322" s="662"/>
    </row>
    <row r="323" spans="1:14" s="671" customFormat="1" x14ac:dyDescent="0.2">
      <c r="A323" s="1516" t="s">
        <v>702</v>
      </c>
      <c r="B323" s="694" t="s">
        <v>285</v>
      </c>
      <c r="C323" s="467">
        <v>12872</v>
      </c>
      <c r="D323" s="467">
        <v>193</v>
      </c>
      <c r="E323" s="467">
        <v>0</v>
      </c>
      <c r="F323" s="467">
        <v>0</v>
      </c>
      <c r="G323" s="467">
        <v>0</v>
      </c>
      <c r="H323" s="467">
        <v>0</v>
      </c>
      <c r="I323" s="467">
        <v>0</v>
      </c>
      <c r="J323" s="467">
        <v>0</v>
      </c>
      <c r="K323" s="1668">
        <f t="shared" si="24"/>
        <v>13065</v>
      </c>
      <c r="L323" s="467">
        <v>14200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28937</v>
      </c>
      <c r="D325" s="467">
        <v>340</v>
      </c>
      <c r="E325" s="467">
        <v>0</v>
      </c>
      <c r="F325" s="467">
        <v>0</v>
      </c>
      <c r="G325" s="467">
        <v>0</v>
      </c>
      <c r="H325" s="467">
        <v>0</v>
      </c>
      <c r="I325" s="467">
        <v>0</v>
      </c>
      <c r="J325" s="467">
        <v>0</v>
      </c>
      <c r="K325" s="1668">
        <f t="shared" si="24"/>
        <v>29277</v>
      </c>
      <c r="L325" s="467">
        <v>30600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5332</v>
      </c>
      <c r="F327" s="467">
        <v>0</v>
      </c>
      <c r="G327" s="467">
        <v>0</v>
      </c>
      <c r="H327" s="467">
        <v>0</v>
      </c>
      <c r="I327" s="467">
        <v>0</v>
      </c>
      <c r="J327" s="467">
        <v>0</v>
      </c>
      <c r="K327" s="1668">
        <f t="shared" si="24"/>
        <v>5332</v>
      </c>
      <c r="L327" s="467">
        <v>7500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41809</v>
      </c>
      <c r="D330" s="1667">
        <f t="shared" ref="D330:J330" si="25">SUM(D319:D329)</f>
        <v>533</v>
      </c>
      <c r="E330" s="1667">
        <f t="shared" si="25"/>
        <v>60277</v>
      </c>
      <c r="F330" s="1667">
        <f t="shared" si="25"/>
        <v>0</v>
      </c>
      <c r="G330" s="1667">
        <f t="shared" si="25"/>
        <v>0</v>
      </c>
      <c r="H330" s="1667">
        <f t="shared" si="25"/>
        <v>0</v>
      </c>
      <c r="I330" s="1667">
        <f t="shared" si="25"/>
        <v>0</v>
      </c>
      <c r="J330" s="1667">
        <f t="shared" si="25"/>
        <v>0</v>
      </c>
      <c r="K330" s="1667">
        <f>SUM(K319:K329)</f>
        <v>102619</v>
      </c>
      <c r="L330" s="1667">
        <f>SUM(L319:L329)</f>
        <v>108245</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41809</v>
      </c>
      <c r="D342" s="1667">
        <f>SUM(D330)</f>
        <v>533</v>
      </c>
      <c r="E342" s="1667">
        <f>SUM(E330)</f>
        <v>60277</v>
      </c>
      <c r="F342" s="1667">
        <f>SUM(F330)</f>
        <v>0</v>
      </c>
      <c r="G342" s="1667">
        <f>SUM(G330)</f>
        <v>0</v>
      </c>
      <c r="H342" s="1667">
        <f>SUM(H330,H334,H340)</f>
        <v>0</v>
      </c>
      <c r="I342" s="1667">
        <f>SUM(I330)</f>
        <v>0</v>
      </c>
      <c r="J342" s="1667">
        <f>SUM(J330)</f>
        <v>0</v>
      </c>
      <c r="K342" s="1667">
        <f>SUM(K330,K334,K340)</f>
        <v>102619</v>
      </c>
      <c r="L342" s="1674">
        <f>SUM(L330,L340,L341)</f>
        <v>108245</v>
      </c>
    </row>
    <row r="343" spans="1:14" ht="12.75" customHeight="1" thickTop="1" x14ac:dyDescent="0.2">
      <c r="A343" s="2274" t="s">
        <v>996</v>
      </c>
      <c r="B343" s="2275"/>
      <c r="C343" s="613"/>
      <c r="D343" s="613"/>
      <c r="E343" s="613"/>
      <c r="F343" s="613"/>
      <c r="G343" s="613"/>
      <c r="H343" s="613"/>
      <c r="I343" s="613"/>
      <c r="J343" s="613"/>
      <c r="K343" s="1681">
        <f>'Revenues 9-14'!J268-'Expenditures 15-22'!K342</f>
        <v>49149</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64" t="s">
        <v>966</v>
      </c>
      <c r="B345" s="2265"/>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88" t="s">
        <v>996</v>
      </c>
      <c r="B368" s="2289"/>
      <c r="C368" s="651"/>
      <c r="D368" s="651"/>
      <c r="E368" s="623"/>
      <c r="F368" s="623"/>
      <c r="G368" s="623"/>
      <c r="H368" s="623"/>
      <c r="I368" s="623"/>
      <c r="J368" s="620"/>
      <c r="K368" s="1668">
        <f>'Revenues 9-14'!K268-'Expenditures 15-22'!K367</f>
        <v>526</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61" bottom="0.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6ce3111e-7420-4802-b50a-75d4e9a0b980"/>
    <ds:schemaRef ds:uri="http://purl.org/dc/dcmitype/"/>
    <ds:schemaRef ds:uri="http://www.w3.org/XML/1998/namespace"/>
    <ds:schemaRef ds:uri="http://schemas.microsoft.com/office/2006/documentManagement/types"/>
    <ds:schemaRef ds:uri="http://schemas.microsoft.com/office/infopath/2007/PartnerControls"/>
    <ds:schemaRef ds:uri="d21dc803-237d-4c68-8692-8d731fd29118"/>
    <ds:schemaRef ds:uri="http://purl.org/dc/terms/"/>
    <ds:schemaRef ds:uri="http://purl.org/dc/elements/1.1/"/>
    <ds:schemaRef ds:uri="http://schemas.openxmlformats.org/package/2006/metadata/core-properties"/>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SEFA NOTES (2)</vt:lpstr>
      <vt:lpstr>SF&amp;QC Sec-1</vt:lpstr>
      <vt:lpstr>SF&amp;QC Sec-2</vt:lpstr>
      <vt:lpstr>SF&amp;QC Sec-3</vt:lpstr>
      <vt:lpstr>SSPAF</vt:lpstr>
      <vt:lpstr>CAP - 2019-001</vt:lpstr>
      <vt:lpstr>' SEFA'!Print_Area</vt:lpstr>
      <vt:lpstr>'SEFA 19'!Print_Area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2019-10-31T13:43:01Z</cp:lastPrinted>
  <dcterms:created xsi:type="dcterms:W3CDTF">2003-10-29T19:06:34Z</dcterms:created>
  <dcterms:modified xsi:type="dcterms:W3CDTF">2019-12-17T20:31:12Z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