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19" sheetId="187" r:id="rId29"/>
    <sheet name="SEFA NOTES" sheetId="173" r:id="rId30"/>
    <sheet name="SF&amp;QC Sec-1" sheetId="174" r:id="rId31"/>
    <sheet name="SF&amp;QC Sec-2" sheetId="175" r:id="rId32"/>
    <sheet name="Finding 2019-001" sheetId="186" r:id="rId33"/>
    <sheet name="Finding 2019-002" sheetId="194" r:id="rId34"/>
    <sheet name="Finding 2019-003" sheetId="195" r:id="rId35"/>
    <sheet name="Fed Finding 2019-004" sheetId="176" r:id="rId36"/>
    <sheet name="SSPAF" sheetId="177" r:id="rId37"/>
    <sheet name="CAP 001" sheetId="183" r:id="rId38"/>
    <sheet name="CAP 002" sheetId="196" r:id="rId39"/>
    <sheet name="CAP 003" sheetId="191" r:id="rId40"/>
    <sheet name="CAP 004" sheetId="192" r:id="rId41"/>
  </sheets>
  <definedNames>
    <definedName name="goof" localSheetId="39">#REF!</definedName>
    <definedName name="goof" localSheetId="40">#REF!</definedName>
    <definedName name="goof" localSheetId="28">#REF!</definedName>
    <definedName name="goof">#REF!</definedName>
    <definedName name="oops" localSheetId="39">#REF!</definedName>
    <definedName name="oops" localSheetId="40">#REF!</definedName>
    <definedName name="oops" localSheetId="28">#REF!</definedName>
    <definedName name="oops">#REF!</definedName>
    <definedName name="pass" localSheetId="39">#REF!</definedName>
    <definedName name="pass" localSheetId="40">#REF!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35">'Fed Finding 2019-004'!$A$1:$K$48</definedName>
    <definedName name="_xlnm.Print_Area" localSheetId="29">'SEFA NOTES'!$A$1:$F$52</definedName>
    <definedName name="_xlnm.Print_Area" localSheetId="26">'SEFA Reconcile'!$A$1:$E$49</definedName>
    <definedName name="_xlnm.Print_Area" localSheetId="28">SEFA19!$A$11:$L$95</definedName>
    <definedName name="_xlnm.Print_Area" localSheetId="30">'SF&amp;QC Sec-1'!$A$1:$J$63</definedName>
    <definedName name="_xlnm.Print_Area" localSheetId="25">'Single Audit Checklist'!$A$1:$D$124</definedName>
    <definedName name="_xlnm.Print_Area" localSheetId="24">'Single Audit Cover'!$A$1:$L$51</definedName>
    <definedName name="Print_Area_MI" localSheetId="28">SEFA19!$A$14:$L$85</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SEFA19!$1:$11</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7">#REF!</definedName>
    <definedName name="SCHADDRS" localSheetId="38">#REF!</definedName>
    <definedName name="SCHADDRS" localSheetId="39">#REF!</definedName>
    <definedName name="SCHADDRS" localSheetId="40">#REF!</definedName>
    <definedName name="SCHADDRS" localSheetId="21">#REF!</definedName>
    <definedName name="SCHADDRS" localSheetId="35">#REF!</definedName>
    <definedName name="SCHADDRS" localSheetId="4">#REF!</definedName>
    <definedName name="SCHADDRS" localSheetId="32">#REF!</definedName>
    <definedName name="SCHADDRS" localSheetId="33">#REF!</definedName>
    <definedName name="SCHADDRS" localSheetId="34">#REF!</definedName>
    <definedName name="SCHADDRS" localSheetId="29">#REF!</definedName>
    <definedName name="SCHADDRS" localSheetId="26">#REF!</definedName>
    <definedName name="SCHADDRS" localSheetId="28">#REF!</definedName>
    <definedName name="SCHADDRS" localSheetId="30">#REF!</definedName>
    <definedName name="SCHADDRS" localSheetId="31">#REF!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17">#REF!</definedName>
    <definedName name="SCHCTY" localSheetId="37">#REF!</definedName>
    <definedName name="SCHCTY" localSheetId="38">#REF!</definedName>
    <definedName name="SCHCTY" localSheetId="39">#REF!</definedName>
    <definedName name="SCHCTY" localSheetId="40">#REF!</definedName>
    <definedName name="SCHCTY" localSheetId="21">#REF!</definedName>
    <definedName name="SCHCTY" localSheetId="35">#REF!</definedName>
    <definedName name="SCHCTY" localSheetId="4">#REF!</definedName>
    <definedName name="SCHCTY" localSheetId="32">#REF!</definedName>
    <definedName name="SCHCTY" localSheetId="33">#REF!</definedName>
    <definedName name="SCHCTY" localSheetId="34">#REF!</definedName>
    <definedName name="SCHCTY" localSheetId="29">#REF!</definedName>
    <definedName name="SCHCTY" localSheetId="26">#REF!</definedName>
    <definedName name="SCHCTY" localSheetId="28">#REF!</definedName>
    <definedName name="SCHCTY" localSheetId="30">#REF!</definedName>
    <definedName name="SCHCTY" localSheetId="31">#REF!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17">#REF!</definedName>
    <definedName name="SCHNMBR" localSheetId="37">#REF!</definedName>
    <definedName name="SCHNMBR" localSheetId="38">#REF!</definedName>
    <definedName name="SCHNMBR" localSheetId="39">#REF!</definedName>
    <definedName name="SCHNMBR" localSheetId="40">#REF!</definedName>
    <definedName name="SCHNMBR" localSheetId="21">#REF!</definedName>
    <definedName name="SCHNMBR" localSheetId="35">#REF!</definedName>
    <definedName name="SCHNMBR" localSheetId="4">#REF!</definedName>
    <definedName name="SCHNMBR" localSheetId="32">#REF!</definedName>
    <definedName name="SCHNMBR" localSheetId="33">#REF!</definedName>
    <definedName name="SCHNMBR" localSheetId="34">#REF!</definedName>
    <definedName name="SCHNMBR" localSheetId="29">#REF!</definedName>
    <definedName name="SCHNMBR" localSheetId="26">#REF!</definedName>
    <definedName name="SCHNMBR" localSheetId="28">#REF!</definedName>
    <definedName name="SCHNMBR" localSheetId="30">#REF!</definedName>
    <definedName name="SCHNMBR" localSheetId="31">#REF!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17">#REF!</definedName>
    <definedName name="SCHNME" localSheetId="37">#REF!</definedName>
    <definedName name="SCHNME" localSheetId="38">#REF!</definedName>
    <definedName name="SCHNME" localSheetId="39">#REF!</definedName>
    <definedName name="SCHNME" localSheetId="40">#REF!</definedName>
    <definedName name="SCHNME" localSheetId="21">#REF!</definedName>
    <definedName name="SCHNME" localSheetId="35">#REF!</definedName>
    <definedName name="SCHNME" localSheetId="4">#REF!</definedName>
    <definedName name="SCHNME" localSheetId="32">#REF!</definedName>
    <definedName name="SCHNME" localSheetId="33">#REF!</definedName>
    <definedName name="SCHNME" localSheetId="34">#REF!</definedName>
    <definedName name="SCHNME" localSheetId="29">#REF!</definedName>
    <definedName name="SCHNME" localSheetId="26">#REF!</definedName>
    <definedName name="SCHNME" localSheetId="28">#REF!</definedName>
    <definedName name="SCHNME" localSheetId="30">#REF!</definedName>
    <definedName name="SCHNME" localSheetId="31">#REF!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17">#REF!</definedName>
    <definedName name="SUPT" localSheetId="37">#REF!</definedName>
    <definedName name="SUPT" localSheetId="38">#REF!</definedName>
    <definedName name="SUPT" localSheetId="39">#REF!</definedName>
    <definedName name="SUPT" localSheetId="40">#REF!</definedName>
    <definedName name="SUPT" localSheetId="21">#REF!</definedName>
    <definedName name="SUPT" localSheetId="35">#REF!</definedName>
    <definedName name="SUPT" localSheetId="4">#REF!</definedName>
    <definedName name="SUPT" localSheetId="32">#REF!</definedName>
    <definedName name="SUPT" localSheetId="33">#REF!</definedName>
    <definedName name="SUPT" localSheetId="34">#REF!</definedName>
    <definedName name="SUPT" localSheetId="29">#REF!</definedName>
    <definedName name="SUPT" localSheetId="26">#REF!</definedName>
    <definedName name="SUPT" localSheetId="28">#REF!</definedName>
    <definedName name="SUPT" localSheetId="30">#REF!</definedName>
    <definedName name="SUPT" localSheetId="31">#REF!</definedName>
    <definedName name="SUPT" localSheetId="25">#REF!</definedName>
    <definedName name="SUPT" localSheetId="24">#REF!</definedName>
    <definedName name="SUPT" localSheetId="36">#REF!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192" l="1"/>
  <c r="B11" i="191"/>
  <c r="B4" i="195" l="1"/>
  <c r="B4" i="194"/>
  <c r="J6" i="12" l="1"/>
  <c r="J15" i="12"/>
  <c r="J8" i="12"/>
  <c r="B4" i="186" l="1"/>
  <c r="C33" i="173" l="1"/>
  <c r="I82" i="187"/>
  <c r="I87" i="187" s="1"/>
  <c r="H82" i="187"/>
  <c r="G82" i="187"/>
  <c r="F82" i="187"/>
  <c r="E82" i="187"/>
  <c r="K81" i="187"/>
  <c r="K80" i="187"/>
  <c r="K82" i="187" s="1"/>
  <c r="I74" i="187"/>
  <c r="H74" i="187"/>
  <c r="G74" i="187"/>
  <c r="G87" i="187" s="1"/>
  <c r="F74" i="187"/>
  <c r="E74" i="187"/>
  <c r="K73" i="187"/>
  <c r="K74" i="187" s="1"/>
  <c r="I67" i="187"/>
  <c r="G67" i="187"/>
  <c r="E67" i="187"/>
  <c r="H65" i="187"/>
  <c r="K65" i="187" s="1"/>
  <c r="F65" i="187"/>
  <c r="K64" i="187"/>
  <c r="K62" i="187"/>
  <c r="K57" i="187"/>
  <c r="H56" i="187"/>
  <c r="K56" i="187" s="1"/>
  <c r="F56" i="187"/>
  <c r="K54" i="187"/>
  <c r="H53" i="187"/>
  <c r="K53" i="187" s="1"/>
  <c r="F53" i="187"/>
  <c r="K51" i="187"/>
  <c r="K50" i="187"/>
  <c r="K48" i="187"/>
  <c r="K47" i="187"/>
  <c r="K46" i="187"/>
  <c r="K45" i="187"/>
  <c r="K44" i="187"/>
  <c r="K42" i="187"/>
  <c r="K40" i="187"/>
  <c r="H39" i="187"/>
  <c r="F39" i="187"/>
  <c r="K37" i="187"/>
  <c r="I31" i="187"/>
  <c r="H31" i="187"/>
  <c r="G31" i="187"/>
  <c r="G86" i="187" s="1"/>
  <c r="E31" i="187"/>
  <c r="K30" i="187"/>
  <c r="K29" i="187"/>
  <c r="K27" i="187"/>
  <c r="K26" i="187"/>
  <c r="K23" i="187"/>
  <c r="K22" i="187"/>
  <c r="K20" i="187"/>
  <c r="K19" i="187"/>
  <c r="K17" i="187"/>
  <c r="K16" i="187"/>
  <c r="F16" i="187"/>
  <c r="H9" i="187"/>
  <c r="G9" i="187"/>
  <c r="H8" i="187"/>
  <c r="F87" i="187" l="1"/>
  <c r="G89" i="187"/>
  <c r="E87" i="187"/>
  <c r="K31" i="187"/>
  <c r="E84" i="187"/>
  <c r="G84" i="187"/>
  <c r="H67" i="187"/>
  <c r="H86" i="187" s="1"/>
  <c r="K39" i="187"/>
  <c r="I84" i="187"/>
  <c r="E86" i="187"/>
  <c r="H87" i="187"/>
  <c r="K67" i="187"/>
  <c r="F31" i="187"/>
  <c r="F67" i="187"/>
  <c r="I86" i="187"/>
  <c r="I89" i="187" s="1"/>
  <c r="K87" i="187"/>
  <c r="B11" i="183"/>
  <c r="H84" i="187" l="1"/>
  <c r="K84" i="187"/>
  <c r="E89" i="187"/>
  <c r="H89" i="187"/>
  <c r="K86" i="187"/>
  <c r="K89" i="187" s="1"/>
  <c r="F86" i="187"/>
  <c r="F89" i="187" s="1"/>
  <c r="F84" i="18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6" l="1"/>
  <c r="B1" i="195"/>
  <c r="B1" i="194"/>
  <c r="B1" i="191"/>
  <c r="B1" i="192"/>
  <c r="B1" i="186"/>
  <c r="B2" i="196"/>
  <c r="B2" i="195"/>
  <c r="B2" i="194"/>
  <c r="B2" i="191"/>
  <c r="B2" i="192"/>
  <c r="B2" i="186"/>
  <c r="B1" i="183"/>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I33" i="8"/>
  <c r="J33" i="8" s="1"/>
  <c r="I34" i="8"/>
  <c r="J34" i="8" s="1"/>
  <c r="I35" i="8"/>
  <c r="J35" i="8" s="1"/>
  <c r="I36" i="8"/>
  <c r="J36" i="8" s="1"/>
  <c r="I37" i="8"/>
  <c r="J37" i="8" s="1"/>
  <c r="I38" i="8"/>
  <c r="J38" i="8" s="1"/>
  <c r="I39" i="8"/>
  <c r="J39" i="8" s="1"/>
  <c r="I40" i="8"/>
  <c r="J40" i="8" s="1"/>
  <c r="I41" i="8"/>
  <c r="J41" i="8" s="1"/>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0" i="127"/>
  <c r="B71" i="127"/>
  <c r="E27" i="108"/>
  <c r="G27"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D24" i="37"/>
  <c r="B4270" i="106" s="1"/>
  <c r="D4270" i="106" s="1"/>
  <c r="B1126" i="106" l="1"/>
  <c r="D1126" i="106" s="1"/>
  <c r="F26" i="108"/>
  <c r="D26" i="108"/>
  <c r="L5" i="11"/>
  <c r="B2056" i="106" s="1"/>
  <c r="D2056" i="106" s="1"/>
  <c r="J22" i="37"/>
  <c r="D68" i="36"/>
  <c r="B6289" i="106"/>
  <c r="D6289" i="106" s="1"/>
  <c r="G33" i="108"/>
  <c r="J49" i="8"/>
  <c r="B4172" i="106" s="1"/>
  <c r="D4172" i="106" s="1"/>
  <c r="D69" i="36"/>
  <c r="H76" i="4"/>
  <c r="B3298" i="106" s="1"/>
  <c r="D3298" i="106" s="1"/>
  <c r="B2724" i="106"/>
  <c r="D2724" i="106" s="1"/>
  <c r="I210" i="29"/>
  <c r="B7071" i="106" s="1"/>
  <c r="D7071" i="106" s="1"/>
  <c r="F72" i="34"/>
  <c r="H112" i="29"/>
  <c r="B7018" i="106" s="1"/>
  <c r="D7018" i="106" s="1"/>
  <c r="F71" i="34"/>
  <c r="D54" i="36"/>
  <c r="G14" i="4"/>
  <c r="B2609" i="106" s="1"/>
  <c r="D2609" i="106" s="1"/>
  <c r="F37" i="34"/>
  <c r="B1124" i="106"/>
  <c r="D1124" i="106" s="1"/>
  <c r="F69" i="34"/>
  <c r="L15" i="11"/>
  <c r="B3459" i="106" s="1"/>
  <c r="D3459" i="106" s="1"/>
  <c r="F50" i="34"/>
  <c r="J210" i="29"/>
  <c r="B7072" i="106" s="1"/>
  <c r="D7072" i="106" s="1"/>
  <c r="F46" i="34"/>
  <c r="F42" i="34"/>
  <c r="F36" i="108"/>
  <c r="F49"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1" i="106" l="1"/>
  <c r="D7254" i="106"/>
  <c r="D7255" i="106"/>
  <c r="D7256" i="106"/>
  <c r="D7250" i="106"/>
  <c r="D7252" i="106"/>
  <c r="F66" i="34"/>
  <c r="C367" i="29"/>
  <c r="B3622" i="106" s="1"/>
  <c r="D3622" i="106" s="1"/>
  <c r="J16" i="4"/>
  <c r="B6226" i="106" s="1"/>
  <c r="D6226" i="106" s="1"/>
  <c r="I7" i="4"/>
  <c r="B4444" i="106" s="1"/>
  <c r="D4444" i="106" s="1"/>
  <c r="B1328" i="106"/>
  <c r="D1328"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K368" i="29" s="1"/>
  <c r="B3681" i="106" s="1"/>
  <c r="D3681" i="106" s="1"/>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<sst xmlns="http://schemas.openxmlformats.org/spreadsheetml/2006/main" count="5459" uniqueCount="2273">
  <si>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</si>
  <si>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</si>
  <si>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</si>
  <si>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</si>
  <si>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</si>
  <si>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</si>
  <si>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</si>
  <si>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</si>
  <si>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</si>
  <si>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</si>
  <si>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</si>
  <si>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</si>
  <si>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</si>
  <si>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</si>
  <si>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</si>
  <si>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</si>
  <si>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</si>
  <si>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</si>
  <si>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</si>
  <si>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</si>
  <si>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</si>
  <si>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</si>
  <si>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</si>
  <si>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</si>
  <si>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</si>
  <si>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</si>
  <si>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</si>
  <si>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</si>
  <si>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</si>
  <si>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</si>
  <si>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</si>
  <si>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</si>
  <si>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</si>
  <si>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</si>
  <si>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</si>
  <si>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</si>
  <si>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</si>
  <si>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</si>
  <si>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</si>
  <si>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</si>
  <si>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</si>
  <si>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</si>
  <si>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</si>
  <si>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</si>
  <si>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</si>
  <si>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</si>
  <si>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</si>
  <si>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</si>
  <si>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</si>
  <si>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</si>
  <si>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</si>
  <si>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</si>
  <si>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</si>
  <si>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</si>
  <si>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</si>
  <si>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</si>
  <si>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</si>
  <si>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</si>
  <si>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</si>
  <si>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</si>
  <si>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</si>
  <si>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</si>
  <si>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</si>
  <si>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</si>
  <si>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</si>
  <si>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</si>
  <si>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</si>
  <si>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</si>
  <si>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</si>
  <si>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</si>
  <si>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</si>
  <si>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</si>
  <si>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</si>
  <si>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</si>
  <si>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</si>
  <si>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</si>
  <si>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</si>
  <si>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</si>
  <si>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</si>
  <si>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</si>
  <si>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</si>
  <si>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</si>
  <si>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</si>
  <si>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</si>
  <si>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</si>
  <si>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</si>
  <si>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</si>
  <si>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</si>
  <si>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</si>
  <si>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</si>
  <si>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</si>
  <si>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</si>
  <si>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</si>
  <si>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</si>
  <si>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</si>
  <si>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</si>
  <si>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</si>
  <si>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</si>
  <si>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</si>
  <si>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</si>
  <si>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</si>
  <si>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</si>
  <si>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</si>
  <si>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</si>
  <si>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</si>
  <si>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</si>
  <si>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</si>
  <si>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</si>
  <si>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</si>
  <si>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</si>
  <si>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</si>
  <si>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</si>
  <si>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</si>
  <si>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</si>
  <si>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</si>
  <si>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</si>
  <si>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</si>
  <si>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</si>
  <si>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</si>
  <si>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</si>
  <si>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</si>
  <si>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</si>
  <si>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</si>
  <si>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</si>
  <si>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</si>
  <si>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</si>
  <si>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</si>
  <si>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</si>
  <si>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</si>
  <si>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</si>
  <si>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</si>
  <si>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</si>
  <si>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</si>
  <si>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</si>
  <si>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</si>
  <si>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</si>
  <si>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</si>
  <si>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</si>
  <si>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</si>
  <si>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</si>
  <si>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</si>
  <si>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</si>
  <si>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</si>
  <si>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</si>
  <si>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</si>
  <si>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</si>
  <si>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</si>
  <si>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</si>
  <si>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</si>
  <si>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</si>
  <si>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</si>
  <si>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</si>
  <si>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</si>
  <si>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</si>
  <si>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</si>
  <si>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</si>
  <si>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</si>
  <si>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</si>
  <si>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</si>
  <si>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</si>
  <si>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</si>
  <si>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</si>
  <si>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</si>
  <si>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</si>
  <si>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</si>
  <si>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</si>
  <si>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</si>
  <si>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</si>
  <si>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</si>
  <si>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</si>
  <si>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</si>
  <si>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</si>
  <si>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</si>
  <si>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</si>
  <si>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</si>
  <si>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</si>
  <si>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</si>
  <si>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</si>
  <si>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</si>
  <si>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</si>
  <si>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</si>
  <si>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</si>
  <si>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</si>
  <si>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</si>
  <si>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</si>
  <si>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</si>
  <si>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</si>
  <si>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</si>
  <si>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</si>
  <si>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</si>
  <si>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</si>
  <si>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</si>
  <si>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</si>
  <si>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</si>
  <si>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</si>
  <si>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</si>
  <si>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</si>
  <si>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</si>
  <si>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</si>
  <si>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</si>
  <si>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</si>
  <si>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</si>
  <si>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</si>
  <si>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</si>
  <si>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</si>
  <si>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</si>
  <si>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</si>
  <si>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</si>
  <si>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</si>
  <si>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</si>
  <si>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</si>
  <si>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</si>
  <si>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</si>
  <si>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</si>
  <si>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</si>
  <si>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</si>
  <si>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</si>
  <si>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</si>
  <si>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</si>
  <si>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</si>
  <si>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</si>
  <si>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</si>
  <si>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</si>
  <si>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</si>
  <si>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</si>
  <si>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</si>
  <si>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</si>
  <si>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</si>
  <si>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</si>
  <si>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</si>
  <si>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</si>
  <si>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</si>
  <si>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</si>
  <si>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</si>
  <si>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</si>
  <si>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</si>
  <si>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</si>
  <si>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</si>
  <si>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</si>
  <si>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</si>
  <si>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</si>
  <si>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</si>
  <si>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</si>
  <si>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</si>
  <si>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</si>
  <si>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</si>
  <si>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</si>
  <si>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</si>
  <si>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</si>
  <si>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</si>
  <si>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</si>
  <si>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</si>
  <si>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</si>
  <si>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</si>
  <si>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</si>
  <si>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</si>
  <si>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</si>
  <si>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</si>
  <si>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</si>
  <si>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</si>
  <si>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</si>
  <si>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</si>
  <si>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</si>
  <si>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</si>
  <si>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</si>
  <si>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</si>
  <si>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</si>
  <si>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</si>
  <si>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</si>
  <si>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</si>
  <si>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</si>
  <si>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</si>
  <si>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</si>
  <si>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</si>
  <si>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</si>
  <si>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</si>
  <si>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</si>
  <si>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</si>
  <si>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</si>
  <si>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</si>
  <si>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</si>
  <si>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</si>
  <si>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</si>
  <si>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</si>
  <si>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</si>
  <si>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</si>
  <si>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</si>
  <si>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</si>
  <si>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</si>
  <si>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</si>
  <si>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</si>
  <si>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</si>
  <si>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</si>
  <si>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</si>
  <si>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</si>
  <si>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</si>
  <si>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</si>
  <si>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</si>
  <si>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</si>
  <si>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</si>
  <si>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</si>
  <si>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</si>
  <si>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</si>
  <si>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</si>
  <si>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</si>
  <si>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</si>
  <si>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</si>
  <si>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</si>
  <si>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</si>
  <si>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</si>
  <si>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</si>
  <si>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</si>
  <si>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</si>
  <si>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</si>
  <si>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</si>
  <si>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</si>
  <si>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</si>
  <si>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</si>
  <si>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</si>
  <si>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</si>
  <si>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</si>
  <si>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</si>
  <si>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</si>
  <si>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</si>
  <si>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</si>
  <si>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</si>
  <si>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</si>
  <si>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</si>
  <si>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</si>
  <si>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</si>
  <si>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</si>
  <si>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</si>
  <si>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</si>
  <si>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</si>
  <si>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</si>
  <si>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</si>
  <si>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</si>
  <si>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</si>
  <si>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</si>
  <si>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</si>
  <si>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</si>
  <si>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</si>
  <si>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</si>
  <si>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</si>
  <si>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</si>
  <si>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</si>
  <si>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</si>
  <si>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</si>
  <si>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</si>
  <si>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</si>
  <si>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</si>
  <si>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</si>
  <si>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</si>
  <si>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</si>
  <si>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</si>
  <si>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</si>
  <si>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</si>
  <si>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</si>
  <si>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</si>
  <si>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</si>
  <si>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</si>
  <si>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</si>
  <si>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</si>
  <si>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</si>
  <si>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</si>
  <si>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</si>
  <si>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</si>
  <si>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</si>
  <si>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</si>
  <si>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</si>
  <si>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</si>
  <si>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</si>
  <si>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</si>
  <si>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</si>
  <si>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</si>
  <si>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</si>
  <si>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</si>
  <si>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</si>
  <si>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</si>
  <si>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</si>
  <si>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</si>
  <si>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</si>
  <si>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</si>
  <si>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</si>
  <si>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</si>
  <si>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</si>
  <si>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</si>
  <si>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</si>
  <si>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</si>
  <si>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</si>
  <si>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</si>
  <si>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</si>
  <si>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</si>
  <si>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</si>
  <si>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</si>
  <si>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</si>
  <si>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</si>
  <si>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</si>
  <si>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</si>
  <si>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</si>
  <si>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</si>
  <si>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</si>
  <si>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</si>
  <si>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</si>
  <si>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</si>
  <si>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</si>
  <si>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</si>
  <si>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</si>
  <si>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</si>
  <si>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</si>
  <si>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</si>
  <si>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</si>
  <si>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</si>
  <si>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</si>
  <si>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</si>
  <si>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</si>
  <si>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</si>
  <si>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</si>
  <si>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</si>
  <si>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</si>
  <si>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</si>
  <si>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</si>
  <si>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</si>
  <si>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</si>
  <si>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</si>
  <si>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</si>
  <si>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</si>
  <si>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</si>
  <si>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</si>
  <si>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</si>
  <si>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</si>
  <si>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</si>
  <si>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</si>
  <si>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</si>
  <si>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</si>
  <si>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</si>
  <si>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</si>
  <si>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</si>
  <si>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</si>
  <si>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</si>
  <si>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</si>
  <si>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</si>
  <si>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</si>
  <si>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</si>
  <si>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</si>
  <si>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</si>
  <si>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</si>
  <si>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</si>
  <si>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</si>
  <si>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</si>
  <si>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</si>
  <si>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</si>
  <si>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</si>
  <si>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</si>
  <si>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</si>
  <si>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</si>
  <si>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</si>
  <si>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</si>
  <si>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</si>
  <si>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</si>
  <si>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</si>
  <si>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</si>
  <si>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</si>
  <si>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</si>
  <si>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</si>
  <si>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</si>
  <si>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</si>
  <si>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</si>
  <si>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</si>
  <si>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</si>
  <si>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</si>
  <si>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</si>
  <si>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</si>
  <si>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</si>
  <si>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</si>
  <si>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</si>
  <si>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</si>
  <si>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</si>
  <si>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</si>
  <si>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</si>
  <si>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</si>
  <si>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</si>
  <si>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</si>
  <si>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</si>
  <si>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</si>
  <si>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</si>
  <si>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</si>
  <si>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</si>
  <si>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</si>
  <si>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</si>
  <si>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</si>
  <si>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</si>
  <si>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</si>
  <si>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</si>
  <si>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</si>
  <si>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</si>
  <si>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</si>
  <si>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</si>
  <si>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</si>
  <si>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</si>
  <si>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</si>
  <si>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</si>
  <si>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</si>
  <si>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</si>
  <si>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</si>
  <si>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</si>
  <si>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</si>
  <si>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</si>
  <si>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</si>
  <si>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</si>
  <si>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</si>
  <si>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</si>
  <si>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</si>
  <si>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</si>
  <si>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</si>
  <si>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</si>
  <si>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</si>
  <si>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</si>
  <si>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</si>
  <si>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</si>
  <si>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</si>
  <si>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</si>
  <si>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</si>
  <si>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</si>
  <si>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</si>
  <si>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</si>
  <si>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</si>
  <si>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</si>
  <si>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</si>
  <si>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</si>
  <si>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</si>
  <si>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</si>
  <si>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</si>
  <si>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</si>
  <si>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</si>
  <si>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</si>
  <si>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</si>
  <si>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</si>
  <si>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</si>
  <si>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</si>
  <si>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</si>
  <si>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</si>
  <si>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</si>
  <si>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</si>
  <si>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</si>
  <si>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</si>
  <si>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</si>
  <si>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</si>
  <si>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</si>
  <si>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</si>
  <si>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</si>
  <si>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</si>
  <si>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</si>
  <si>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</si>
  <si>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</si>
  <si>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</si>
  <si>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</si>
  <si>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</si>
  <si>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</si>
  <si>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</si>
  <si>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</si>
  <si>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</si>
  <si>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</si>
  <si>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</si>
  <si>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</si>
  <si>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</si>
  <si>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</si>
  <si>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</si>
  <si>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</si>
  <si>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</si>
  <si>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</si>
  <si>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</si>
  <si>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</si>
  <si>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</si>
  <si>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</si>
  <si>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</si>
  <si>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</si>
  <si>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</si>
  <si>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</si>
  <si>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</si>
  <si>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</si>
  <si>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</si>
  <si>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</si>
  <si>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</si>
  <si>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</si>
  <si>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</si>
  <si>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</si>
  <si>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</si>
  <si>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</si>
  <si>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</si>
  <si>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</si>
  <si>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</si>
  <si>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</si>
  <si>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</si>
  <si>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</si>
  <si>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</si>
  <si>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</si>
  <si>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</si>
  <si>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</si>
  <si>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</si>
  <si>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</si>
  <si>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</si>
  <si>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</si>
  <si>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</si>
  <si>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</si>
  <si>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</si>
  <si>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</si>
  <si>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</si>
  <si>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</si>
  <si>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</si>
  <si>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</si>
  <si>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</si>
  <si>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</si>
  <si>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</si>
  <si>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</si>
  <si>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</si>
  <si>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</si>
  <si>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</si>
  <si>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</si>
  <si>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</si>
  <si>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</si>
  <si>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</si>
  <si>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</si>
  <si>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</si>
  <si>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</si>
  <si>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</si>
  <si>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</si>
  <si>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</si>
  <si>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</si>
  <si>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</si>
  <si>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</si>
  <si>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</si>
  <si>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</si>
  <si>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</si>
  <si>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</si>
  <si>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</si>
  <si>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</si>
  <si>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</si>
  <si>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</si>
  <si>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</si>
  <si>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</si>
  <si>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</si>
  <si>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</si>
  <si>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</si>
  <si>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</si>
  <si>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</si>
  <si>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</si>
  <si>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</si>
  <si>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</si>
  <si>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</si>
  <si>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</si>
  <si>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</si>
  <si>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</si>
  <si>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</si>
  <si>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</si>
  <si>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</si>
  <si>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</si>
  <si>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</si>
  <si>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</si>
  <si>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</si>
  <si>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</si>
  <si>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</si>
  <si>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</si>
  <si>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</si>
  <si>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</si>
  <si>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</si>
  <si>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</si>
  <si>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</si>
  <si>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</si>
  <si>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</si>
  <si>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</si>
  <si>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</si>
  <si>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</si>
  <si>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</si>
  <si>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</si>
  <si>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</si>
  <si>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</si>
  <si>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</si>
  <si>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</si>
  <si>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</si>
  <si>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</si>
  <si>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</si>
  <si>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</si>
  <si>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</si>
  <si>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</si>
  <si>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</si>
  <si>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</si>
  <si>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</si>
  <si>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</si>
  <si>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</si>
  <si>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</si>
  <si>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</si>
  <si>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</si>
  <si>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</si>
  <si>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</si>
  <si>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</si>
  <si>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</si>
  <si>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</si>
  <si>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</si>
  <si>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</si>
  <si>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</si>
  <si>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</si>
  <si>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</si>
  <si>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</si>
  <si>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</si>
  <si>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</si>
  <si>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</si>
  <si>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</si>
  <si>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</si>
  <si>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</si>
  <si>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</si>
  <si>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</si>
  <si>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</si>
  <si>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</si>
  <si>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</si>
  <si>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</si>
  <si>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</si>
  <si>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</si>
  <si>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</si>
  <si>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</si>
  <si>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</si>
  <si>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</si>
  <si>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</si>
  <si>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</si>
  <si>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</si>
  <si>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</si>
  <si>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</si>
  <si>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</si>
  <si>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</si>
  <si>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</si>
  <si>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</si>
  <si>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</si>
  <si>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</si>
  <si>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</si>
  <si>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</si>
  <si>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</si>
  <si>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</si>
  <si>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</si>
  <si>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</si>
  <si>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</si>
  <si>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</si>
  <si>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</si>
  <si>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</si>
  <si>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</si>
  <si>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</si>
  <si>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</si>
  <si>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</si>
  <si>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</si>
  <si>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</si>
  <si>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</si>
  <si>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</si>
  <si>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</si>
  <si>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</si>
  <si>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</si>
  <si>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</si>
  <si>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</si>
  <si>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</si>
  <si>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</si>
  <si>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</si>
  <si>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</si>
  <si>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</si>
  <si>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</si>
  <si>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</si>
  <si>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</si>
  <si>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</si>
  <si>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</si>
  <si>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</si>
  <si>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</si>
  <si>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</si>
  <si>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</si>
  <si>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</si>
  <si>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</si>
  <si>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</si>
  <si>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</si>
  <si>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</si>
  <si>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</si>
  <si>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</si>
  <si>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</si>
  <si>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</si>
  <si>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</si>
  <si>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</si>
  <si>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</si>
  <si>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</si>
  <si>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</si>
  <si>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</si>
  <si>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</si>
  <si>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</si>
  <si>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</si>
  <si>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</si>
  <si>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</si>
  <si>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</si>
  <si>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</si>
  <si>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</si>
  <si>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</si>
  <si>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</si>
  <si>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</si>
  <si>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</si>
  <si>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</si>
  <si>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</si>
  <si>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</si>
  <si>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</si>
  <si>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</si>
  <si>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</si>
  <si>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</si>
  <si>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</si>
  <si>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</si>
  <si>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</si>
  <si>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</si>
  <si>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</si>
  <si>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</si>
  <si>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</si>
  <si>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</si>
  <si>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</si>
  <si>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</si>
  <si>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</si>
  <si>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</si>
  <si>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</si>
  <si>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</si>
  <si>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</si>
  <si>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</si>
  <si>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</si>
  <si>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</si>
  <si>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</si>
  <si>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</si>
  <si>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</si>
  <si>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</si>
  <si>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</si>
  <si>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</si>
  <si>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</si>
  <si>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</si>
  <si>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</si>
  <si>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</si>
  <si>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</si>
  <si>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</si>
  <si>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</si>
  <si>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</si>
  <si>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</si>
  <si>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</si>
  <si>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</si>
  <si>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</si>
  <si>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</si>
  <si>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</si>
  <si>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</si>
  <si>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</si>
  <si>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</si>
  <si>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</si>
  <si>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</si>
  <si>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</si>
  <si>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</si>
  <si>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</si>
  <si>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</si>
  <si>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</si>
  <si>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</si>
  <si>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</si>
  <si>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</si>
  <si>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</si>
  <si>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</si>
  <si>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</si>
  <si>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</si>
  <si>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</si>
  <si>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</si>
  <si>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</si>
  <si>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</si>
  <si>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</si>
  <si>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</si>
  <si>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</si>
  <si>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</si>
  <si>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</si>
  <si>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</si>
  <si>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</si>
  <si>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</si>
  <si>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</si>
  <si>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</si>
  <si>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</si>
  <si>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</si>
  <si>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</si>
  <si>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</si>
  <si>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</si>
  <si>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</si>
  <si>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</si>
  <si>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</si>
  <si>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</si>
  <si>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</si>
  <si>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</si>
  <si>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</si>
  <si>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</si>
  <si>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</si>
  <si>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</si>
  <si>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</si>
  <si>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</si>
  <si>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</si>
  <si>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</si>
  <si>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</si>
  <si>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</si>
  <si>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</si>
  <si>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</si>
  <si>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</si>
  <si>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</si>
  <si>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</si>
  <si>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</si>
  <si>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</si>
  <si>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</si>
  <si>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</si>
  <si>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</si>
  <si>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</si>
  <si>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</si>
  <si>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</si>
  <si>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</si>
  <si>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</si>
  <si>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</si>
  <si>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</si>
  <si>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</si>
  <si>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</si>
  <si>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</si>
  <si>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</si>
  <si>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</si>
  <si>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</si>
  <si>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</si>
  <si>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</si>
  <si>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</si>
  <si>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</si>
  <si>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</si>
  <si>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</si>
  <si>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</si>
  <si>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</si>
  <si>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</si>
  <si>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</si>
  <si>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</si>
  <si>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</si>
  <si>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</si>
  <si>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</si>
  <si>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</si>
  <si>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</si>
  <si>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</si>
  <si>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</si>
  <si>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</si>
  <si>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</si>
  <si>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</si>
  <si>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</si>
  <si>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</si>
  <si>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</si>
  <si>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</si>
  <si>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</si>
  <si>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</si>
  <si>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</si>
  <si>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</si>
  <si>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</si>
  <si>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</si>
  <si>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</si>
  <si>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</si>
  <si>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</si>
  <si>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</si>
  <si>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</si>
  <si>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</si>
  <si>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</si>
  <si>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</si>
  <si>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</si>
  <si>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</si>
  <si>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</si>
  <si>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</si>
  <si>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</si>
  <si>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</si>
  <si>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</si>
  <si>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</si>
  <si>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</si>
  <si>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</si>
  <si>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</si>
  <si>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</si>
  <si>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</si>
  <si>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</si>
  <si>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</si>
  <si>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</si>
  <si>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</si>
  <si>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</si>
  <si>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</si>
  <si>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</si>
  <si>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</si>
  <si>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</si>
  <si>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</si>
  <si>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</si>
  <si>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</si>
  <si>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</si>
  <si>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</si>
  <si>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</si>
  <si>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</si>
  <si>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</si>
  <si>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</si>
  <si>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</si>
  <si>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</si>
  <si>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</si>
  <si>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</si>
  <si>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</si>
  <si>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</si>
  <si>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</si>
  <si>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</si>
  <si>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</si>
  <si>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</si>
  <si>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</si>
  <si>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</si>
  <si>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</si>
  <si>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</si>
  <si>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</si>
  <si>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</si>
  <si>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</si>
  <si>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</si>
  <si>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</si>
  <si>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</si>
  <si>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</si>
  <si>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</si>
  <si>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</si>
  <si>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</si>
  <si>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</si>
  <si>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</si>
  <si>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</si>
  <si>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</si>
  <si>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</si>
  <si>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</si>
  <si>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</si>
  <si>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</si>
  <si>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</si>
  <si>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</si>
  <si>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</si>
  <si>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</si>
  <si>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</si>
  <si>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</si>
  <si>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</si>
  <si>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</si>
  <si>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</si>
  <si>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</si>
  <si>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</si>
  <si>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</si>
  <si>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</si>
  <si>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</si>
  <si>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</si>
  <si>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</si>
  <si>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</si>
  <si>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</si>
  <si>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</si>
  <si>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</si>
  <si>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</si>
  <si>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</si>
  <si>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</si>
  <si>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</si>
  <si>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</si>
  <si>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</si>
  <si>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</si>
  <si>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</si>
  <si>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</si>
  <si>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</si>
  <si>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</si>
  <si>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</si>
  <si>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</si>
  <si>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</si>
  <si>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</si>
  <si>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</si>
  <si>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</si>
  <si>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</si>
  <si>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</si>
  <si>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</si>
  <si>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</si>
  <si>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</si>
  <si>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</si>
  <si>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</si>
  <si>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</si>
  <si>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</si>
  <si>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</si>
  <si>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</si>
  <si>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</si>
  <si>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</si>
  <si>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</si>
  <si>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</si>
  <si>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</si>
  <si>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</si>
  <si>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</si>
  <si>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</si>
  <si>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</si>
  <si>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</si>
  <si>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</si>
  <si>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</si>
  <si>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</si>
  <si>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</si>
  <si>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</si>
  <si>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</si>
  <si>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</si>
  <si>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</si>
  <si>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</si>
  <si>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</si>
  <si>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</si>
  <si>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</si>
  <si>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</si>
  <si>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</si>
  <si>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</si>
  <si>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</si>
  <si>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</si>
  <si>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</si>
  <si>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</si>
  <si>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</si>
  <si>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</si>
  <si>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</si>
  <si>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</si>
  <si>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</si>
  <si>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</si>
  <si>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</si>
  <si>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</si>
  <si>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</si>
  <si>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</si>
  <si>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</si>
  <si>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</si>
  <si>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</si>
  <si>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</si>
  <si>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</si>
  <si>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</si>
  <si>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</si>
  <si>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</si>
  <si>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</si>
  <si>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</si>
  <si>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</si>
  <si>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</si>
  <si>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</si>
  <si>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</si>
  <si>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</si>
  <si>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</si>
  <si>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</si>
  <si>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</si>
  <si>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</si>
  <si>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</si>
  <si>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</si>
  <si>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</si>
  <si>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</si>
  <si>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</si>
  <si>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</si>
  <si>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</si>
  <si>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</si>
  <si>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</si>
  <si>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</si>
  <si>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</si>
  <si>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</si>
  <si>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</si>
  <si>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</si>
  <si>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</si>
  <si>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</si>
  <si>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</si>
  <si>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</si>
  <si>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</si>
  <si>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</si>
  <si>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</si>
  <si>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</si>
  <si>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</si>
  <si>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</si>
  <si>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</si>
  <si>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</si>
  <si>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</si>
  <si>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</si>
  <si>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</si>
  <si>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</si>
  <si>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</si>
  <si>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</si>
  <si>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</si>
  <si>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</si>
  <si>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</si>
  <si>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</si>
  <si>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</si>
  <si>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</si>
  <si>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</si>
  <si>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</si>
  <si>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</si>
  <si>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</si>
  <si>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</si>
  <si>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</si>
  <si>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</si>
  <si>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</si>
  <si>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</si>
  <si>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</si>
  <si>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</si>
  <si>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</si>
  <si>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</si>
  <si>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</si>
  <si>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</si>
  <si>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</si>
  <si>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</si>
  <si>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</si>
  <si>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</si>
  <si>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</si>
  <si>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</si>
  <si>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</si>
  <si>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</si>
  <si>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</si>
  <si>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</si>
  <si>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</si>
  <si>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</si>
  <si>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</si>
  <si>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</si>
  <si>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</si>
  <si>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</si>
  <si>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</si>
  <si>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</si>
  <si>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</si>
  <si>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</si>
  <si>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</si>
  <si>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</si>
  <si>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</si>
  <si>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</si>
  <si>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</si>
  <si>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</si>
  <si>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</si>
  <si>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</si>
  <si>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</si>
  <si>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</si>
  <si>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</si>
  <si>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</si>
  <si>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</si>
  <si>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</si>
  <si>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</si>
  <si>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</si>
  <si>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</si>
  <si>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</si>
  <si>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</si>
  <si>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</si>
  <si>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</si>
  <si>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</si>
  <si>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</si>
  <si>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</si>
  <si>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</si>
  <si>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</si>
  <si>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</si>
  <si>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</si>
  <si>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</si>
  <si>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</si>
  <si>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</si>
  <si>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</si>
  <si>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</si>
  <si>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</si>
  <si>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</si>
  <si>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</si>
  <si>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</si>
  <si>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</si>
  <si>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</si>
  <si>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</si>
  <si>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</si>
  <si>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</si>
  <si>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</si>
  <si>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</si>
  <si>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</si>
  <si>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</si>
  <si>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</si>
  <si>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</si>
  <si>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</si>
  <si>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</si>
  <si>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</si>
  <si>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</si>
  <si>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</si>
  <si>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</si>
  <si>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</si>
  <si>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</si>
  <si>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</si>
  <si>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</si>
  <si>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</si>
  <si>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</si>
  <si>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</si>
  <si>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</si>
  <si>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</si>
  <si>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</si>
  <si>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</si>
  <si>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</si>
  <si>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</si>
  <si>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</si>
  <si>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</si>
  <si>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</si>
  <si>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</si>
  <si>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</si>
  <si>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</si>
  <si>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</si>
  <si>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</si>
  <si>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</si>
  <si>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</si>
  <si>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</si>
  <si>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</si>
  <si>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</si>
  <si>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</si>
  <si>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</si>
  <si>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</si>
  <si>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</si>
  <si>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</si>
  <si>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</si>
  <si>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</si>
  <si>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</si>
  <si>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</si>
  <si>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</si>
  <si>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</si>
  <si>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</si>
  <si>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</si>
  <si>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</si>
  <si>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</si>
  <si>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</si>
  <si>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</si>
  <si>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</si>
  <si>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</si>
  <si>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</si>
  <si>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</si>
  <si>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</si>
  <si>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</si>
  <si>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</si>
  <si>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</si>
  <si>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</si>
  <si>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</si>
  <si>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</si>
  <si>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</si>
  <si>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</si>
  <si>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</si>
  <si>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</si>
  <si>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</si>
  <si>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</si>
  <si>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</si>
  <si>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</si>
  <si>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</si>
  <si>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</si>
  <si>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</si>
  <si>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</si>
  <si>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</si>
  <si>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</si>
  <si>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</si>
  <si>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</si>
  <si>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</si>
  <si>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</si>
  <si>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</si>
  <si>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</si>
  <si>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</si>
  <si>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</si>
  <si>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</si>
  <si>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</si>
  <si>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</si>
  <si>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</si>
  <si>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</si>
  <si>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</si>
  <si>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</si>
  <si>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</si>
  <si>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</si>
  <si>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</si>
  <si>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</si>
  <si>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</si>
  <si>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</si>
  <si>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</si>
  <si>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</si>
  <si>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</si>
  <si>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</si>
  <si>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</si>
  <si>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</si>
  <si>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</si>
  <si>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</si>
  <si>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</si>
  <si>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</si>
  <si>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</si>
  <si>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</si>
  <si>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</si>
  <si>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</si>
  <si>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</si>
  <si>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</si>
  <si>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</si>
  <si>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</si>
  <si>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</si>
  <si>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</si>
  <si>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</si>
  <si>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</si>
  <si>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</si>
  <si>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</si>
  <si>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</si>
  <si>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</si>
  <si>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</si>
  <si>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</si>
  <si>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</si>
  <si>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</si>
  <si>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</si>
  <si>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</si>
  <si>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</si>
  <si>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</si>
  <si>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</si>
  <si>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</si>
  <si>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</si>
  <si>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</si>
  <si>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</si>
  <si>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</si>
  <si>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</si>
  <si>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</si>
  <si>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</si>
  <si>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</si>
  <si>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</si>
  <si>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</si>
  <si>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</si>
  <si>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</si>
  <si>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</si>
  <si>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</si>
  <si>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</si>
  <si>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</si>
  <si>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</si>
  <si>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</si>
  <si>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</si>
  <si>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</si>
  <si>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</si>
  <si>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</si>
  <si>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</si>
  <si>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</si>
  <si>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</si>
  <si>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</si>
  <si>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</si>
  <si>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</si>
  <si>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</si>
  <si>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</si>
  <si>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</si>
  <si>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</si>
  <si>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</si>
  <si>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</si>
  <si>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</si>
  <si>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</si>
  <si>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</si>
  <si>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</si>
  <si>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</si>
  <si>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</si>
  <si>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</si>
  <si>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</si>
  <si>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</si>
  <si>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</si>
  <si>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</si>
  <si>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</si>
  <si>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</si>
  <si>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</si>
  <si>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</si>
  <si>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</si>
  <si>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</si>
  <si>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</si>
  <si>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</si>
  <si>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</si>
  <si>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</si>
  <si>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</si>
  <si>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</si>
  <si>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</si>
  <si>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</si>
  <si>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</si>
  <si>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</si>
  <si>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</si>
  <si>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</si>
  <si>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</si>
  <si>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</si>
  <si>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</si>
  <si>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</si>
  <si>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</si>
  <si>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</si>
  <si>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</si>
  <si>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</si>
  <si>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</si>
  <si>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</si>
  <si>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</si>
  <si>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</si>
  <si>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</si>
  <si>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</si>
  <si>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</si>
  <si>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</si>
  <si>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</si>
  <si>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</si>
  <si>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</si>
  <si>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</si>
  <si>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</si>
  <si>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</si>
  <si>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</si>
  <si>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</si>
  <si>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</si>
  <si>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</si>
  <si>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</si>
  <si>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</si>
  <si>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</si>
  <si>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</si>
  <si>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</si>
  <si>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</si>
  <si>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</si>
  <si>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</si>
  <si>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</si>
  <si>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</si>
  <si>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</si>
  <si>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</si>
  <si>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</si>
  <si>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</si>
  <si>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</si>
  <si>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</si>
  <si>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</si>
  <si>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</si>
  <si>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</si>
  <si>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</si>
  <si>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</si>
  <si>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</si>
  <si>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</si>
  <si>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</si>
  <si>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</si>
  <si>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</si>
  <si>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</si>
  <si>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</si>
  <si>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</si>
  <si>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</si>
  <si>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</si>
  <si>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</si>
  <si>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</si>
  <si>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</si>
  <si>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</si>
  <si>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</si>
  <si>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</si>
  <si>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</si>
  <si>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</si>
  <si>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</si>
  <si>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</si>
  <si>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</si>
  <si>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</si>
  <si>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</si>
  <si>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</si>
  <si>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</si>
  <si>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</si>
  <si>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</si>
  <si>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</si>
  <si>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</si>
  <si>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</si>
  <si>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</si>
  <si>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</si>
  <si>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</si>
  <si>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</si>
  <si>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</si>
  <si>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</si>
  <si>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</si>
  <si>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</si>
  <si>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</si>
  <si>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</si>
  <si>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</si>
  <si>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</si>
  <si>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</si>
  <si>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</si>
  <si>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</si>
  <si>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</si>
  <si>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</si>
  <si>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</si>
  <si>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</si>
  <si>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</si>
  <si>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</si>
  <si>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</si>
  <si>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</si>
  <si>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</si>
  <si>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</si>
  <si>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</si>
  <si>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</si>
  <si>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</si>
  <si>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</si>
  <si>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</si>
  <si>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</si>
  <si>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</si>
  <si>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</si>
  <si>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</si>
  <si>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</si>
  <si>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</si>
  <si>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</si>
  <si>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</si>
  <si>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</si>
  <si>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</si>
  <si>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</si>
  <si>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</si>
  <si>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</si>
  <si>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</si>
  <si>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</si>
  <si>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</si>
  <si>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</si>
  <si>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</si>
  <si>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</si>
  <si>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</si>
  <si>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</si>
  <si>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</si>
  <si>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</si>
  <si>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</si>
  <si>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</si>
  <si>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</si>
  <si>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</si>
  <si>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</si>
  <si>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</si>
  <si>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</si>
  <si>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</si>
  <si>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</si>
  <si>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</si>
  <si>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</si>
  <si>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</si>
  <si>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</si>
  <si>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</si>
  <si>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</si>
  <si>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</si>
  <si>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</si>
  <si>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</si>
  <si>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</si>
  <si>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</si>
  <si>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</si>
  <si>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</si>
  <si>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</si>
  <si>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</si>
  <si>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</si>
  <si>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</si>
  <si>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</si>
  <si>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</si>
  <si>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</si>
  <si>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</si>
  <si>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</si>
  <si>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</si>
  <si>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</si>
  <si>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</si>
  <si>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</si>
  <si>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</si>
  <si>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</si>
  <si>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</si>
  <si>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</si>
  <si>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</si>
  <si>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</si>
  <si>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</si>
  <si>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</si>
  <si>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</si>
  <si>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</si>
  <si>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</si>
  <si>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</si>
  <si>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</si>
  <si>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</si>
  <si>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</si>
  <si>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</si>
  <si>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</si>
  <si>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</si>
  <si>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</si>
  <si>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</si>
  <si>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</si>
  <si>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</si>
  <si>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</si>
  <si>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</si>
  <si>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</si>
  <si>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</si>
  <si>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</si>
  <si>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</si>
  <si>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</si>
  <si>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</si>
  <si>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</si>
  <si>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</si>
  <si>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</si>
  <si>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</si>
  <si>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</si>
  <si>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</si>
  <si>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</si>
  <si>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</si>
  <si>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</si>
  <si>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</si>
  <si>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</si>
  <si>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</si>
  <si>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</si>
  <si>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</si>
  <si>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</si>
  <si>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</si>
  <si>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</si>
  <si>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</si>
  <si>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</si>
  <si>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</si>
  <si>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</si>
  <si>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</si>
  <si>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</si>
  <si>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</si>
  <si>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</si>
  <si>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</si>
  <si>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</si>
  <si>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</si>
  <si>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</si>
  <si>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</si>
  <si>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</si>
  <si>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</si>
  <si>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</si>
  <si>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</si>
  <si>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</si>
  <si>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</si>
  <si>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</si>
  <si>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</si>
  <si>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</si>
  <si>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</si>
  <si>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</si>
  <si>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</si>
  <si>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</si>
  <si>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</si>
  <si>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</si>
  <si>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</si>
  <si>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</si>
  <si>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</si>
  <si>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</si>
  <si>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</si>
  <si>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</si>
  <si>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</si>
  <si>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</si>
  <si>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</si>
  <si>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</si>
  <si>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</si>
  <si>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</si>
  <si>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</si>
  <si>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</si>
  <si>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</si>
  <si>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</si>
  <si>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</si>
  <si>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</si>
  <si>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</si>
  <si>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</si>
  <si>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</si>
  <si>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</si>
  <si>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</si>
  <si>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</si>
  <si>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</si>
  <si>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</si>
  <si>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</si>
  <si>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</si>
  <si>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</si>
  <si>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</si>
  <si>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</si>
  <si>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</si>
  <si>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</si>
  <si>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</si>
  <si>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</si>
  <si>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</si>
  <si>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</si>
  <si>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</si>
  <si>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</si>
  <si>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</si>
  <si>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</si>
  <si>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</si>
  <si>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</si>
  <si>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</si>
  <si>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</si>
  <si>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</si>
  <si>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</si>
  <si>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</si>
  <si>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</si>
  <si>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</si>
  <si>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</si>
  <si>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</si>
  <si>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</si>
  <si>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</si>
  <si>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</si>
  <si>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</si>
  <si>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</si>
  <si>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</si>
  <si>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</si>
  <si>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</si>
  <si>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</si>
  <si>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</si>
  <si>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</si>
  <si>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</si>
  <si>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</si>
  <si>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</si>
  <si>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</si>
  <si>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</si>
  <si>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</si>
  <si>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</si>
  <si>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</si>
  <si>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</si>
  <si>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</si>
  <si>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</si>
  <si>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</si>
  <si>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</si>
  <si>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</si>
  <si>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</si>
  <si>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</si>
  <si>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</si>
  <si>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</si>
  <si>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</si>
  <si>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</si>
  <si>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</si>
  <si>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</si>
  <si>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</si>
  <si>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</si>
  <si>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</si>
  <si>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</si>
  <si>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</si>
  <si>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</si>
  <si>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</si>
  <si>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</si>
  <si>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</si>
  <si>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</si>
  <si>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</si>
  <si>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</si>
  <si>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</si>
  <si>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</si>
  <si>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</si>
  <si>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</si>
  <si>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</si>
  <si>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</si>
  <si>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</si>
  <si>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</si>
  <si>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</si>
  <si>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</si>
  <si>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</si>
  <si>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</si>
  <si>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</si>
  <si>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</si>
  <si>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</si>
  <si>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</si>
  <si>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</si>
  <si>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</si>
  <si>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</si>
  <si>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</si>
  <si>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</si>
  <si>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</si>
  <si>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</si>
  <si>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</si>
  <si>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</si>
  <si>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</si>
  <si>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</si>
  <si>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</si>
  <si>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</si>
  <si>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</si>
  <si>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</si>
  <si>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</si>
  <si>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</si>
  <si>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</si>
  <si>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</si>
  <si>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</si>
  <si>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</si>
  <si>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</si>
  <si>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</si>
  <si>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</si>
  <si>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</si>
  <si>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</si>
  <si>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</si>
  <si>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</si>
  <si>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</si>
  <si>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</si>
  <si>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</si>
  <si>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</si>
  <si>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</si>
  <si>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</si>
  <si>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</si>
  <si>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</si>
  <si>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</si>
  <si>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</si>
  <si>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</si>
  <si>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</si>
  <si>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</si>
  <si>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</si>
  <si>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</si>
  <si>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</si>
  <si>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</si>
  <si>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</si>
  <si>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</si>
  <si>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</si>
  <si>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</si>
  <si>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</si>
  <si>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</si>
  <si>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</si>
  <si>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</si>
  <si>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</si>
  <si>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</si>
  <si>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</si>
  <si>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</si>
  <si>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</si>
  <si>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</si>
  <si>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</si>
  <si>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</si>
  <si>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</si>
  <si>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</si>
  <si>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</si>
  <si>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</si>
  <si>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</si>
  <si>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</si>
  <si>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</si>
  <si>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</si>
  <si>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</si>
  <si>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</si>
  <si>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</si>
  <si>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</si>
  <si>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</si>
  <si>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</si>
  <si>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</si>
  <si>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</si>
  <si>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</si>
  <si>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</si>
  <si>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</si>
  <si>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</si>
  <si>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</si>
  <si>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</si>
  <si>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</si>
  <si>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</si>
  <si>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</si>
  <si>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</si>
  <si>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</si>
  <si>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</si>
  <si>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</si>
  <si>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</si>
  <si>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</si>
  <si>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</si>
  <si>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</si>
  <si>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</si>
  <si>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</si>
  <si>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</si>
  <si>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</si>
  <si>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</si>
  <si>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</si>
  <si>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</si>
  <si>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</si>
  <si>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</si>
  <si>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</si>
  <si>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</si>
  <si>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</si>
  <si>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</si>
  <si>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</si>
  <si>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</si>
  <si>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</si>
  <si>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</si>
  <si>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</si>
  <si>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</si>
  <si>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</si>
  <si>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</si>
  <si>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</si>
  <si>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</si>
  <si>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</si>
  <si>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</si>
  <si>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</si>
  <si>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</si>
  <si>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</si>
  <si>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</si>
  <si>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</si>
  <si>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</si>
  <si>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</si>
  <si>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</si>
  <si>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</si>
  <si>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</si>
  <si>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</si>
  <si>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</si>
  <si>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</si>
  <si>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</si>
  <si>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</si>
  <si>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</si>
  <si>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</si>
  <si>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</si>
  <si>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</si>
  <si>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</si>
  <si>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</si>
  <si>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</si>
  <si>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</si>
  <si>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</si>
  <si>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</si>
  <si>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</si>
  <si>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</si>
  <si>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</si>
  <si>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</si>
  <si>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</si>
  <si>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</si>
  <si>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</si>
  <si>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</si>
  <si>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</si>
  <si>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</si>
  <si>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</si>
  <si>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</si>
  <si>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</si>
  <si>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</si>
  <si>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</si>
  <si>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</si>
  <si>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</si>
  <si>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</si>
  <si>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</si>
  <si>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</si>
  <si>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</si>
  <si>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</si>
  <si>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</si>
  <si>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</si>
  <si>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</si>
  <si>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</si>
  <si>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</si>
  <si>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</si>
  <si>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</si>
  <si>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</si>
  <si>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</si>
  <si>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</si>
  <si>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</si>
  <si>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</si>
  <si>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</si>
  <si>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</si>
  <si>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</si>
  <si>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</si>
  <si>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</si>
  <si>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</si>
  <si>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</si>
  <si>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</si>
  <si>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</si>
  <si>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</si>
  <si>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</si>
  <si>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</si>
  <si>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</si>
  <si>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</si>
  <si>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</si>
  <si>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</si>
  <si>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</si>
  <si>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</si>
  <si>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</si>
  <si>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</si>
  <si>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</si>
  <si>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</si>
  <si>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</si>
  <si>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</si>
  <si>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</si>
  <si>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</si>
  <si>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</si>
  <si>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</si>
  <si>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</si>
  <si>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</si>
  <si>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</si>
  <si>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</si>
  <si>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</si>
  <si>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</si>
  <si>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</si>
  <si>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</si>
  <si>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</si>
  <si>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</si>
  <si>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</si>
  <si>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</si>
  <si>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</si>
  <si>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</si>
  <si>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</si>
  <si>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</si>
  <si>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</si>
  <si>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</si>
  <si>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</si>
  <si>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</si>
  <si>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</si>
  <si>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</si>
  <si>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</si>
  <si>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</si>
  <si>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</si>
  <si>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</si>
  <si>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</si>
  <si>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</si>
  <si>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</si>
  <si>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</si>
  <si>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</si>
  <si>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</si>
  <si>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</si>
  <si>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</si>
  <si>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</si>
  <si>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</si>
  <si>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</si>
  <si>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</si>
  <si>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</si>
  <si>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</si>
  <si>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</si>
  <si>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</si>
  <si>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</si>
  <si>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</si>
  <si>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</si>
  <si>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</si>
  <si>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</si>
  <si>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</si>
  <si>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</si>
  <si>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</si>
  <si>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</si>
  <si>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</si>
  <si>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</si>
  <si>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</si>
  <si>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</si>
  <si>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</si>
  <si>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</si>
  <si>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</si>
  <si>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</si>
  <si>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</si>
  <si>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</si>
  <si>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</si>
  <si>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</si>
  <si>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</si>
  <si>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</si>
  <si>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</si>
  <si>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</si>
  <si>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</si>
  <si>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SEE SEFA19 TAB</t>
  </si>
  <si>
    <t>Gorenz and Associates, Ltd.</t>
  </si>
  <si>
    <t>48-072-3230-26</t>
  </si>
  <si>
    <t>3020 Willow Knolls</t>
  </si>
  <si>
    <t>Peoria, IL</t>
  </si>
  <si>
    <t>sdearman@dunlapcusd.net</t>
  </si>
  <si>
    <t>Russel J. Rumbold II, CPA</t>
  </si>
  <si>
    <t>rrumbold@gorenzcpa.com</t>
  </si>
  <si>
    <t>Dr. Scott Dearman</t>
  </si>
  <si>
    <t>309-691-3955</t>
  </si>
  <si>
    <t>309-691-6764</t>
  </si>
  <si>
    <t>General Obligation Refunding Bond, Series 2009</t>
  </si>
  <si>
    <t>General Obligation School Bond, Series 2010</t>
  </si>
  <si>
    <t>General Obligation Refunding Bond, Series 2012A</t>
  </si>
  <si>
    <t>General Obligation School Bond, Series 2013A</t>
  </si>
  <si>
    <t>General Obligation School Bond, Series 2013B</t>
  </si>
  <si>
    <t>General Obligation School Bond, Series 2014A</t>
  </si>
  <si>
    <t>General Obligation School Bond, Series 2014B</t>
  </si>
  <si>
    <t>General Obligation School Bond, Series 2017</t>
  </si>
  <si>
    <t>Alternate Revenue Bond, Series 2018</t>
  </si>
  <si>
    <t>Capital Lease</t>
  </si>
  <si>
    <t>Alternative Revenue Bonds</t>
  </si>
  <si>
    <t>Central Illinois Educators Co-op (Health, Dental, Vision, Life, Vol Life)</t>
  </si>
  <si>
    <t>Miller, Hall &amp; Triggs</t>
  </si>
  <si>
    <t>Special Education Association of Peoria County</t>
  </si>
  <si>
    <t>Peoria County Bright Futures / Right At School</t>
  </si>
  <si>
    <t>Equifax / TALX (Unemployment)</t>
  </si>
  <si>
    <t>40-2550-300</t>
  </si>
  <si>
    <t>Maxim Staffing Solutions</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</si>
  <si>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</si>
  <si>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</si>
  <si>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</si>
  <si>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</si>
  <si>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</si>
  <si>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</si>
  <si>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</si>
  <si>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</si>
  <si>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</si>
  <si>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 xml:space="preserve">    number of 2019-001, 2019-002, etc.  The sheet is formatted so that only the number need be entered (1, 2, etc.).</t>
  </si>
  <si>
    <t xml:space="preserve">    sequence of findings.  For example, findings identified and reported in the audit of fiscal year 2019 would be assigned a reference </t>
  </si>
  <si>
    <t>NONE</t>
  </si>
  <si>
    <t>Dunlap Community Unit School District No. 323</t>
  </si>
  <si>
    <t>Schedule of Expenditures of Federal Awards</t>
  </si>
  <si>
    <t xml:space="preserve">                 For the Year Ended June 30, 2019                 </t>
  </si>
  <si>
    <t>ISBE</t>
  </si>
  <si>
    <t>Expenditures/Disbursements</t>
  </si>
  <si>
    <t>Project</t>
  </si>
  <si>
    <t xml:space="preserve">Prior to </t>
  </si>
  <si>
    <t>7/01/18</t>
  </si>
  <si>
    <t>Prior to</t>
  </si>
  <si>
    <t>Final</t>
  </si>
  <si>
    <t>Federal Grantor/Pass-Through Grantor,</t>
  </si>
  <si>
    <t>Number</t>
  </si>
  <si>
    <t>Encumbrances</t>
  </si>
  <si>
    <t>Program Title &amp; Major Program Designation</t>
  </si>
  <si>
    <t xml:space="preserve">U.S. Department of Agriculture - </t>
  </si>
  <si>
    <t>Pass-through program from</t>
  </si>
  <si>
    <t>Illinois State Board of Education</t>
  </si>
  <si>
    <t xml:space="preserve">(M) NationalSchool Lunch  Program </t>
  </si>
  <si>
    <t>18-4210-00</t>
  </si>
  <si>
    <t>N/A</t>
  </si>
  <si>
    <t>(M) National School Lunch Program</t>
  </si>
  <si>
    <t>19-4210-00</t>
  </si>
  <si>
    <t>(3)</t>
  </si>
  <si>
    <t>08-4220-00</t>
  </si>
  <si>
    <t>09-4220-00</t>
  </si>
  <si>
    <t>Child Nutrition Commodity/Salvage</t>
  </si>
  <si>
    <t>08-4250-00</t>
  </si>
  <si>
    <t>Department of Defense</t>
  </si>
  <si>
    <t>Fruits and Vegetables</t>
  </si>
  <si>
    <t>FY 2018</t>
  </si>
  <si>
    <t>(M) Fruits and Vegetables</t>
  </si>
  <si>
    <t>FY 2019</t>
  </si>
  <si>
    <t>Food Donation</t>
  </si>
  <si>
    <t>(M) Food Donation</t>
  </si>
  <si>
    <t>Total U.S. Department of Agriculture - Pass-through program</t>
  </si>
  <si>
    <t xml:space="preserve">U.S. Department of Education - </t>
  </si>
  <si>
    <t>Title V - Innovative Programs - Formula</t>
  </si>
  <si>
    <t>09-4100-00</t>
  </si>
  <si>
    <t>84.010</t>
  </si>
  <si>
    <t>18-4300-00</t>
  </si>
  <si>
    <t>19-4300-00</t>
  </si>
  <si>
    <t>Title I - School Improvement and Accountability</t>
  </si>
  <si>
    <t>19-4331-19</t>
  </si>
  <si>
    <t>IDEA - Room &amp; Board - Excess Costs</t>
  </si>
  <si>
    <t>18-4625-XC</t>
  </si>
  <si>
    <t>19-4625-XC</t>
  </si>
  <si>
    <t>IDEA - Room &amp; Board</t>
  </si>
  <si>
    <t>19-4625-00</t>
  </si>
  <si>
    <t>(M) IDEA - Room &amp; Board</t>
  </si>
  <si>
    <t>18-4625-00</t>
  </si>
  <si>
    <t>18-4905-00</t>
  </si>
  <si>
    <t>19-4905-00</t>
  </si>
  <si>
    <t>Title III - Lang Inst Prog - Limited Eng LIPLEP</t>
  </si>
  <si>
    <t>84.365A</t>
  </si>
  <si>
    <t>18-4909-00</t>
  </si>
  <si>
    <t>19-4909-00</t>
  </si>
  <si>
    <t>18-4932-00</t>
  </si>
  <si>
    <t>19-4932-00</t>
  </si>
  <si>
    <t>IDEA - Part B - Pre-School</t>
  </si>
  <si>
    <t>84.173A</t>
  </si>
  <si>
    <t>19-4600-00</t>
  </si>
  <si>
    <t>IDEA - Flow-Through</t>
  </si>
  <si>
    <t>18-4620-00</t>
  </si>
  <si>
    <t>19-4620-00</t>
  </si>
  <si>
    <t>Total U.S. Department of Education - Pass-through programs</t>
  </si>
  <si>
    <t>Federal Emergency Management Agency</t>
  </si>
  <si>
    <t>Illinois Emergency Management Agency</t>
  </si>
  <si>
    <t>Federal Disaster funds - Snow removal</t>
  </si>
  <si>
    <t>07-4999-00</t>
  </si>
  <si>
    <t>Total Federal Emergeny Management Agency - Pass-through programs</t>
  </si>
  <si>
    <t xml:space="preserve">U.S. Department of Health and Human Services - </t>
  </si>
  <si>
    <t>Illinois Department of Healthcare and Family Services</t>
  </si>
  <si>
    <t>Medicaid Administrative Outreach</t>
  </si>
  <si>
    <t>18-4991-00</t>
  </si>
  <si>
    <t>19-4991-00</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</si>
  <si>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</si>
  <si>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</si>
  <si>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</si>
  <si>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</si>
  <si>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</si>
  <si>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</si>
  <si>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</si>
  <si>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2019</t>
  </si>
  <si>
    <r>
      <t xml:space="preserve">1 </t>
    </r>
    <r>
      <rPr>
        <sz val="11"/>
        <rFont val="Arial"/>
        <family val="2"/>
      </rPr>
      <t xml:space="preserve"> To meet state or other requirements, auditees may decide to include certain nonfederal awards (for example, state awards) in this schedule.  If such nonfederal data are presented,</t>
    </r>
  </si>
  <si>
    <t>they should be segregated and clearly designated as nonfederal.  The title of the schedule should also be modified to indicate that nonfederal awards are included.</t>
  </si>
  <si>
    <r>
      <t>2</t>
    </r>
    <r>
      <rPr>
        <sz val="11"/>
        <rFont val="Arial"/>
        <family val="2"/>
      </rPr>
      <t xml:space="preserve">  When the CFDA number is not available, the auditee should indicate that the CFDA number is not available and include in the schedule the program's name and, if applicable, </t>
    </r>
  </si>
  <si>
    <t>other identifying number.</t>
  </si>
  <si>
    <r>
      <t>3</t>
    </r>
    <r>
      <rPr>
        <sz val="11"/>
        <rFont val="Arial"/>
        <family val="2"/>
      </rPr>
      <t xml:space="preserve">  When awards are received as a subrecipient, the identifying number assigned by the pass-through entity should be included in the schedule.</t>
    </r>
  </si>
  <si>
    <r>
      <t xml:space="preserve">4  </t>
    </r>
    <r>
      <rPr>
        <sz val="11"/>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</si>
  <si>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</si>
  <si>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</si>
  <si>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</si>
  <si>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Unmodified</t>
  </si>
  <si>
    <t>Child Nutrition Cluster</t>
  </si>
  <si>
    <r>
      <t xml:space="preserve">The accompanying Schedule of Expenditures of Federal Awards includes the federal grant activity of </t>
    </r>
    <r>
      <rPr>
        <b/>
        <sz val="9"/>
        <rFont val="Calibri"/>
        <family val="2"/>
        <scheme val="minor"/>
      </rPr>
      <t>Dunlap Community Unit School District No. 323</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</si>
  <si>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Dunlap CUSD No. 323</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</si>
  <si>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Dunlap CUSD No. 323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</si>
  <si>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There were no findings for the fiscal year ended June 30, 2018.</t>
  </si>
  <si>
    <t>Child Nutrition Cluster - 2019</t>
  </si>
  <si>
    <t>U.S. Department of Agriculture</t>
  </si>
  <si>
    <t>None.</t>
  </si>
  <si>
    <t>The District did not calculate the net cash resources of the nonprofit school food service.</t>
  </si>
  <si>
    <t>Noncompliance with the federal award program's resource (cash) management requirements could occur and not be detected and corrected timely.</t>
  </si>
  <si>
    <t>Management had not developed a system of internal controls to ensure compliance with the Cash Management compliance requirement.</t>
  </si>
  <si>
    <t>There is no disagreement with this finding and internal controls will be developed to monitor the net cash resources of the nonprofit school food services.</t>
  </si>
  <si>
    <t>The Code of Federal Regulations (CFR) Title 7, part 210.14(b) states that the school food authority shall limit its net cash resources to an amount that does not exceed 3 months average expenditures for its nonprofit school food service.</t>
  </si>
  <si>
    <t>The District has not monitored the net cash resources of the child nutrition program. Upon further review, it was determined that the net cash resources of the nonprofit school food service did not exceed 3 months average expenditures.</t>
  </si>
  <si>
    <t>We recommend that management establish internal controls related to the cash management compliance requirement to ensure that the net cash resources of the nonprofit school food service does not exceed 3 months average expenditures.</t>
  </si>
  <si>
    <t>x</t>
  </si>
  <si>
    <t>General Obligation Refunding Bond, Series 2019</t>
  </si>
  <si>
    <t>Value of Commodities</t>
  </si>
  <si>
    <t>Build America Bond Credits</t>
  </si>
  <si>
    <t>Page 10 - Line 74 - Refunds, rebates, and vending income</t>
  </si>
  <si>
    <t>Page 10 - Line 78 - DHS Pool Fees</t>
  </si>
  <si>
    <t>Page 10 - Line 81 - Parking fees, gym suits &amp; locks, activity fees, yearbook fees, and graduation fees</t>
  </si>
  <si>
    <t>Page 12 - Line 168 - State Library Grants</t>
  </si>
  <si>
    <t>Page 15 - Line 41 - Parking tags, PE uniforms, instruments, and Pepsi resale</t>
  </si>
  <si>
    <t>Page 16 - Line 73 - Technology expenditures</t>
  </si>
  <si>
    <t>Page 18 - Line 171 - Bonds fees</t>
  </si>
  <si>
    <t>Page 18 - Line 183 - Title I Summer School  Transportation</t>
  </si>
  <si>
    <t>Page 20 - Line 278 - Technology FICA and Medicare</t>
  </si>
  <si>
    <t>Page 24 - Line 41 - Capital Lease Purchase Payment</t>
  </si>
  <si>
    <t>Page 25, Line 22 - Bond Service Fees</t>
  </si>
  <si>
    <t>Trans-Pupil Transportation-Purchased Services</t>
  </si>
  <si>
    <t>Page 24 - Line 31 - Issuance of bonds used to refund the General Obligation Refunding Bond, Series 2009</t>
  </si>
  <si>
    <t>Page 24 - Line 32 - Amount refunded from the issurance of the General Obligation Refunding Bond, Series 2019</t>
  </si>
  <si>
    <t>Operations &amp; Maintenance Fund - Reimbursements &amp; rebates</t>
  </si>
  <si>
    <t xml:space="preserve">Page 11 - Line 107 - </t>
  </si>
  <si>
    <t>Educational Fund - Jury Duty and Misc. Refunds and Reimbursements</t>
  </si>
  <si>
    <t>Debt Services Fund - Bond Refunds</t>
  </si>
  <si>
    <t>Transportation Fund - Insurance payment for Bus Damages</t>
  </si>
  <si>
    <t>Municipal Retirement/Social Security Fund - FICA, IMRF, and Medicare Reimbursements</t>
  </si>
  <si>
    <t>Tort Fund - Misc. Dividends</t>
  </si>
  <si>
    <t>Reconciling bank statements to the accounting records on a timely basis is an important component of internal control.</t>
  </si>
  <si>
    <t>Internal controls are designed to allow management or employees, in the normal course of performing their assigned functions, to prevent or detect misstatements and safeguard assets.  A concept in a good system of internal control is adequate segregation of duties.</t>
  </si>
  <si>
    <t>The District will take the auditors' recommendations under consideration.</t>
  </si>
  <si>
    <t xml:space="preserve">105ILCS 5/8-2 Bond of Treasurer requires the school treasurer to post two types of bonds.  The first is a surety bond that every school treasurer must post "before entering upon his duties".  The bond must provide a penalty of 2 percent of "all bonds, notes, mortgages, moneys and effects of which the treasurer has custody at any time".  The bond must be approved by the governing school board and filed with the regional superintendent of schools.  The second bond is required before the treasurer can accept possession of the proceeds of a bond issue and will normally be required before bond counsel will give approval to issuance of bonds.  This bond must be equal to 25% of the amount of bond issue and must be approved by the governing school board.    </t>
  </si>
  <si>
    <t>The treasurer's bond did not cover 25% of the highest available cash and investment balance.</t>
  </si>
  <si>
    <t>The district treasurer did not have adequate treasurer's bond coverage.</t>
  </si>
  <si>
    <t>The highest amount of cash and investments under the treasurer's control was greater than anticipated.</t>
  </si>
  <si>
    <t>The treasurer's bond should be increased to an amount which will cover 25% of the anticipated highest amount of cash and investments under the treasurer's control during the year.  The District should also consider increasing the amount of coverage to 30% to 40% to ensure meeting the minimum coverage.</t>
  </si>
  <si>
    <t>The Board should take steps it considers necessary to limit the risks that a lack of segregation of duties presents.</t>
  </si>
  <si>
    <t>Some duties that would ideally be performed by separate individuals are not segregated.</t>
  </si>
  <si>
    <t>A limited number of employees in business services and the assignment of duties among these positions result in a lack of segregation of duties.</t>
  </si>
  <si>
    <t>Three individuals have the primary responsibility for performing most of the accounting and financial duties including key functions of recording, reconciling, and reporting transactions.    The accounts payable and payroll personnel process payroll and payables in the accounting system.  These positions also process electronic payments from financial institutions for direct deposit of payroll, related payroll taxes and other benefits as well as a limited amount of vendor payables.                                                                                                                                                                                                                                                                                                                                                                       The Assistant Superintendent is also the District Treasurer; these positions have access to both the treasury functions as well as the accounting systems.</t>
  </si>
  <si>
    <t>Mr. Damon Hackett, Assistant Superintendent</t>
  </si>
  <si>
    <t>Certain positions and assignments of tasks result in lack of segregation of duties.</t>
  </si>
  <si>
    <t>Task and duties are segregated as much as practical.  An annual review will be performed.</t>
  </si>
  <si>
    <t>Assignments of tasks and positions will be reviewed on an annual basis and any identified, cost effective changes will be implemented.</t>
  </si>
  <si>
    <t>The treasurer's bond coverage will be adjusted as needed.</t>
  </si>
  <si>
    <t>Internal controls will be established and implemented related to the child nutrition program cash management compliance requirement.</t>
  </si>
  <si>
    <t>The "control pay" system will be reviewed and any necessary changes will be implemented.</t>
  </si>
  <si>
    <t xml:space="preserve">The monthly "control pay" disbursement of payables posts as one entry to cash in the accounting records and the bank reconciliation module.  This does not allow for the district staff to clear individual transactions.  </t>
  </si>
  <si>
    <t>The plan will be implemented.</t>
  </si>
  <si>
    <t xml:space="preserve">The District will review the bank reconciliation procedures as well as the "control pay" system and make improvements. </t>
  </si>
  <si>
    <t>"Control Pay" is used to pay vendor payables electronically by which the amount of disbursements to vendors is uploaded to the financial institution and the vendor then logs in and completes the transfer to the vendor's bank account.  No disbursements to vendors are completed until the vendor finalizes the transfer of funds.  The District's vendor payables that were processed with "control pay" then post to the cash reconciliation module as one entry each month which does not allow for clearing each individual vendor disbursement when they clear the bank statement.  To account for this, journal entries were posted to adjust the accounting records to equal the amount that cleared the bank each month.  If all "control pay" disbursements cleared the bank in the same month they were processed no journal entry would be needed.  Typically, the "control pay" disbursements are processed after a board meeting which a limited amount, if any, vendors would have completed the transfer of funds by the end of the month.  Posting an entry to match the amount clearing the bank then resulted in overstating cash and understating expenditures by the amount of uncleared "control pay" transactions.</t>
  </si>
  <si>
    <t>The net amount of adjustments recorded by the district during the year to "EFT holding account for bank rec" expense account was negative (revenue) of $125,167.   An audit journal entry was recorded in the amount of $160,309 to account for June vendor "control pay" disbursements and to correct the "control pay" entries.</t>
  </si>
  <si>
    <t>As a result of the month end "control pay" journal entries, cash as recorded on the District's accounting records as of June 30, 2019 was overstated by $160,309 and expenses were understated by $160,309.</t>
  </si>
  <si>
    <t>The District should suspend the use of "control pay" method of paying vendors until a system can be implemented to clear transactions monthly without the need for posting adjustments.    Ideally this would identify the vendors in the accounting software's bank reconciliation module.  This may be accomplished by discussing options with the accounting software vendor and/or the financial institution.  Another option might be to open a "control pay" clearing account which the exact amount of the "control pay" would be transferred to the clearing account.  This would allow for the single "control pay" transaction to be accounted for in the bank reconciliation module.  The clearing account would still need to be monitored and reconciled.  It may be more cost effective for the district to eliminate "control pay" and make all disbursements with checks.</t>
  </si>
  <si>
    <t>The highest amount of cash and investments under the treasurer's control was $73,982,243.  The minimum treasure's bond coverage was $18,495,561 (73,982,243 * 25%).  The actual treasurer's bond coverage was $17,500,000.</t>
  </si>
  <si>
    <t>Finding 2019-001, 2019-002, 2019-003 and Fed Findings 2019-004.</t>
  </si>
  <si>
    <t>18 &amp; 19-4210-00</t>
  </si>
  <si>
    <t xml:space="preserve">Unmodified Special Purpose Framework </t>
  </si>
  <si>
    <t>see PDF version</t>
  </si>
  <si>
    <t>Dunlap CUSD 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</si>
</sst>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
    <numFmt numFmtId="182" formatCode="_(* #,##0_);_(* \(#,##0\);_(* &quot; &quot;_);_(@_)"/>
    <numFmt numFmtId="183" formatCode="#,##0.0_);\(#,##0.0\)"/>
    <numFmt numFmtId="184" formatCode="#,##0.000_);\(#,##0.000\)"/>
  </numFmts>
  <fonts count="1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
      <sz val="10"/>
      <name val="Courier"/>
      <family val="3"/>
    </font>
    <font>
      <b/>
      <sz val="12"/>
      <name val="Times New Roman"/>
      <family val="1"/>
    </font>
    <font>
      <sz val="11"/>
      <name val="Times New Roman"/>
      <family val="1"/>
    </font>
    <font>
      <sz val="10"/>
      <name val="Courier"/>
    </font>
    <font>
      <b/>
      <u/>
      <sz val="11"/>
      <name val="Times New Roman"/>
      <family val="1"/>
    </font>
    <font>
      <sz val="11"/>
      <name val="Courier"/>
      <family val="3"/>
    </font>
    <font>
      <u val="singleAccounting"/>
      <sz val="11"/>
      <name val="Times New Roman"/>
      <family val="1"/>
    </font>
    <font>
      <u/>
      <sz val="11"/>
      <name val="Times New Roman"/>
      <family val="1"/>
    </font>
    <font>
      <b/>
      <sz val="11"/>
      <name val="Times New Roman"/>
      <family val="1"/>
    </font>
    <font>
      <sz val="11"/>
      <name val="Arial"/>
      <family val="2"/>
    </font>
    <font>
      <u val="doubleAccounting"/>
      <sz val="11"/>
      <name val="Times New Roman"/>
      <family val="1"/>
    </font>
    <font>
      <vertAlign val="superscript"/>
      <sz val="1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42" fillId="0" borderId="0"/>
    <xf numFmtId="37" fontId="145" fillId="0" borderId="0"/>
    <xf numFmtId="43" fontId="45" fillId="0" borderId="0" applyFont="0" applyFill="0" applyBorder="0" applyAlignment="0" applyProtection="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54" fillId="0" borderId="0" xfId="3" applyFont="1" applyAlignment="1">
      <alignment horizontal="center" vertical="center"/>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39"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0" fillId="0" borderId="0" xfId="3" applyFont="1" applyAlignment="1">
      <alignment horizontal="left"/>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1" fillId="0" borderId="0" xfId="3" applyFont="1" applyAlignment="1">
      <alignment horizontal="left"/>
    </xf>
    <xf numFmtId="0" fontId="11" fillId="0" borderId="0" xfId="3" applyFont="1" applyAlignment="1">
      <alignment horizontal="left"/>
    </xf>
    <xf numFmtId="0" fontId="36" fillId="0" borderId="0" xfId="3" applyFont="1"/>
    <xf numFmtId="0" fontId="141" fillId="0" borderId="0" xfId="3" applyFont="1"/>
    <xf numFmtId="14" fontId="10" fillId="0" borderId="0" xfId="3" quotePrefix="1" applyNumberFormat="1" applyAlignment="1" applyProtection="1">
      <alignment horizontal="left" indent="2"/>
      <protection locked="0"/>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4" xfId="3" applyFont="1" applyBorder="1"/>
    <xf numFmtId="0" fontId="57" fillId="0" borderId="144" xfId="3" applyFont="1" applyBorder="1"/>
    <xf numFmtId="0" fontId="57" fillId="0" borderId="144"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4" xfId="3" quotePrefix="1" applyFont="1" applyBorder="1" applyAlignment="1">
      <alignment horizontal="left"/>
    </xf>
    <xf numFmtId="0" fontId="55" fillId="0" borderId="144" xfId="3" applyFont="1" applyBorder="1"/>
    <xf numFmtId="0" fontId="55" fillId="0" borderId="144" xfId="3" applyFont="1" applyBorder="1" applyAlignment="1">
      <alignment horizontal="center"/>
    </xf>
    <xf numFmtId="8" fontId="57" fillId="0" borderId="0" xfId="3" applyNumberFormat="1" applyFont="1" applyAlignment="1">
      <alignment horizontal="left"/>
    </xf>
    <xf numFmtId="0" fontId="64" fillId="0" borderId="144" xfId="3" applyFont="1" applyBorder="1"/>
    <xf numFmtId="0" fontId="64" fillId="0" borderId="144"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37" fontId="145" fillId="0" borderId="0" xfId="20" applyAlignment="1">
      <alignment vertical="center"/>
    </xf>
    <xf numFmtId="37" fontId="45" fillId="0" borderId="0" xfId="20" applyFont="1" applyAlignment="1">
      <alignment vertical="center"/>
    </xf>
    <xf numFmtId="37" fontId="45" fillId="0" borderId="0" xfId="20" applyFont="1" applyAlignment="1">
      <alignment horizontal="centerContinuous" vertical="center"/>
    </xf>
    <xf numFmtId="37" fontId="45" fillId="0" borderId="0" xfId="20" applyFont="1" applyAlignment="1">
      <alignment horizontal="left" vertical="center"/>
    </xf>
    <xf numFmtId="37" fontId="45" fillId="0" borderId="0" xfId="20" applyFont="1" applyAlignment="1">
      <alignment horizontal="center" vertical="center"/>
    </xf>
    <xf numFmtId="37" fontId="144" fillId="0" borderId="0" xfId="20" applyFont="1" applyAlignment="1">
      <alignment horizontal="left" vertical="center"/>
    </xf>
    <xf numFmtId="37" fontId="144" fillId="0" borderId="0" xfId="20" applyFont="1" applyAlignment="1">
      <alignment horizontal="centerContinuous" vertical="center"/>
    </xf>
    <xf numFmtId="37" fontId="144" fillId="0" borderId="0" xfId="20" applyFont="1" applyAlignment="1">
      <alignment vertical="center"/>
    </xf>
    <xf numFmtId="37" fontId="144" fillId="0" borderId="0" xfId="20" applyFont="1" applyAlignment="1">
      <alignment horizontal="center" vertical="center"/>
    </xf>
    <xf numFmtId="37" fontId="147" fillId="0" borderId="0" xfId="20" applyFont="1" applyAlignment="1">
      <alignment vertical="center"/>
    </xf>
    <xf numFmtId="37" fontId="144" fillId="0" borderId="0" xfId="20" quotePrefix="1" applyFont="1" applyAlignment="1">
      <alignment horizontal="center" vertical="center"/>
    </xf>
    <xf numFmtId="14" fontId="144" fillId="0" borderId="0" xfId="20" applyNumberFormat="1" applyFont="1" applyAlignment="1">
      <alignment horizontal="center" vertical="center"/>
    </xf>
    <xf numFmtId="37" fontId="149" fillId="0" borderId="0" xfId="20" quotePrefix="1" applyFont="1" applyAlignment="1">
      <alignment horizontal="left" vertical="center"/>
    </xf>
    <xf numFmtId="37" fontId="148" fillId="0" borderId="0" xfId="20" applyFont="1" applyAlignment="1">
      <alignment horizontal="center" vertical="center"/>
    </xf>
    <xf numFmtId="37" fontId="144" fillId="0" borderId="0" xfId="20" applyFont="1"/>
    <xf numFmtId="37" fontId="149" fillId="0" borderId="0" xfId="20" applyFont="1" applyAlignment="1">
      <alignment horizontal="center"/>
    </xf>
    <xf numFmtId="37" fontId="144" fillId="0" borderId="0" xfId="20" applyFont="1" applyAlignment="1">
      <alignment horizontal="center"/>
    </xf>
    <xf numFmtId="37" fontId="150" fillId="0" borderId="0" xfId="20" applyFont="1" applyAlignment="1">
      <alignment horizontal="left"/>
    </xf>
    <xf numFmtId="37" fontId="150" fillId="0" borderId="0" xfId="20" applyFont="1" applyAlignment="1">
      <alignment horizontal="left" indent="1"/>
    </xf>
    <xf numFmtId="37" fontId="144" fillId="0" borderId="0" xfId="20" applyFont="1" applyAlignment="1">
      <alignment horizontal="right"/>
    </xf>
    <xf numFmtId="37" fontId="144" fillId="0" borderId="0" xfId="20" applyFont="1" applyAlignment="1">
      <alignment horizontal="left" indent="1"/>
    </xf>
    <xf numFmtId="181" fontId="144" fillId="0" borderId="0" xfId="20" applyNumberFormat="1" applyFont="1" applyAlignment="1">
      <alignment horizontal="center"/>
    </xf>
    <xf numFmtId="182" fontId="144" fillId="0" borderId="0" xfId="20" applyNumberFormat="1" applyFont="1"/>
    <xf numFmtId="182" fontId="144" fillId="0" borderId="0" xfId="20" applyNumberFormat="1" applyFont="1" applyAlignment="1">
      <alignment horizontal="right"/>
    </xf>
    <xf numFmtId="37" fontId="144" fillId="0" borderId="0" xfId="20" quotePrefix="1" applyFont="1" applyAlignment="1">
      <alignment horizontal="center"/>
    </xf>
    <xf numFmtId="182" fontId="144" fillId="0" borderId="0" xfId="20" applyNumberFormat="1" applyFont="1" applyAlignment="1">
      <alignment horizontal="center"/>
    </xf>
    <xf numFmtId="41" fontId="144" fillId="0" borderId="0" xfId="20" applyNumberFormat="1" applyFont="1"/>
    <xf numFmtId="37" fontId="144" fillId="0" borderId="0" xfId="20" applyFont="1" applyAlignment="1">
      <alignment horizontal="left"/>
    </xf>
    <xf numFmtId="37" fontId="144" fillId="0" borderId="0" xfId="20" applyFont="1" applyAlignment="1">
      <alignment horizontal="left" indent="2"/>
    </xf>
    <xf numFmtId="182" fontId="144" fillId="0" borderId="0" xfId="20" quotePrefix="1" applyNumberFormat="1" applyFont="1" applyAlignment="1">
      <alignment horizontal="center"/>
    </xf>
    <xf numFmtId="37" fontId="144" fillId="0" borderId="0" xfId="20" applyFont="1" applyAlignment="1">
      <alignment horizontal="left" vertical="center" indent="1"/>
    </xf>
    <xf numFmtId="181" fontId="144" fillId="0" borderId="0" xfId="20" applyNumberFormat="1" applyFont="1" applyAlignment="1">
      <alignment horizontal="center" vertical="center"/>
    </xf>
    <xf numFmtId="182" fontId="144" fillId="0" borderId="0" xfId="20" applyNumberFormat="1" applyFont="1" applyAlignment="1">
      <alignment vertical="center"/>
    </xf>
    <xf numFmtId="182" fontId="144" fillId="0" borderId="0" xfId="20" applyNumberFormat="1" applyFont="1" applyAlignment="1">
      <alignment horizontal="right" vertical="center"/>
    </xf>
    <xf numFmtId="182" fontId="148" fillId="0" borderId="0" xfId="20" applyNumberFormat="1" applyFont="1" applyAlignment="1">
      <alignment vertical="center"/>
    </xf>
    <xf numFmtId="182" fontId="148" fillId="27" borderId="0" xfId="20" applyNumberFormat="1" applyFont="1" applyFill="1" applyAlignment="1">
      <alignment vertical="center"/>
    </xf>
    <xf numFmtId="37" fontId="150" fillId="0" borderId="0" xfId="20" applyFont="1" applyAlignment="1">
      <alignment horizontal="left" vertical="center"/>
    </xf>
    <xf numFmtId="181" fontId="144" fillId="0" borderId="0" xfId="20" applyNumberFormat="1" applyFont="1" applyAlignment="1">
      <alignment horizontal="left"/>
    </xf>
    <xf numFmtId="37" fontId="144" fillId="0" borderId="0" xfId="20" quotePrefix="1" applyFont="1" applyAlignment="1">
      <alignment horizontal="left" indent="1"/>
    </xf>
    <xf numFmtId="182" fontId="144" fillId="20" borderId="0" xfId="20" applyNumberFormat="1" applyFont="1" applyFill="1"/>
    <xf numFmtId="37" fontId="150" fillId="0" borderId="0" xfId="20" applyFont="1" applyAlignment="1">
      <alignment horizontal="left" vertical="center" indent="1"/>
    </xf>
    <xf numFmtId="182" fontId="149" fillId="0" borderId="0" xfId="20" applyNumberFormat="1" applyFont="1"/>
    <xf numFmtId="183" fontId="150" fillId="0" borderId="0" xfId="20" applyNumberFormat="1" applyFont="1" applyAlignment="1">
      <alignment horizontal="left" vertical="center" indent="1"/>
    </xf>
    <xf numFmtId="37" fontId="150" fillId="0" borderId="0" xfId="20" applyFont="1" applyAlignment="1">
      <alignment vertical="center"/>
    </xf>
    <xf numFmtId="184" fontId="144" fillId="0" borderId="0" xfId="20" applyNumberFormat="1" applyFont="1" applyAlignment="1">
      <alignment vertical="center"/>
    </xf>
    <xf numFmtId="182" fontId="144" fillId="0" borderId="0" xfId="20" applyNumberFormat="1" applyFont="1" applyAlignment="1">
      <alignment horizontal="left" vertical="center"/>
    </xf>
    <xf numFmtId="182" fontId="144" fillId="0" borderId="0" xfId="20" applyNumberFormat="1" applyFont="1" applyAlignment="1">
      <alignment horizontal="center" vertical="center"/>
    </xf>
    <xf numFmtId="182" fontId="152" fillId="0" borderId="0" xfId="20" applyNumberFormat="1" applyFont="1" applyAlignment="1">
      <alignment vertical="center"/>
    </xf>
    <xf numFmtId="182" fontId="152" fillId="0" borderId="0" xfId="20" applyNumberFormat="1" applyFont="1"/>
    <xf numFmtId="182" fontId="148" fillId="0" borderId="0" xfId="20" applyNumberFormat="1" applyFont="1"/>
    <xf numFmtId="181" fontId="144" fillId="0" borderId="0" xfId="20" applyNumberFormat="1" applyFont="1"/>
    <xf numFmtId="37" fontId="144" fillId="0" borderId="0" xfId="20" quotePrefix="1" applyFont="1" applyAlignment="1">
      <alignment horizontal="left"/>
    </xf>
    <xf numFmtId="37" fontId="147" fillId="0" borderId="0" xfId="20" applyFont="1"/>
    <xf numFmtId="182" fontId="147" fillId="0" borderId="0" xfId="20" applyNumberFormat="1" applyFont="1" applyAlignment="1">
      <alignment horizontal="left"/>
    </xf>
    <xf numFmtId="182" fontId="147" fillId="0" borderId="0" xfId="20" applyNumberFormat="1" applyFont="1" applyAlignment="1">
      <alignment horizontal="center"/>
    </xf>
    <xf numFmtId="181" fontId="147" fillId="0" borderId="0" xfId="20" applyNumberFormat="1" applyFont="1" applyAlignment="1">
      <alignment vertical="center"/>
    </xf>
    <xf numFmtId="182" fontId="147" fillId="0" borderId="0" xfId="20" applyNumberFormat="1" applyFont="1" applyAlignment="1">
      <alignment vertical="center"/>
    </xf>
    <xf numFmtId="182" fontId="147" fillId="0" borderId="0" xfId="20" applyNumberFormat="1" applyFont="1" applyAlignment="1">
      <alignment horizontal="center" vertical="center"/>
    </xf>
    <xf numFmtId="37" fontId="153" fillId="0" borderId="0" xfId="20" applyFont="1" applyAlignment="1">
      <alignment horizontal="left"/>
    </xf>
    <xf numFmtId="37" fontId="153" fillId="0" borderId="0" xfId="20" applyFont="1" applyAlignment="1">
      <alignment wrapText="1"/>
    </xf>
    <xf numFmtId="37" fontId="147" fillId="0" borderId="0" xfId="20" applyFont="1" applyAlignment="1">
      <alignment horizontal="left"/>
    </xf>
    <xf numFmtId="37" fontId="151" fillId="0" borderId="0" xfId="20" applyFont="1" applyAlignment="1">
      <alignment horizontal="left" indent="1"/>
    </xf>
    <xf numFmtId="37" fontId="151" fillId="0" borderId="0" xfId="20" applyFont="1" applyAlignment="1">
      <alignment wrapText="1"/>
    </xf>
    <xf numFmtId="37" fontId="151" fillId="0" borderId="0" xfId="20" applyFont="1"/>
    <xf numFmtId="1" fontId="151" fillId="0" borderId="0" xfId="20" applyNumberFormat="1" applyFont="1" applyAlignment="1">
      <alignment horizontal="left"/>
    </xf>
    <xf numFmtId="37" fontId="151" fillId="0" borderId="0" xfId="20" applyFont="1" applyAlignment="1">
      <alignment horizontal="left"/>
    </xf>
    <xf numFmtId="1" fontId="147" fillId="0" borderId="0" xfId="20" applyNumberFormat="1" applyFont="1" applyAlignment="1">
      <alignment horizontal="left"/>
    </xf>
    <xf numFmtId="169" fontId="147" fillId="0" borderId="0" xfId="20" applyNumberFormat="1" applyFont="1" applyProtection="1">
      <protection locked="0"/>
    </xf>
    <xf numFmtId="1" fontId="147" fillId="0" borderId="0" xfId="20" applyNumberFormat="1" applyFont="1" applyProtection="1">
      <protection locked="0"/>
    </xf>
    <xf numFmtId="37" fontId="147" fillId="0" borderId="0" xfId="20" applyFont="1" applyProtection="1">
      <protection locked="0"/>
    </xf>
    <xf numFmtId="37" fontId="147" fillId="0" borderId="0" xfId="20" applyFont="1" applyAlignment="1" applyProtection="1">
      <alignment horizontal="center"/>
      <protection locked="0"/>
    </xf>
    <xf numFmtId="37" fontId="145" fillId="0" borderId="0" xfId="20" applyAlignment="1">
      <alignment horizontal="center" vertical="center"/>
    </xf>
    <xf numFmtId="14" fontId="10" fillId="0" borderId="0" xfId="3" applyNumberFormat="1" applyAlignment="1" applyProtection="1">
      <alignment horizontal="left" indent="2"/>
      <protection locked="0"/>
    </xf>
    <xf numFmtId="0" fontId="54" fillId="0" borderId="0" xfId="3" applyFont="1" applyAlignment="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7" fontId="143" fillId="0" borderId="0" xfId="19" applyFont="1" applyAlignment="1">
      <alignment horizontal="center" vertical="center"/>
    </xf>
    <xf numFmtId="37" fontId="143" fillId="0" borderId="0" xfId="20" applyFont="1" applyAlignment="1">
      <alignment horizontal="center" vertical="center"/>
    </xf>
    <xf numFmtId="0" fontId="146" fillId="0" borderId="0" xfId="20" applyNumberFormat="1" applyFont="1" applyAlignment="1">
      <alignment horizontal="center" vertical="center"/>
    </xf>
    <xf numFmtId="37" fontId="148" fillId="0" borderId="0" xfId="20"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0" xfId="3" applyFont="1" applyFill="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8" fontId="57" fillId="0" borderId="0" xfId="3" applyNumberFormat="1" applyFont="1" applyFill="1" applyAlignment="1" applyProtection="1">
      <alignment horizontal="left" vertical="top" wrapText="1"/>
      <protection locked="0"/>
    </xf>
    <xf numFmtId="0" fontId="57" fillId="0" borderId="0" xfId="3" applyFont="1" applyFill="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2">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 08 PVS" xfId="19"/>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AF8779C3-0440-4814-B936-8B0681C4A2E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16F8B667-0A35-4231-997F-C25162AD2CF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25400</xdr:rowOff>
    </xdr:to>
    <xdr:sp macro="" textlink="">
      <xdr:nvSpPr>
        <xdr:cNvPr id="2" name="Text 1">
          <a:extLst>
            <a:ext uri="{FF2B5EF4-FFF2-40B4-BE49-F238E27FC236}">
              <a16:creationId xmlns:a16="http://schemas.microsoft.com/office/drawing/2014/main" id="{1C40D4F1-8D7A-41FC-BBDC-74B13E36CB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E82A12F8-80E8-46FE-AFFC-7033B301ACF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5AF1973-A8EB-4FFE-BB2F-798DBE89CE24}"/>
            </a:ext>
          </a:extLst>
        </xdr:cNvPr>
        <xdr:cNvSpPr txBox="1">
          <a:spLocks noChangeArrowheads="1"/>
        </xdr:cNvSpPr>
      </xdr:nvSpPr>
      <xdr:spPr bwMode="auto">
        <a:xfrm>
          <a:off x="2463800" y="1714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24ED067A-8615-4D32-A2C5-6BFE78C51A96}"/>
            </a:ext>
          </a:extLst>
        </xdr:cNvPr>
        <xdr:cNvSpPr>
          <a:spLocks noChangeArrowheads="1"/>
        </xdr:cNvSpPr>
      </xdr:nvSpPr>
      <xdr:spPr bwMode="auto">
        <a:xfrm>
          <a:off x="400685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533D26E3-09BA-4890-89AA-FE8B0E970D04}"/>
            </a:ext>
          </a:extLst>
        </xdr:cNvPr>
        <xdr:cNvSpPr txBox="1">
          <a:spLocks noChangeArrowheads="1"/>
        </xdr:cNvSpPr>
      </xdr:nvSpPr>
      <xdr:spPr bwMode="auto">
        <a:xfrm>
          <a:off x="2463800" y="1714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9F296CDC-01A8-4D22-BB78-8FF586A0E42D}"/>
            </a:ext>
          </a:extLst>
        </xdr:cNvPr>
        <xdr:cNvSpPr>
          <a:spLocks noChangeArrowheads="1"/>
        </xdr:cNvSpPr>
      </xdr:nvSpPr>
      <xdr:spPr bwMode="auto">
        <a:xfrm>
          <a:off x="400685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82550</xdr:colOff>
      <xdr:row>43</xdr:row>
      <xdr:rowOff>25401</xdr:rowOff>
    </xdr:to>
    <xdr:sp macro="" textlink="">
      <xdr:nvSpPr>
        <xdr:cNvPr id="2" name="Text 1">
          <a:extLst>
            <a:ext uri="{FF2B5EF4-FFF2-40B4-BE49-F238E27FC236}">
              <a16:creationId xmlns:a16="http://schemas.microsoft.com/office/drawing/2014/main" id="{5B8FBB12-415B-4857-BE42-EBE18A9B219F}"/>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F8D1B421-A44E-4C5A-AB1A-1B0083885DF9}"/>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E5A0B2CB-C426-4678-8604-74698190464F}"/>
            </a:ext>
          </a:extLst>
        </xdr:cNvPr>
        <xdr:cNvSpPr txBox="1">
          <a:spLocks noChangeArrowheads="1"/>
        </xdr:cNvSpPr>
      </xdr:nvSpPr>
      <xdr:spPr bwMode="auto">
        <a:xfrm>
          <a:off x="1727200"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90B7A4C5-C7DB-4990-97FA-CB12A3C37C12}"/>
            </a:ext>
          </a:extLst>
        </xdr:cNvPr>
        <xdr:cNvSpPr>
          <a:spLocks noChangeArrowheads="1"/>
        </xdr:cNvSpPr>
      </xdr:nvSpPr>
      <xdr:spPr bwMode="auto">
        <a:xfrm>
          <a:off x="1346200"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EC59C672-F11C-4D92-99A2-1C0A9B661AD1}"/>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4DACD491-E192-4294-BCDE-1F7913C4CE1E}"/>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82550</xdr:colOff>
      <xdr:row>41</xdr:row>
      <xdr:rowOff>25400</xdr:rowOff>
    </xdr:to>
    <xdr:sp macro="" textlink="">
      <xdr:nvSpPr>
        <xdr:cNvPr id="2" name="Text 1">
          <a:extLst>
            <a:ext uri="{FF2B5EF4-FFF2-40B4-BE49-F238E27FC236}">
              <a16:creationId xmlns:a16="http://schemas.microsoft.com/office/drawing/2014/main" id="{A3FFD86F-9C40-4C9B-86B4-A1F457B11877}"/>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CD68D663-187F-4E34-9A27-90050D3AFBBD}"/>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102" t="s">
        <v>404</v>
      </c>
      <c r="J1" s="2103"/>
      <c r="K1" s="2103"/>
      <c r="L1" s="2103"/>
      <c r="M1" s="2103"/>
      <c r="N1" s="2103"/>
      <c r="O1" s="2103"/>
      <c r="P1" s="2103"/>
      <c r="Q1" s="2103"/>
      <c r="R1" s="2103"/>
      <c r="S1" s="2103"/>
    </row>
    <row r="2" spans="1:28" ht="12" customHeight="1" x14ac:dyDescent="0.2">
      <c r="A2" s="47" t="s">
        <v>1989</v>
      </c>
      <c r="D2" s="48"/>
      <c r="I2" s="2104" t="s">
        <v>978</v>
      </c>
      <c r="J2" s="2103"/>
      <c r="K2" s="2103"/>
      <c r="L2" s="2103"/>
      <c r="M2" s="2103"/>
      <c r="N2" s="2103"/>
      <c r="O2" s="2103"/>
      <c r="P2" s="2103"/>
      <c r="Q2" s="2103"/>
      <c r="R2" s="2103"/>
      <c r="S2" s="2103"/>
    </row>
    <row r="3" spans="1:28" ht="12" customHeight="1" x14ac:dyDescent="0.2">
      <c r="A3" s="155" t="s">
        <v>1941</v>
      </c>
      <c r="B3" s="156"/>
      <c r="C3" s="156"/>
      <c r="D3" s="157"/>
      <c r="I3" s="2104" t="s">
        <v>52</v>
      </c>
      <c r="J3" s="2103"/>
      <c r="K3" s="2103"/>
      <c r="L3" s="2103"/>
      <c r="M3" s="2103"/>
      <c r="N3" s="2103"/>
      <c r="O3" s="2103"/>
      <c r="P3" s="2103"/>
      <c r="Q3" s="2103"/>
      <c r="R3" s="2103"/>
      <c r="S3" s="2103"/>
    </row>
    <row r="4" spans="1:28" ht="12" customHeight="1" x14ac:dyDescent="0.2">
      <c r="A4" s="37"/>
      <c r="I4" s="2104" t="s">
        <v>523</v>
      </c>
      <c r="J4" s="2103"/>
      <c r="K4" s="2103"/>
      <c r="L4" s="2103"/>
      <c r="M4" s="2103"/>
      <c r="N4" s="2103"/>
      <c r="O4" s="2103"/>
      <c r="P4" s="2103"/>
      <c r="Q4" s="2103"/>
      <c r="R4" s="2103"/>
      <c r="S4" s="2103"/>
    </row>
    <row r="5" spans="1:28" ht="14.1" customHeight="1" x14ac:dyDescent="0.2">
      <c r="B5" s="104" t="s">
        <v>2066</v>
      </c>
      <c r="C5" s="26" t="s">
        <v>909</v>
      </c>
      <c r="D5" s="84"/>
      <c r="E5" s="84"/>
      <c r="H5" s="38"/>
      <c r="I5" s="2112" t="s">
        <v>679</v>
      </c>
      <c r="J5" s="2111"/>
      <c r="K5" s="2111"/>
      <c r="L5" s="2111"/>
      <c r="M5" s="2111"/>
      <c r="N5" s="2111"/>
      <c r="O5" s="2111"/>
      <c r="P5" s="2111"/>
      <c r="Q5" s="2111"/>
      <c r="R5" s="2111"/>
      <c r="S5" s="2111"/>
    </row>
    <row r="6" spans="1:28" ht="14.1" customHeight="1" x14ac:dyDescent="0.2">
      <c r="B6" s="104"/>
      <c r="C6" s="26" t="s">
        <v>910</v>
      </c>
      <c r="D6" s="84"/>
      <c r="E6" s="84"/>
      <c r="I6" s="2110" t="s">
        <v>882</v>
      </c>
      <c r="J6" s="2111"/>
      <c r="K6" s="2111"/>
      <c r="L6" s="2111"/>
      <c r="M6" s="2111"/>
      <c r="N6" s="2111"/>
      <c r="O6" s="2111"/>
      <c r="P6" s="2111"/>
      <c r="Q6" s="2111"/>
      <c r="R6" s="2111"/>
      <c r="S6" s="2111"/>
    </row>
    <row r="7" spans="1:28" ht="12.2" customHeight="1" x14ac:dyDescent="0.2">
      <c r="I7" s="2105">
        <v>43646</v>
      </c>
      <c r="J7" s="2106"/>
      <c r="K7" s="2106"/>
      <c r="L7" s="2106"/>
      <c r="M7" s="2106"/>
      <c r="N7" s="2106"/>
      <c r="O7" s="2106"/>
      <c r="P7" s="2106"/>
      <c r="Q7" s="2106"/>
      <c r="R7" s="2106"/>
      <c r="S7" s="21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07" t="s">
        <v>673</v>
      </c>
      <c r="J9" s="2108"/>
      <c r="K9" s="2108"/>
      <c r="L9" s="2108"/>
      <c r="M9" s="2108"/>
      <c r="N9" s="2108"/>
      <c r="O9" s="2108"/>
      <c r="P9" s="2108"/>
      <c r="Q9" s="2108"/>
      <c r="R9" s="2108"/>
      <c r="S9" s="2109"/>
      <c r="T9" s="2123" t="s">
        <v>532</v>
      </c>
      <c r="U9" s="2124"/>
      <c r="V9" s="2124"/>
      <c r="W9" s="2124"/>
      <c r="X9" s="2124"/>
      <c r="Y9" s="2124"/>
      <c r="Z9" s="2124"/>
      <c r="AA9" s="2125"/>
    </row>
    <row r="10" spans="1:28" ht="13.5" customHeight="1" x14ac:dyDescent="0.2">
      <c r="A10" s="2130" t="s">
        <v>674</v>
      </c>
      <c r="B10" s="2131"/>
      <c r="C10" s="2131"/>
      <c r="D10" s="2131"/>
      <c r="E10" s="2131"/>
      <c r="F10" s="2131"/>
      <c r="G10" s="2131"/>
      <c r="H10" s="2132"/>
      <c r="I10" s="29"/>
      <c r="J10" s="30"/>
      <c r="K10" s="28"/>
      <c r="R10" s="30"/>
      <c r="S10" s="30"/>
      <c r="T10" s="2126"/>
      <c r="U10" s="2111"/>
      <c r="V10" s="2111"/>
      <c r="W10" s="2111"/>
      <c r="X10" s="2111"/>
      <c r="Y10" s="2111"/>
      <c r="Z10" s="2111"/>
      <c r="AA10" s="2117"/>
    </row>
    <row r="11" spans="1:28" ht="14.25" customHeight="1" x14ac:dyDescent="0.2">
      <c r="A11" s="2133" t="s">
        <v>954</v>
      </c>
      <c r="B11" s="2134"/>
      <c r="C11" s="2134"/>
      <c r="D11" s="2134"/>
      <c r="E11" s="2134"/>
      <c r="F11" s="2134"/>
      <c r="G11" s="2134"/>
      <c r="H11" s="2135"/>
      <c r="I11" s="27"/>
      <c r="J11" s="74"/>
      <c r="K11" s="27"/>
      <c r="O11" s="148" t="s">
        <v>2066</v>
      </c>
      <c r="P11" s="100" t="s">
        <v>201</v>
      </c>
      <c r="Q11" s="30"/>
      <c r="R11" s="28"/>
      <c r="S11" s="27"/>
      <c r="T11" s="2127"/>
      <c r="U11" s="2128"/>
      <c r="V11" s="2128"/>
      <c r="W11" s="2128"/>
      <c r="X11" s="2128"/>
      <c r="Y11" s="2128"/>
      <c r="Z11" s="2128"/>
      <c r="AA11" s="212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137">
        <v>48072323026</v>
      </c>
      <c r="B13" s="2138"/>
      <c r="C13" s="2138"/>
      <c r="D13" s="2138"/>
      <c r="E13" s="2138"/>
      <c r="F13" s="2138"/>
      <c r="G13" s="2138"/>
      <c r="H13" s="2139"/>
      <c r="I13" s="31"/>
      <c r="J13" s="30"/>
      <c r="K13" s="28"/>
      <c r="L13" s="30"/>
      <c r="M13" s="30"/>
      <c r="N13" s="30"/>
      <c r="O13" s="30"/>
      <c r="P13" s="30"/>
      <c r="Q13" s="30"/>
      <c r="R13" s="30"/>
      <c r="S13" s="30"/>
      <c r="T13" s="2142" t="s">
        <v>2068</v>
      </c>
      <c r="U13" s="2143"/>
      <c r="V13" s="2143"/>
      <c r="W13" s="2143"/>
      <c r="X13" s="2143"/>
      <c r="Y13" s="2144"/>
      <c r="Z13" s="2144"/>
      <c r="AA13" s="2145"/>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136" t="s">
        <v>2061</v>
      </c>
      <c r="B15" s="2140"/>
      <c r="C15" s="2140"/>
      <c r="D15" s="2140"/>
      <c r="E15" s="2140"/>
      <c r="F15" s="2140"/>
      <c r="G15" s="2140"/>
      <c r="H15" s="2141"/>
      <c r="T15" s="2146" t="s">
        <v>2073</v>
      </c>
      <c r="U15" s="2090"/>
      <c r="V15" s="2090"/>
      <c r="W15" s="2090"/>
      <c r="X15" s="2090"/>
      <c r="Y15" s="2147"/>
      <c r="Z15" s="2147"/>
      <c r="AA15" s="214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96" t="s">
        <v>2272</v>
      </c>
      <c r="B17" s="2097"/>
      <c r="C17" s="2097"/>
      <c r="D17" s="2097"/>
      <c r="E17" s="2097"/>
      <c r="F17" s="2097"/>
      <c r="G17" s="2097"/>
      <c r="H17" s="2122"/>
      <c r="T17" s="2153" t="s">
        <v>2060</v>
      </c>
      <c r="U17" s="2154"/>
      <c r="V17" s="2154"/>
      <c r="W17" s="2154"/>
      <c r="X17" s="2154"/>
      <c r="Y17" s="2154"/>
      <c r="Z17" s="2154"/>
      <c r="AA17" s="2155"/>
    </row>
    <row r="18" spans="1:27" ht="13.5" customHeight="1" x14ac:dyDescent="0.2">
      <c r="A18" s="85" t="s">
        <v>529</v>
      </c>
      <c r="B18" s="76"/>
      <c r="C18" s="72"/>
      <c r="D18" s="76"/>
      <c r="E18" s="76"/>
      <c r="F18" s="76"/>
      <c r="G18" s="76"/>
      <c r="H18" s="56"/>
      <c r="I18" s="2121" t="s">
        <v>675</v>
      </c>
      <c r="J18" s="2072"/>
      <c r="K18" s="2072"/>
      <c r="L18" s="2072"/>
      <c r="M18" s="2072"/>
      <c r="N18" s="2072"/>
      <c r="O18" s="2072"/>
      <c r="P18" s="2072"/>
      <c r="Q18" s="2072"/>
      <c r="R18" s="2072"/>
      <c r="S18" s="2073"/>
      <c r="T18" s="85" t="s">
        <v>710</v>
      </c>
      <c r="U18" s="51"/>
      <c r="V18" s="72"/>
      <c r="W18" s="50"/>
      <c r="X18" s="85" t="s">
        <v>265</v>
      </c>
      <c r="Y18" s="81"/>
      <c r="Z18" s="159" t="s">
        <v>676</v>
      </c>
      <c r="AA18" s="46"/>
    </row>
    <row r="19" spans="1:27" ht="13.5" customHeight="1" x14ac:dyDescent="0.2">
      <c r="A19" s="2136" t="s">
        <v>2070</v>
      </c>
      <c r="B19" s="2082"/>
      <c r="C19" s="2082"/>
      <c r="D19" s="2082"/>
      <c r="E19" s="2082"/>
      <c r="F19" s="2082"/>
      <c r="G19" s="2082"/>
      <c r="H19" s="2062"/>
      <c r="I19" s="30"/>
      <c r="J19" s="99"/>
      <c r="K19" s="40"/>
      <c r="L19" s="38"/>
      <c r="M19" s="112" t="s">
        <v>314</v>
      </c>
      <c r="P19" s="27"/>
      <c r="Q19" s="27"/>
      <c r="R19" s="27"/>
      <c r="S19" s="31"/>
      <c r="T19" s="2136" t="s">
        <v>2061</v>
      </c>
      <c r="U19" s="2061"/>
      <c r="V19" s="2061"/>
      <c r="W19" s="2062"/>
      <c r="X19" s="2151" t="s">
        <v>2062</v>
      </c>
      <c r="Y19" s="2152"/>
      <c r="Z19" s="2149">
        <v>61614</v>
      </c>
      <c r="AA19" s="215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60" t="s">
        <v>2071</v>
      </c>
      <c r="B21" s="2061"/>
      <c r="C21" s="2061"/>
      <c r="D21" s="2061"/>
      <c r="E21" s="2061"/>
      <c r="F21" s="2061"/>
      <c r="G21" s="2061"/>
      <c r="H21" s="2062"/>
      <c r="I21" s="2116" t="s">
        <v>677</v>
      </c>
      <c r="J21" s="2111"/>
      <c r="K21" s="2111"/>
      <c r="L21" s="2111"/>
      <c r="M21" s="2111"/>
      <c r="N21" s="2111"/>
      <c r="O21" s="2111"/>
      <c r="P21" s="2111"/>
      <c r="Q21" s="2111"/>
      <c r="R21" s="2111"/>
      <c r="S21" s="2117"/>
      <c r="T21" s="2160" t="s">
        <v>2063</v>
      </c>
      <c r="U21" s="2161"/>
      <c r="V21" s="2161"/>
      <c r="W21" s="2161"/>
      <c r="X21" s="2166" t="s">
        <v>2064</v>
      </c>
      <c r="Y21" s="2167"/>
      <c r="Z21" s="2167"/>
      <c r="AA21" s="2168"/>
    </row>
    <row r="22" spans="1:27" ht="13.5" customHeight="1" x14ac:dyDescent="0.2">
      <c r="A22" s="87" t="s">
        <v>530</v>
      </c>
      <c r="B22" s="59"/>
      <c r="C22" s="59"/>
      <c r="D22" s="59"/>
      <c r="E22" s="59"/>
      <c r="F22" s="59"/>
      <c r="G22" s="59"/>
      <c r="H22" s="60"/>
      <c r="I22" s="2118" t="s">
        <v>1428</v>
      </c>
      <c r="J22" s="2119"/>
      <c r="K22" s="2119"/>
      <c r="L22" s="2119"/>
      <c r="M22" s="2119"/>
      <c r="N22" s="2119"/>
      <c r="O22" s="2119"/>
      <c r="P22" s="2119"/>
      <c r="Q22" s="2119"/>
      <c r="R22" s="2119"/>
      <c r="S22" s="2120"/>
      <c r="T22" s="85" t="s">
        <v>1515</v>
      </c>
      <c r="U22" s="51"/>
      <c r="V22" s="72"/>
      <c r="W22" s="51"/>
      <c r="X22" s="160" t="s">
        <v>1317</v>
      </c>
      <c r="Z22" s="45"/>
      <c r="AA22" s="46"/>
    </row>
    <row r="23" spans="1:27" ht="13.5" customHeight="1" x14ac:dyDescent="0.2">
      <c r="A23" s="2113" t="s">
        <v>2072</v>
      </c>
      <c r="B23" s="2114"/>
      <c r="C23" s="2114"/>
      <c r="D23" s="2114"/>
      <c r="E23" s="2114"/>
      <c r="F23" s="2114"/>
      <c r="G23" s="2114"/>
      <c r="H23" s="2115"/>
      <c r="T23" s="2096" t="s">
        <v>2065</v>
      </c>
      <c r="U23" s="2159"/>
      <c r="V23" s="2159"/>
      <c r="W23" s="2159"/>
      <c r="X23" s="2163">
        <v>44501</v>
      </c>
      <c r="Y23" s="2164"/>
      <c r="Z23" s="2164"/>
      <c r="AA23" s="2165"/>
    </row>
    <row r="24" spans="1:27" ht="14.1" customHeight="1" x14ac:dyDescent="0.2">
      <c r="A24" s="88" t="s">
        <v>676</v>
      </c>
      <c r="B24" s="49"/>
      <c r="C24" s="49"/>
      <c r="D24" s="49"/>
      <c r="E24" s="49"/>
      <c r="F24" s="49"/>
      <c r="G24" s="49"/>
      <c r="H24" s="61"/>
      <c r="J24" s="2083">
        <f>IF(B5="x",IF(AUDITCHECK!D29="AFR form Incomplete.","",IF(AUDITCHECK!D29="Deficit reduction plan is required.","School District must complete a deficit reduction plan in the 2019-2020 Budget",)),"")</f>
        <v>0</v>
      </c>
      <c r="K24" s="2083"/>
      <c r="L24" s="2083"/>
      <c r="M24" s="2083"/>
      <c r="N24" s="2083"/>
      <c r="O24" s="2083"/>
      <c r="P24" s="2083"/>
      <c r="Q24" s="2083"/>
      <c r="R24" s="2083"/>
      <c r="S24" s="2084"/>
      <c r="T24" s="105" t="s">
        <v>530</v>
      </c>
      <c r="U24" s="106"/>
      <c r="V24" s="106"/>
      <c r="W24" s="106"/>
      <c r="X24" s="107"/>
      <c r="Y24" s="107"/>
      <c r="Z24" s="107"/>
      <c r="AA24" s="108"/>
    </row>
    <row r="25" spans="1:27" ht="14.1" customHeight="1" x14ac:dyDescent="0.2">
      <c r="A25" s="2060">
        <v>61614</v>
      </c>
      <c r="B25" s="2061"/>
      <c r="C25" s="2061"/>
      <c r="D25" s="2061"/>
      <c r="E25" s="2061"/>
      <c r="F25" s="2061"/>
      <c r="G25" s="2061"/>
      <c r="H25" s="2062"/>
      <c r="I25" s="113"/>
      <c r="J25" s="2085"/>
      <c r="K25" s="2085"/>
      <c r="L25" s="2085"/>
      <c r="M25" s="2085"/>
      <c r="N25" s="2085"/>
      <c r="O25" s="2085"/>
      <c r="P25" s="2085"/>
      <c r="Q25" s="2085"/>
      <c r="R25" s="2085"/>
      <c r="S25" s="2086"/>
      <c r="T25" s="2156" t="s">
        <v>2074</v>
      </c>
      <c r="U25" s="2157"/>
      <c r="V25" s="2157"/>
      <c r="W25" s="2157"/>
      <c r="X25" s="2157"/>
      <c r="Y25" s="2157"/>
      <c r="Z25" s="2157"/>
      <c r="AA25" s="21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71" t="s">
        <v>1510</v>
      </c>
      <c r="J27" s="2072"/>
      <c r="K27" s="2072"/>
      <c r="L27" s="2072"/>
      <c r="M27" s="2072"/>
      <c r="N27" s="2072"/>
      <c r="O27" s="2072"/>
      <c r="P27" s="2072"/>
      <c r="Q27" s="2072"/>
      <c r="R27" s="2072"/>
      <c r="S27" s="2073"/>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2066</v>
      </c>
      <c r="F29" s="141" t="s">
        <v>1315</v>
      </c>
      <c r="G29" s="114"/>
      <c r="I29" s="54"/>
      <c r="J29" s="148" t="s">
        <v>2066</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2066</v>
      </c>
      <c r="C30" s="124" t="s">
        <v>1163</v>
      </c>
      <c r="D30" s="28"/>
      <c r="E30" s="28"/>
      <c r="F30" s="140"/>
      <c r="G30" s="114"/>
      <c r="H30" s="114"/>
      <c r="I30" s="54"/>
      <c r="J30" s="148" t="s">
        <v>2066</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2066</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82"/>
      <c r="Q35" s="2061"/>
      <c r="R35" s="20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96" t="s">
        <v>2075</v>
      </c>
      <c r="B38" s="2097"/>
      <c r="C38" s="2097"/>
      <c r="D38" s="2097"/>
      <c r="E38" s="2097"/>
      <c r="F38" s="2061"/>
      <c r="G38" s="2061"/>
      <c r="H38" s="2062"/>
      <c r="I38" s="2089"/>
      <c r="J38" s="2090"/>
      <c r="K38" s="2090"/>
      <c r="L38" s="2090"/>
      <c r="M38" s="2090"/>
      <c r="N38" s="2090"/>
      <c r="O38" s="2090"/>
      <c r="P38" s="2091"/>
      <c r="Q38" s="2091"/>
      <c r="R38" s="2091"/>
      <c r="S38" s="2092"/>
      <c r="T38" s="2146"/>
      <c r="U38" s="2090"/>
      <c r="V38" s="2090"/>
      <c r="W38" s="2090"/>
      <c r="X38" s="2091"/>
      <c r="Y38" s="2091"/>
      <c r="Z38" s="2091"/>
      <c r="AA38" s="2092"/>
    </row>
    <row r="39" spans="1:27" ht="12" customHeight="1" x14ac:dyDescent="0.2">
      <c r="A39" s="2066" t="s">
        <v>530</v>
      </c>
      <c r="B39" s="2067"/>
      <c r="C39" s="72"/>
      <c r="D39" s="69"/>
      <c r="E39" s="69"/>
      <c r="F39" s="79"/>
      <c r="G39" s="69"/>
      <c r="H39" s="56"/>
      <c r="I39" s="2066" t="s">
        <v>530</v>
      </c>
      <c r="J39" s="2067"/>
      <c r="K39" s="2067"/>
      <c r="L39" s="2067"/>
      <c r="M39" s="2067"/>
      <c r="N39" s="67"/>
      <c r="O39" s="72"/>
      <c r="P39" s="72"/>
      <c r="Q39" s="78"/>
      <c r="R39" s="72"/>
      <c r="S39" s="56"/>
      <c r="T39" s="72" t="s">
        <v>530</v>
      </c>
      <c r="U39" s="51"/>
      <c r="V39" s="72"/>
      <c r="W39" s="50"/>
      <c r="X39" s="78"/>
      <c r="Y39" s="45"/>
      <c r="Z39" s="45"/>
      <c r="AA39" s="46"/>
    </row>
    <row r="40" spans="1:27" ht="13.5" customHeight="1" x14ac:dyDescent="0.2">
      <c r="A40" s="2074" t="s">
        <v>2072</v>
      </c>
      <c r="B40" s="2075"/>
      <c r="C40" s="2076"/>
      <c r="D40" s="2076"/>
      <c r="E40" s="2076"/>
      <c r="F40" s="2077"/>
      <c r="G40" s="2077"/>
      <c r="H40" s="2078"/>
      <c r="I40" s="2099"/>
      <c r="J40" s="2100"/>
      <c r="K40" s="2100"/>
      <c r="L40" s="2100"/>
      <c r="M40" s="2100"/>
      <c r="N40" s="2100"/>
      <c r="O40" s="2100"/>
      <c r="P40" s="2100"/>
      <c r="Q40" s="2100"/>
      <c r="R40" s="2100"/>
      <c r="S40" s="2101"/>
      <c r="T40" s="2099"/>
      <c r="U40" s="2162"/>
      <c r="V40" s="2100"/>
      <c r="W40" s="2100"/>
      <c r="X40" s="2100"/>
      <c r="Y40" s="2100"/>
      <c r="Z40" s="2100"/>
      <c r="AA40" s="210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88" t="s">
        <v>2076</v>
      </c>
      <c r="B42" s="2080"/>
      <c r="C42" s="2081"/>
      <c r="D42" s="2079" t="s">
        <v>2077</v>
      </c>
      <c r="E42" s="2080"/>
      <c r="F42" s="2080"/>
      <c r="G42" s="2080"/>
      <c r="H42" s="2081"/>
      <c r="I42" s="2063"/>
      <c r="J42" s="2064"/>
      <c r="K42" s="2064"/>
      <c r="L42" s="2064"/>
      <c r="M42" s="2064"/>
      <c r="N42" s="2064"/>
      <c r="O42" s="2065"/>
      <c r="P42" s="2098"/>
      <c r="Q42" s="2064"/>
      <c r="R42" s="2064"/>
      <c r="S42" s="2065"/>
      <c r="T42" s="2063"/>
      <c r="U42" s="2064"/>
      <c r="V42" s="2064"/>
      <c r="W42" s="2065"/>
      <c r="X42" s="2098"/>
      <c r="Y42" s="2064"/>
      <c r="Z42" s="2064"/>
      <c r="AA42" s="206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93"/>
      <c r="B44" s="2094"/>
      <c r="C44" s="2094"/>
      <c r="D44" s="2094"/>
      <c r="E44" s="2094"/>
      <c r="F44" s="2094"/>
      <c r="G44" s="2094"/>
      <c r="H44" s="2095"/>
      <c r="I44" s="2068"/>
      <c r="J44" s="2069"/>
      <c r="K44" s="2069"/>
      <c r="L44" s="2069"/>
      <c r="M44" s="2069"/>
      <c r="N44" s="2069"/>
      <c r="O44" s="2069"/>
      <c r="P44" s="2069"/>
      <c r="Q44" s="2069"/>
      <c r="R44" s="2069"/>
      <c r="S44" s="2070"/>
      <c r="T44" s="2068"/>
      <c r="U44" s="2087"/>
      <c r="V44" s="2087"/>
      <c r="W44" s="2087"/>
      <c r="X44" s="2087"/>
      <c r="Y44" s="2087"/>
      <c r="Z44" s="2069"/>
      <c r="AA44" s="2070"/>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3" t="s">
        <v>1610</v>
      </c>
    </row>
    <row r="23" spans="1:5" x14ac:dyDescent="0.2">
      <c r="A23" s="168"/>
      <c r="B23" s="162" t="s">
        <v>1853</v>
      </c>
      <c r="D23" s="167" t="s">
        <v>636</v>
      </c>
      <c r="E23" s="1833"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72" t="s">
        <v>1064</v>
      </c>
      <c r="B35" s="2172"/>
      <c r="C35" s="2172"/>
      <c r="D35" s="2172"/>
      <c r="E35" s="21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69" t="s">
        <v>690</v>
      </c>
      <c r="B40" s="2169"/>
      <c r="C40" s="2169"/>
      <c r="D40" s="2169"/>
      <c r="E40" s="2169"/>
    </row>
    <row r="41" spans="1:5" x14ac:dyDescent="0.2">
      <c r="A41" s="2170" t="s">
        <v>1607</v>
      </c>
      <c r="B41" s="2170"/>
      <c r="C41" s="2170"/>
      <c r="D41" s="2170"/>
      <c r="E41" s="2170"/>
    </row>
    <row r="42" spans="1:5" ht="12.75" customHeight="1" x14ac:dyDescent="0.2">
      <c r="A42" s="2171" t="s">
        <v>1021</v>
      </c>
      <c r="B42" s="2171"/>
      <c r="C42" s="2171"/>
      <c r="D42" s="2171"/>
      <c r="E42" s="2171"/>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2" t="s">
        <v>1772</v>
      </c>
    </row>
    <row r="60" spans="1:3" x14ac:dyDescent="0.2">
      <c r="A60" s="196"/>
      <c r="B60" s="1482"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3"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73" t="s">
        <v>1167</v>
      </c>
      <c r="B2" s="2173"/>
      <c r="C2" s="2173"/>
      <c r="D2" s="2173"/>
      <c r="E2" s="2173"/>
      <c r="F2" s="2173"/>
      <c r="G2" s="2173"/>
      <c r="H2" s="2173"/>
      <c r="I2" s="2173"/>
      <c r="J2" s="217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87" t="s">
        <v>1632</v>
      </c>
      <c r="B35" s="2188"/>
      <c r="C35" s="2188"/>
      <c r="D35" s="2188"/>
      <c r="E35" s="2189"/>
      <c r="F35" s="2189"/>
      <c r="G35" s="2189"/>
      <c r="H35" s="2189"/>
      <c r="I35" s="218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87" t="s">
        <v>312</v>
      </c>
      <c r="B47" s="2190"/>
      <c r="C47" s="2190"/>
      <c r="D47" s="2190"/>
      <c r="E47" s="2191"/>
      <c r="F47" s="2191"/>
      <c r="G47" s="2191"/>
      <c r="H47" s="2191"/>
      <c r="I47" s="219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2216</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94"/>
      <c r="C57" s="2195"/>
      <c r="D57" s="2195"/>
      <c r="E57" s="2195"/>
      <c r="F57" s="2195"/>
      <c r="G57" s="2195"/>
      <c r="H57" s="2195"/>
      <c r="I57" s="2195"/>
      <c r="J57" s="2196"/>
    </row>
    <row r="58" spans="1:10" s="181" customFormat="1" x14ac:dyDescent="0.2">
      <c r="A58" s="253"/>
      <c r="B58" s="2197"/>
      <c r="C58" s="2198"/>
      <c r="D58" s="2198"/>
      <c r="E58" s="2198"/>
      <c r="F58" s="2198"/>
      <c r="G58" s="2198"/>
      <c r="H58" s="2198"/>
      <c r="I58" s="2198"/>
      <c r="J58" s="2199"/>
    </row>
    <row r="59" spans="1:10" s="181" customFormat="1" x14ac:dyDescent="0.2">
      <c r="A59" s="253"/>
      <c r="B59" s="2197"/>
      <c r="C59" s="2198"/>
      <c r="D59" s="2198"/>
      <c r="E59" s="2198"/>
      <c r="F59" s="2198"/>
      <c r="G59" s="2198"/>
      <c r="H59" s="2198"/>
      <c r="I59" s="2198"/>
      <c r="J59" s="2199"/>
    </row>
    <row r="60" spans="1:10" s="181" customFormat="1" x14ac:dyDescent="0.2">
      <c r="A60" s="253"/>
      <c r="B60" s="2197"/>
      <c r="C60" s="2198"/>
      <c r="D60" s="2198"/>
      <c r="E60" s="2198"/>
      <c r="F60" s="2198"/>
      <c r="G60" s="2198"/>
      <c r="H60" s="2198"/>
      <c r="I60" s="2198"/>
      <c r="J60" s="2199"/>
    </row>
    <row r="61" spans="1:10" s="181" customFormat="1" x14ac:dyDescent="0.2">
      <c r="A61" s="253"/>
      <c r="B61" s="2197"/>
      <c r="C61" s="2198"/>
      <c r="D61" s="2198"/>
      <c r="E61" s="2198"/>
      <c r="F61" s="2198"/>
      <c r="G61" s="2198"/>
      <c r="H61" s="2198"/>
      <c r="I61" s="2198"/>
      <c r="J61" s="2199"/>
    </row>
    <row r="62" spans="1:10" s="181" customFormat="1" x14ac:dyDescent="0.2">
      <c r="A62" s="253"/>
      <c r="B62" s="2197"/>
      <c r="C62" s="2198"/>
      <c r="D62" s="2198"/>
      <c r="E62" s="2198"/>
      <c r="F62" s="2198"/>
      <c r="G62" s="2198"/>
      <c r="H62" s="2198"/>
      <c r="I62" s="2198"/>
      <c r="J62" s="2199"/>
    </row>
    <row r="63" spans="1:10" s="181" customFormat="1" x14ac:dyDescent="0.2">
      <c r="A63" s="253"/>
      <c r="B63" s="2197"/>
      <c r="C63" s="2198"/>
      <c r="D63" s="2198"/>
      <c r="E63" s="2198"/>
      <c r="F63" s="2198"/>
      <c r="G63" s="2198"/>
      <c r="H63" s="2198"/>
      <c r="I63" s="2198"/>
      <c r="J63" s="2199"/>
    </row>
    <row r="64" spans="1:10" s="181" customFormat="1" x14ac:dyDescent="0.2">
      <c r="A64" s="253"/>
      <c r="B64" s="2197"/>
      <c r="C64" s="2198"/>
      <c r="D64" s="2198"/>
      <c r="E64" s="2198"/>
      <c r="F64" s="2198"/>
      <c r="G64" s="2198"/>
      <c r="H64" s="2198"/>
      <c r="I64" s="2198"/>
      <c r="J64" s="2199"/>
    </row>
    <row r="65" spans="1:10" s="181" customFormat="1" x14ac:dyDescent="0.2">
      <c r="A65" s="253"/>
      <c r="B65" s="2197"/>
      <c r="C65" s="2198"/>
      <c r="D65" s="2198"/>
      <c r="E65" s="2198"/>
      <c r="F65" s="2198"/>
      <c r="G65" s="2198"/>
      <c r="H65" s="2198"/>
      <c r="I65" s="2198"/>
      <c r="J65" s="2199"/>
    </row>
    <row r="66" spans="1:10" s="181" customFormat="1" x14ac:dyDescent="0.2">
      <c r="A66" s="253"/>
      <c r="B66" s="2197"/>
      <c r="C66" s="2198"/>
      <c r="D66" s="2198"/>
      <c r="E66" s="2198"/>
      <c r="F66" s="2198"/>
      <c r="G66" s="2198"/>
      <c r="H66" s="2198"/>
      <c r="I66" s="2198"/>
      <c r="J66" s="2199"/>
    </row>
    <row r="67" spans="1:10" s="181" customFormat="1" ht="9" customHeight="1" x14ac:dyDescent="0.2">
      <c r="A67" s="254"/>
      <c r="B67" s="2200"/>
      <c r="C67" s="2201"/>
      <c r="D67" s="2201"/>
      <c r="E67" s="2201"/>
      <c r="F67" s="2201"/>
      <c r="G67" s="2201"/>
      <c r="H67" s="2201"/>
      <c r="I67" s="2201"/>
      <c r="J67" s="22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87" t="s">
        <v>1322</v>
      </c>
      <c r="B70" s="2190"/>
      <c r="C70" s="2190"/>
      <c r="D70" s="2190"/>
      <c r="E70" s="2191"/>
      <c r="F70" s="2191"/>
      <c r="G70" s="2191"/>
      <c r="H70" s="2191"/>
      <c r="I70" s="219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92" t="s">
        <v>1319</v>
      </c>
      <c r="B83" s="2192"/>
      <c r="C83" s="2192"/>
      <c r="D83" s="219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74" t="s">
        <v>2268</v>
      </c>
      <c r="C102" s="2175"/>
      <c r="D102" s="2175"/>
      <c r="E102" s="2175"/>
      <c r="F102" s="2175"/>
      <c r="G102" s="2175"/>
      <c r="H102" s="2175"/>
      <c r="I102" s="2176"/>
    </row>
    <row r="103" spans="1:9" s="181" customFormat="1" ht="11.25" customHeight="1" x14ac:dyDescent="0.2">
      <c r="A103" s="316"/>
      <c r="B103" s="2177"/>
      <c r="C103" s="2178"/>
      <c r="D103" s="2178"/>
      <c r="E103" s="2178"/>
      <c r="F103" s="2178"/>
      <c r="G103" s="2178"/>
      <c r="H103" s="2178"/>
      <c r="I103" s="2179"/>
    </row>
    <row r="104" spans="1:9" s="181" customFormat="1" ht="11.25" customHeight="1" x14ac:dyDescent="0.2">
      <c r="A104" s="316"/>
      <c r="B104" s="2177"/>
      <c r="C104" s="2178"/>
      <c r="D104" s="2178"/>
      <c r="E104" s="2178"/>
      <c r="F104" s="2178"/>
      <c r="G104" s="2178"/>
      <c r="H104" s="2178"/>
      <c r="I104" s="2179"/>
    </row>
    <row r="105" spans="1:9" s="181" customFormat="1" x14ac:dyDescent="0.2">
      <c r="A105" s="316"/>
      <c r="B105" s="2177"/>
      <c r="C105" s="2178"/>
      <c r="D105" s="2178"/>
      <c r="E105" s="2178"/>
      <c r="F105" s="2178"/>
      <c r="G105" s="2178"/>
      <c r="H105" s="2178"/>
      <c r="I105" s="2179"/>
    </row>
    <row r="106" spans="1:9" s="181" customFormat="1" ht="11.25" customHeight="1" x14ac:dyDescent="0.2">
      <c r="A106" s="316"/>
      <c r="B106" s="2177"/>
      <c r="C106" s="2178"/>
      <c r="D106" s="2178"/>
      <c r="E106" s="2178"/>
      <c r="F106" s="2178"/>
      <c r="G106" s="2178"/>
      <c r="H106" s="2178"/>
      <c r="I106" s="2179"/>
    </row>
    <row r="107" spans="1:9" s="181" customFormat="1" ht="11.25" customHeight="1" x14ac:dyDescent="0.2">
      <c r="A107" s="316"/>
      <c r="B107" s="2177"/>
      <c r="C107" s="2178"/>
      <c r="D107" s="2178"/>
      <c r="E107" s="2178"/>
      <c r="F107" s="2178"/>
      <c r="G107" s="2178"/>
      <c r="H107" s="2178"/>
      <c r="I107" s="2179"/>
    </row>
    <row r="108" spans="1:9" s="181" customFormat="1" ht="11.25" customHeight="1" x14ac:dyDescent="0.2">
      <c r="A108" s="316"/>
      <c r="B108" s="2177"/>
      <c r="C108" s="2178"/>
      <c r="D108" s="2178"/>
      <c r="E108" s="2178"/>
      <c r="F108" s="2178"/>
      <c r="G108" s="2178"/>
      <c r="H108" s="2178"/>
      <c r="I108" s="2179"/>
    </row>
    <row r="109" spans="1:9" s="181" customFormat="1" ht="11.25" customHeight="1" x14ac:dyDescent="0.2">
      <c r="A109" s="316"/>
      <c r="B109" s="2177"/>
      <c r="C109" s="2178"/>
      <c r="D109" s="2178"/>
      <c r="E109" s="2178"/>
      <c r="F109" s="2178"/>
      <c r="G109" s="2178"/>
      <c r="H109" s="2178"/>
      <c r="I109" s="2179"/>
    </row>
    <row r="110" spans="1:9" s="181" customFormat="1" ht="11.25" customHeight="1" x14ac:dyDescent="0.2">
      <c r="A110" s="316"/>
      <c r="B110" s="2177"/>
      <c r="C110" s="2178"/>
      <c r="D110" s="2178"/>
      <c r="E110" s="2178"/>
      <c r="F110" s="2178"/>
      <c r="G110" s="2178"/>
      <c r="H110" s="2178"/>
      <c r="I110" s="2179"/>
    </row>
    <row r="111" spans="1:9" s="181" customFormat="1" ht="11.25" customHeight="1" x14ac:dyDescent="0.2">
      <c r="A111" s="316"/>
      <c r="B111" s="2177"/>
      <c r="C111" s="2178"/>
      <c r="D111" s="2178"/>
      <c r="E111" s="2178"/>
      <c r="F111" s="2178"/>
      <c r="G111" s="2178"/>
      <c r="H111" s="2178"/>
      <c r="I111" s="2179"/>
    </row>
    <row r="112" spans="1:9" s="181" customFormat="1" ht="11.25" customHeight="1" x14ac:dyDescent="0.2">
      <c r="A112" s="316"/>
      <c r="B112" s="2180"/>
      <c r="C112" s="2181"/>
      <c r="D112" s="2181"/>
      <c r="E112" s="2181"/>
      <c r="F112" s="2181"/>
      <c r="G112" s="2181"/>
      <c r="H112" s="2181"/>
      <c r="I112" s="21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83" t="s">
        <v>2068</v>
      </c>
      <c r="D114" s="218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84" t="s">
        <v>1329</v>
      </c>
      <c r="D117" s="2185"/>
      <c r="E117" s="2186"/>
      <c r="F117" s="2186"/>
      <c r="G117" s="2186"/>
      <c r="H117" s="2186"/>
      <c r="I117" s="304"/>
    </row>
    <row r="118" spans="1:9" s="181" customFormat="1" ht="24" customHeight="1" x14ac:dyDescent="0.2">
      <c r="A118" s="316"/>
      <c r="B118" s="316"/>
      <c r="C118" s="316"/>
      <c r="D118" s="323" t="s">
        <v>2271</v>
      </c>
      <c r="E118" s="322"/>
      <c r="F118" s="324"/>
      <c r="G118" s="1837"/>
      <c r="H118" s="322"/>
      <c r="I118" s="304"/>
    </row>
    <row r="119" spans="1:9" s="181" customFormat="1" ht="11.25" customHeight="1" x14ac:dyDescent="0.2">
      <c r="A119" s="325"/>
      <c r="B119" s="325"/>
      <c r="C119" s="326"/>
      <c r="D119" s="327" t="s">
        <v>360</v>
      </c>
      <c r="E119" s="310"/>
      <c r="F119" s="1836" t="s">
        <v>1902</v>
      </c>
      <c r="G119" s="328"/>
      <c r="H119" s="328"/>
      <c r="I119" s="304"/>
    </row>
    <row r="120" spans="1:9" x14ac:dyDescent="0.2">
      <c r="A120" s="329"/>
      <c r="B120" s="180"/>
      <c r="C120" s="330"/>
      <c r="D120" s="256"/>
      <c r="E120" s="256"/>
      <c r="F120" s="256"/>
      <c r="G120" s="256"/>
      <c r="H120" s="256"/>
      <c r="I120" s="304"/>
    </row>
    <row r="121" spans="1:9" x14ac:dyDescent="0.2">
      <c r="A121" s="329"/>
      <c r="B121" s="148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03" t="s">
        <v>385</v>
      </c>
      <c r="B1" s="2203"/>
      <c r="C1" s="2203"/>
      <c r="D1" s="2203"/>
      <c r="E1" s="2203"/>
      <c r="F1" s="2203"/>
      <c r="G1" s="2203"/>
      <c r="H1" s="2203"/>
      <c r="I1" s="2203"/>
      <c r="J1" s="2203"/>
      <c r="K1" s="2203"/>
      <c r="L1" s="2203"/>
      <c r="M1" s="220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897623445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2.7E-2</v>
      </c>
      <c r="E10" s="356" t="s">
        <v>1004</v>
      </c>
      <c r="F10" s="355">
        <v>4.7499999999999999E-3</v>
      </c>
      <c r="G10" s="356" t="s">
        <v>1004</v>
      </c>
      <c r="H10" s="355">
        <v>2E-3</v>
      </c>
      <c r="I10" s="356" t="s">
        <v>1005</v>
      </c>
      <c r="J10" s="1729">
        <f>ROUND(D10+F10+H10,5)</f>
        <v>3.3750000000000002E-2</v>
      </c>
      <c r="K10" s="222"/>
      <c r="L10" s="355">
        <v>5.0000000000000001E-4</v>
      </c>
      <c r="M10" s="222"/>
    </row>
    <row r="11" spans="1:14" ht="7.5" customHeight="1" x14ac:dyDescent="0.2">
      <c r="B11" s="222"/>
      <c r="C11" s="222"/>
      <c r="D11" s="2213" t="str">
        <f>IF(SUM(J10)&lt;=0.0999999,"","Enter the Tax Rates by moving the decimal two places to the left.")</f>
        <v/>
      </c>
      <c r="E11" s="2214"/>
      <c r="F11" s="2214"/>
      <c r="G11" s="2214"/>
      <c r="H11" s="2214"/>
      <c r="I11" s="2214"/>
      <c r="J11" s="22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0">
        <f>SUM('Acct Summary 7-8'!C8,'Acct Summary 7-8'!D8,'Acct Summary 7-8'!F8,'Acct Summary 7-8'!I8)</f>
        <v>40290767</v>
      </c>
      <c r="E16" s="356"/>
      <c r="F16" s="1730">
        <f>SUM('Acct Summary 7-8'!C17,'Acct Summary 7-8'!D17,'Acct Summary 7-8'!F17)</f>
        <v>38624792</v>
      </c>
      <c r="G16" s="356"/>
      <c r="H16" s="1730">
        <f>SUM(D16-F16)</f>
        <v>1665975</v>
      </c>
      <c r="I16" s="222"/>
      <c r="J16" s="1730">
        <f>SUM('Acct Summary 7-8'!C81,'Acct Summary 7-8'!D81,'Acct Summary 7-8'!F81,'Acct Summary 7-8'!I81)</f>
        <v>48568442</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0">
        <f>'Short-Term Long-Term Debt 24'!F4</f>
        <v>0</v>
      </c>
      <c r="E22" s="356" t="s">
        <v>1004</v>
      </c>
      <c r="F22" s="1730">
        <f>'Short-Term Long-Term Debt 24'!F15</f>
        <v>0</v>
      </c>
      <c r="G22" s="356" t="s">
        <v>1004</v>
      </c>
      <c r="H22" s="1730">
        <f>'Short-Term Long-Term Debt 24'!F21</f>
        <v>0</v>
      </c>
      <c r="I22" s="356" t="s">
        <v>1004</v>
      </c>
      <c r="J22" s="1730">
        <f>'Short-Term Long-Term Debt 24'!F23</f>
        <v>0</v>
      </c>
      <c r="K22" s="356" t="s">
        <v>1004</v>
      </c>
      <c r="L22" s="173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1005</v>
      </c>
      <c r="F24" s="1731">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2">
        <f>IF(B31="X",(J7*0.069),IF(B32="X",(J7*0.138),"Enter x in a.or b."))</f>
        <v>123872035.41000001</v>
      </c>
      <c r="I31" s="368"/>
      <c r="J31" s="222"/>
      <c r="K31" s="222"/>
      <c r="L31" s="222"/>
      <c r="M31" s="222"/>
    </row>
    <row r="32" spans="1:13" ht="13.35" customHeight="1" x14ac:dyDescent="0.2">
      <c r="B32" s="369" t="s">
        <v>2066</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1">
        <f>'Assets-Liab 5-6'!N36</f>
        <v>54903080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204"/>
      <c r="C54" s="2205"/>
      <c r="D54" s="2205"/>
      <c r="E54" s="2205"/>
      <c r="F54" s="2205"/>
      <c r="G54" s="2205"/>
      <c r="H54" s="2205"/>
      <c r="I54" s="2205"/>
      <c r="J54" s="2205"/>
      <c r="K54" s="2205"/>
      <c r="L54" s="2206"/>
      <c r="M54" s="380"/>
    </row>
    <row r="55" spans="1:13" ht="12.75" customHeight="1" x14ac:dyDescent="0.2">
      <c r="B55" s="2207"/>
      <c r="C55" s="2208"/>
      <c r="D55" s="2208"/>
      <c r="E55" s="2208"/>
      <c r="F55" s="2208"/>
      <c r="G55" s="2208"/>
      <c r="H55" s="2208"/>
      <c r="I55" s="2208"/>
      <c r="J55" s="2208"/>
      <c r="K55" s="2208"/>
      <c r="L55" s="2209"/>
      <c r="M55" s="380"/>
    </row>
    <row r="56" spans="1:13" ht="12.75" customHeight="1" x14ac:dyDescent="0.2">
      <c r="B56" s="2207"/>
      <c r="C56" s="2208"/>
      <c r="D56" s="2208"/>
      <c r="E56" s="2208"/>
      <c r="F56" s="2208"/>
      <c r="G56" s="2208"/>
      <c r="H56" s="2208"/>
      <c r="I56" s="2208"/>
      <c r="J56" s="2208"/>
      <c r="K56" s="2208"/>
      <c r="L56" s="2209"/>
      <c r="M56" s="222"/>
    </row>
    <row r="57" spans="1:13" ht="12.75" customHeight="1" x14ac:dyDescent="0.2">
      <c r="B57" s="2207"/>
      <c r="C57" s="2208"/>
      <c r="D57" s="2208"/>
      <c r="E57" s="2208"/>
      <c r="F57" s="2208"/>
      <c r="G57" s="2208"/>
      <c r="H57" s="2208"/>
      <c r="I57" s="2208"/>
      <c r="J57" s="2208"/>
      <c r="K57" s="2208"/>
      <c r="L57" s="2209"/>
      <c r="M57" s="222"/>
    </row>
    <row r="58" spans="1:13" x14ac:dyDescent="0.2">
      <c r="B58" s="2210"/>
      <c r="C58" s="2211"/>
      <c r="D58" s="2211"/>
      <c r="E58" s="2211"/>
      <c r="F58" s="2211"/>
      <c r="G58" s="2211"/>
      <c r="H58" s="2211"/>
      <c r="I58" s="2211"/>
      <c r="J58" s="2211"/>
      <c r="K58" s="2211"/>
      <c r="L58" s="22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15"/>
      <c r="D61" s="22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18"/>
      <c r="B1" s="2219"/>
      <c r="C1" s="2219"/>
      <c r="D1" s="384"/>
      <c r="E1" s="384"/>
      <c r="F1" s="384"/>
      <c r="G1" s="384"/>
      <c r="H1" s="384"/>
      <c r="I1" s="384"/>
      <c r="J1" s="384"/>
      <c r="K1" s="384"/>
      <c r="L1" s="384"/>
      <c r="M1" s="384"/>
      <c r="N1" s="384"/>
      <c r="O1" s="2218"/>
      <c r="P1" s="2219"/>
      <c r="Q1" s="2219"/>
    </row>
    <row r="2" spans="1:18" ht="15" x14ac:dyDescent="0.2">
      <c r="A2" s="2222" t="s">
        <v>555</v>
      </c>
      <c r="B2" s="2222"/>
      <c r="C2" s="2222"/>
      <c r="D2" s="2222"/>
      <c r="E2" s="2222"/>
      <c r="F2" s="2222"/>
      <c r="G2" s="2222"/>
      <c r="H2" s="2222"/>
      <c r="I2" s="2222"/>
      <c r="J2" s="2222"/>
      <c r="K2" s="2222"/>
      <c r="L2" s="2222"/>
      <c r="M2" s="2222"/>
      <c r="N2" s="2222"/>
      <c r="O2" s="2222"/>
      <c r="P2" s="2222"/>
      <c r="Q2" s="2222"/>
      <c r="R2" s="2222"/>
    </row>
    <row r="3" spans="1:18" ht="12.75" x14ac:dyDescent="0.2">
      <c r="A3" s="2223" t="s">
        <v>1412</v>
      </c>
      <c r="B3" s="2223"/>
      <c r="C3" s="2223"/>
      <c r="D3" s="2223"/>
      <c r="E3" s="2223"/>
      <c r="F3" s="2223"/>
      <c r="G3" s="2223"/>
      <c r="H3" s="2223"/>
      <c r="I3" s="2223"/>
      <c r="J3" s="2223"/>
      <c r="K3" s="2223"/>
      <c r="L3" s="2223"/>
      <c r="M3" s="2223"/>
      <c r="N3" s="2223"/>
      <c r="O3" s="2223"/>
      <c r="P3" s="2223"/>
      <c r="Q3" s="2223"/>
      <c r="R3" s="2223"/>
    </row>
    <row r="4" spans="1:18" x14ac:dyDescent="0.2">
      <c r="A4" s="2224" t="s">
        <v>1553</v>
      </c>
      <c r="B4" s="2224"/>
      <c r="C4" s="2224"/>
      <c r="D4" s="2224"/>
      <c r="E4" s="2224"/>
      <c r="F4" s="2224"/>
      <c r="G4" s="2224"/>
      <c r="H4" s="2224"/>
      <c r="I4" s="2224"/>
      <c r="J4" s="2224"/>
      <c r="K4" s="2224"/>
      <c r="L4" s="2224"/>
      <c r="M4" s="2224"/>
      <c r="N4" s="2224"/>
      <c r="O4" s="2224"/>
      <c r="P4" s="2224"/>
      <c r="Q4" s="2224"/>
      <c r="R4" s="22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Dunlap CUSD 323</v>
      </c>
      <c r="E7" s="391"/>
      <c r="G7" s="252"/>
      <c r="H7" s="387"/>
      <c r="I7" s="387"/>
      <c r="J7" s="387"/>
      <c r="K7" s="387"/>
      <c r="L7" s="329"/>
      <c r="M7" s="329"/>
      <c r="N7" s="329"/>
      <c r="O7" s="329"/>
      <c r="P7" s="329"/>
    </row>
    <row r="8" spans="1:18" ht="12.75" x14ac:dyDescent="0.2">
      <c r="A8" s="329"/>
      <c r="B8" s="329"/>
      <c r="C8" s="389" t="s">
        <v>1124</v>
      </c>
      <c r="D8" s="392">
        <f>COVER!A13</f>
        <v>48072323026</v>
      </c>
      <c r="E8" s="393"/>
      <c r="G8" s="329"/>
      <c r="H8" s="329"/>
      <c r="I8" s="329"/>
      <c r="J8" s="329"/>
      <c r="K8" s="329"/>
      <c r="L8" s="329"/>
      <c r="M8" s="329"/>
      <c r="N8" s="329"/>
      <c r="O8" s="329"/>
      <c r="P8" s="329"/>
    </row>
    <row r="9" spans="1:18" ht="12.75" x14ac:dyDescent="0.2">
      <c r="A9" s="329"/>
      <c r="B9" s="329"/>
      <c r="C9" s="389" t="s">
        <v>712</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48568442</v>
      </c>
      <c r="I12" s="404"/>
      <c r="J12" s="404"/>
      <c r="K12" s="405">
        <f>TRUNC((H12/H13*100000),5)/100000</f>
        <v>1.2054484343</v>
      </c>
      <c r="L12" s="406"/>
      <c r="M12" s="360" t="s">
        <v>1143</v>
      </c>
      <c r="N12" s="360"/>
      <c r="O12" s="407">
        <v>0.35</v>
      </c>
      <c r="P12" s="218"/>
      <c r="Q12" s="218"/>
    </row>
    <row r="13" spans="1:18" s="408" customFormat="1" ht="12.75" x14ac:dyDescent="0.2">
      <c r="A13" s="218"/>
      <c r="B13" s="401"/>
      <c r="C13" s="2220" t="s">
        <v>1323</v>
      </c>
      <c r="D13" s="2221"/>
      <c r="E13" s="218"/>
      <c r="F13" s="409" t="s">
        <v>792</v>
      </c>
      <c r="G13" s="402"/>
      <c r="H13" s="403">
        <f>SUM('Acct Summary 7-8'!C8+'Acct Summary 7-8'!D8+'Acct Summary 7-8'!F8+'Acct Summary 7-8'!I8)+H14</f>
        <v>40290767</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38624792</v>
      </c>
      <c r="I17" s="404"/>
      <c r="J17" s="416"/>
      <c r="K17" s="405">
        <f>TRUNC((H17/H18*100000),5)/100000</f>
        <v>0.95865119659999998</v>
      </c>
      <c r="L17" s="406"/>
      <c r="M17" s="417" t="s">
        <v>1170</v>
      </c>
      <c r="O17" s="418" t="str">
        <f>IF(AND(O16="2", J20 &gt; 2),"1",IF(AND(O16 = "1", J20 &gt; 2),"2",IF(AND(O16="1", J20 &gt;1),"1","0")))</f>
        <v>0</v>
      </c>
      <c r="P17" s="218"/>
    </row>
    <row r="18" spans="1:18" s="408" customFormat="1" ht="11.25" x14ac:dyDescent="0.2">
      <c r="A18" s="218"/>
      <c r="B18" s="401"/>
      <c r="C18" s="2220" t="s">
        <v>1316</v>
      </c>
      <c r="D18" s="2221"/>
      <c r="E18" s="218"/>
      <c r="F18" s="419" t="s">
        <v>793</v>
      </c>
      <c r="G18" s="402"/>
      <c r="H18" s="403">
        <f>SUM('Acct Summary 7-8'!C8+'Acct Summary 7-8'!D8+'Acct Summary 7-8'!F8+'Acct Summary 7-8'!I8)+H19</f>
        <v>40290767</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217" t="s">
        <v>1411</v>
      </c>
      <c r="D24" s="2217"/>
      <c r="E24" s="218"/>
      <c r="F24" s="218" t="s">
        <v>444</v>
      </c>
      <c r="G24" s="402"/>
      <c r="H24" s="403">
        <f>SUM('Assets-Liab 5-6'!C4+'Assets-Liab 5-6'!D4+'Assets-Liab 5-6'!F4+'Assets-Liab 5-6'!I4+'Assets-Liab 5-6'!C5+'Assets-Liab 5-6'!D5+'Assets-Liab 5-6'!F5+'Assets-Liab 5-6'!I5)</f>
        <v>48568442</v>
      </c>
      <c r="I24" s="422"/>
      <c r="J24" s="422"/>
      <c r="K24" s="423">
        <f>TRUNC(((H24/H25*100000)/100000),2)</f>
        <v>452.67</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107291.08889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25750572.578439999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54903080</v>
      </c>
      <c r="I32" s="420"/>
      <c r="J32" s="420"/>
      <c r="K32" s="423">
        <f>TRUNC(100-((((H32/H33*100))*100)/100),2)</f>
        <v>55.67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123872035.41000001</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5" sqref="A5:F5"/>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22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22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227" t="s">
        <v>972</v>
      </c>
      <c r="B3" s="2228"/>
      <c r="C3" s="1556"/>
      <c r="D3" s="1557"/>
      <c r="E3" s="1557"/>
      <c r="F3" s="1557"/>
      <c r="G3" s="1557"/>
      <c r="H3" s="1557"/>
      <c r="I3" s="1557"/>
      <c r="J3" s="1557"/>
      <c r="K3" s="1557"/>
      <c r="L3" s="1557"/>
      <c r="M3" s="1558"/>
      <c r="N3" s="1559"/>
    </row>
    <row r="4" spans="1:14" ht="13.5" customHeight="1" x14ac:dyDescent="0.2">
      <c r="A4" s="463" t="s">
        <v>1650</v>
      </c>
      <c r="B4" s="464"/>
      <c r="C4" s="465">
        <v>19334984</v>
      </c>
      <c r="D4" s="465">
        <v>4516318</v>
      </c>
      <c r="E4" s="465">
        <v>3631006</v>
      </c>
      <c r="F4" s="465">
        <v>6442540</v>
      </c>
      <c r="G4" s="465">
        <v>4213469</v>
      </c>
      <c r="H4" s="465">
        <v>2517112</v>
      </c>
      <c r="I4" s="465">
        <v>2130510</v>
      </c>
      <c r="J4" s="465">
        <v>2846784</v>
      </c>
      <c r="K4" s="465">
        <v>800625</v>
      </c>
      <c r="L4" s="465">
        <v>1065217</v>
      </c>
      <c r="M4" s="468"/>
      <c r="N4" s="469"/>
    </row>
    <row r="5" spans="1:14" x14ac:dyDescent="0.2">
      <c r="A5" s="463" t="s">
        <v>991</v>
      </c>
      <c r="B5" s="470">
        <v>120</v>
      </c>
      <c r="C5" s="465">
        <v>16144090</v>
      </c>
      <c r="D5" s="465">
        <v>0</v>
      </c>
      <c r="E5" s="465">
        <v>0</v>
      </c>
      <c r="F5" s="465">
        <v>0</v>
      </c>
      <c r="G5" s="465">
        <v>0</v>
      </c>
      <c r="H5" s="465">
        <v>0</v>
      </c>
      <c r="I5" s="465">
        <v>0</v>
      </c>
      <c r="J5" s="465">
        <v>0</v>
      </c>
      <c r="K5" s="465">
        <v>0</v>
      </c>
      <c r="L5" s="465">
        <v>0</v>
      </c>
      <c r="M5" s="468"/>
      <c r="N5" s="469"/>
    </row>
    <row r="6" spans="1:14" ht="13.5" customHeight="1" x14ac:dyDescent="0.2">
      <c r="A6" s="472" t="s">
        <v>416</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417</v>
      </c>
      <c r="B7" s="470">
        <v>140</v>
      </c>
      <c r="C7" s="465">
        <v>0</v>
      </c>
      <c r="D7" s="465">
        <v>0</v>
      </c>
      <c r="E7" s="465"/>
      <c r="F7" s="465">
        <v>0</v>
      </c>
      <c r="G7" s="465"/>
      <c r="H7" s="465"/>
      <c r="I7" s="465">
        <v>0</v>
      </c>
      <c r="J7" s="467"/>
      <c r="K7" s="465"/>
      <c r="L7" s="475"/>
      <c r="M7" s="468"/>
      <c r="N7" s="469"/>
    </row>
    <row r="8" spans="1:14" ht="13.5" customHeight="1" x14ac:dyDescent="0.2">
      <c r="A8" s="472" t="s">
        <v>268</v>
      </c>
      <c r="B8" s="470">
        <v>150</v>
      </c>
      <c r="C8" s="465">
        <v>0</v>
      </c>
      <c r="D8" s="465">
        <v>0</v>
      </c>
      <c r="E8" s="465"/>
      <c r="F8" s="465">
        <v>0</v>
      </c>
      <c r="G8" s="465">
        <v>0</v>
      </c>
      <c r="H8" s="465">
        <v>0</v>
      </c>
      <c r="I8" s="473"/>
      <c r="J8" s="473"/>
      <c r="K8" s="465"/>
      <c r="L8" s="478"/>
      <c r="M8" s="468"/>
      <c r="N8" s="469"/>
    </row>
    <row r="9" spans="1:14" ht="13.5" customHeight="1" x14ac:dyDescent="0.2">
      <c r="A9" s="472" t="s">
        <v>269</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990</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270</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418</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643</v>
      </c>
      <c r="B13" s="1706"/>
      <c r="C13" s="1734">
        <f>SUM(C4:C12)</f>
        <v>35479074</v>
      </c>
      <c r="D13" s="1734">
        <f t="shared" ref="D13:L13" si="0">SUM(D4:D12)</f>
        <v>4516318</v>
      </c>
      <c r="E13" s="1734">
        <f t="shared" si="0"/>
        <v>3631006</v>
      </c>
      <c r="F13" s="1734">
        <f t="shared" si="0"/>
        <v>6442540</v>
      </c>
      <c r="G13" s="1734">
        <f t="shared" si="0"/>
        <v>4213469</v>
      </c>
      <c r="H13" s="1734">
        <f t="shared" si="0"/>
        <v>2517112</v>
      </c>
      <c r="I13" s="1734">
        <f t="shared" si="0"/>
        <v>2130510</v>
      </c>
      <c r="J13" s="1734">
        <f t="shared" si="0"/>
        <v>2846784</v>
      </c>
      <c r="K13" s="1734">
        <f t="shared" si="0"/>
        <v>800625</v>
      </c>
      <c r="L13" s="1734">
        <f t="shared" si="0"/>
        <v>1065217</v>
      </c>
      <c r="M13" s="468"/>
      <c r="N13" s="469"/>
    </row>
    <row r="14" spans="1:14" ht="18" customHeight="1" thickTop="1" x14ac:dyDescent="0.2">
      <c r="A14" s="2229" t="s">
        <v>147</v>
      </c>
      <c r="B14" s="2230"/>
      <c r="C14" s="1560"/>
      <c r="D14" s="1561"/>
      <c r="E14" s="1561"/>
      <c r="F14" s="1561"/>
      <c r="G14" s="1561"/>
      <c r="H14" s="1561"/>
      <c r="I14" s="1561"/>
      <c r="J14" s="1561"/>
      <c r="K14" s="1561"/>
      <c r="L14" s="1561"/>
      <c r="M14" s="1562"/>
      <c r="N14" s="1563"/>
    </row>
    <row r="15" spans="1:14" s="483" customFormat="1" ht="12.75" customHeight="1" x14ac:dyDescent="0.2">
      <c r="A15" s="480" t="s">
        <v>1400</v>
      </c>
      <c r="B15" s="481">
        <v>210</v>
      </c>
      <c r="C15" s="475"/>
      <c r="D15" s="475"/>
      <c r="E15" s="475"/>
      <c r="F15" s="475"/>
      <c r="G15" s="475"/>
      <c r="H15" s="475"/>
      <c r="I15" s="475"/>
      <c r="J15" s="475"/>
      <c r="K15" s="475"/>
      <c r="L15" s="475"/>
      <c r="M15" s="476"/>
      <c r="N15" s="482"/>
    </row>
    <row r="16" spans="1:14" s="483" customFormat="1" ht="12.75" customHeight="1" x14ac:dyDescent="0.2">
      <c r="A16" s="480" t="s">
        <v>1401</v>
      </c>
      <c r="B16" s="481">
        <v>220</v>
      </c>
      <c r="C16" s="475"/>
      <c r="D16" s="475"/>
      <c r="E16" s="475"/>
      <c r="F16" s="475"/>
      <c r="G16" s="475"/>
      <c r="H16" s="475"/>
      <c r="I16" s="475"/>
      <c r="J16" s="475"/>
      <c r="K16" s="475"/>
      <c r="L16" s="475"/>
      <c r="M16" s="465">
        <v>2812408</v>
      </c>
      <c r="N16" s="482"/>
    </row>
    <row r="17" spans="1:14" s="483" customFormat="1" ht="12.75" customHeight="1" x14ac:dyDescent="0.2">
      <c r="A17" s="480" t="s">
        <v>1402</v>
      </c>
      <c r="B17" s="481">
        <v>230</v>
      </c>
      <c r="C17" s="475"/>
      <c r="D17" s="475"/>
      <c r="E17" s="475"/>
      <c r="F17" s="475"/>
      <c r="G17" s="475"/>
      <c r="H17" s="475"/>
      <c r="I17" s="475"/>
      <c r="J17" s="475"/>
      <c r="K17" s="475"/>
      <c r="L17" s="475"/>
      <c r="M17" s="465">
        <v>106743233</v>
      </c>
      <c r="N17" s="482"/>
    </row>
    <row r="18" spans="1:14" s="483" customFormat="1" ht="12.75" customHeight="1" x14ac:dyDescent="0.2">
      <c r="A18" s="480" t="s">
        <v>1403</v>
      </c>
      <c r="B18" s="481">
        <v>240</v>
      </c>
      <c r="C18" s="475"/>
      <c r="D18" s="475"/>
      <c r="E18" s="475"/>
      <c r="F18" s="475"/>
      <c r="G18" s="475"/>
      <c r="H18" s="475"/>
      <c r="I18" s="475"/>
      <c r="J18" s="475"/>
      <c r="K18" s="475"/>
      <c r="L18" s="475"/>
      <c r="M18" s="465">
        <v>11193701</v>
      </c>
      <c r="N18" s="482"/>
    </row>
    <row r="19" spans="1:14" s="483" customFormat="1" ht="12.75" customHeight="1" x14ac:dyDescent="0.2">
      <c r="A19" s="480" t="s">
        <v>1404</v>
      </c>
      <c r="B19" s="481">
        <v>250</v>
      </c>
      <c r="C19" s="475"/>
      <c r="D19" s="475"/>
      <c r="E19" s="475"/>
      <c r="F19" s="475"/>
      <c r="G19" s="475"/>
      <c r="H19" s="475"/>
      <c r="I19" s="475"/>
      <c r="J19" s="475"/>
      <c r="K19" s="475"/>
      <c r="L19" s="475"/>
      <c r="M19" s="465">
        <v>13147045</v>
      </c>
      <c r="N19" s="482"/>
    </row>
    <row r="20" spans="1:14" s="483" customFormat="1" ht="12.75" customHeight="1" x14ac:dyDescent="0.2">
      <c r="A20" s="480" t="s">
        <v>1405</v>
      </c>
      <c r="B20" s="481">
        <v>260</v>
      </c>
      <c r="C20" s="475"/>
      <c r="D20" s="475"/>
      <c r="E20" s="475"/>
      <c r="F20" s="475"/>
      <c r="G20" s="475"/>
      <c r="H20" s="475"/>
      <c r="I20" s="475"/>
      <c r="J20" s="475"/>
      <c r="K20" s="475"/>
      <c r="L20" s="475"/>
      <c r="M20" s="465">
        <v>6447679</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5">
        <v>3631006</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51272074</v>
      </c>
    </row>
    <row r="23" spans="1:14" ht="13.5" customHeight="1" thickBot="1" x14ac:dyDescent="0.25">
      <c r="A23" s="1733" t="s">
        <v>642</v>
      </c>
      <c r="B23" s="1738"/>
      <c r="C23" s="468"/>
      <c r="D23" s="468"/>
      <c r="E23" s="468"/>
      <c r="F23" s="468"/>
      <c r="G23" s="468"/>
      <c r="H23" s="468"/>
      <c r="I23" s="468"/>
      <c r="J23" s="468"/>
      <c r="K23" s="468"/>
      <c r="L23" s="468"/>
      <c r="M23" s="1685">
        <f>SUM(M15:M22)</f>
        <v>140344066</v>
      </c>
      <c r="N23" s="1685">
        <f>SUM(N21:N22)</f>
        <v>54903080</v>
      </c>
    </row>
    <row r="24" spans="1:14" ht="18" customHeight="1" thickTop="1" x14ac:dyDescent="0.2">
      <c r="A24" s="2231" t="s">
        <v>597</v>
      </c>
      <c r="B24" s="2232"/>
      <c r="C24" s="1565"/>
      <c r="D24" s="1562"/>
      <c r="E24" s="1562"/>
      <c r="F24" s="1562"/>
      <c r="G24" s="1562"/>
      <c r="H24" s="1562"/>
      <c r="I24" s="1562"/>
      <c r="J24" s="1562"/>
      <c r="K24" s="1562"/>
      <c r="L24" s="1562"/>
      <c r="M24" s="1561"/>
      <c r="N24" s="1566"/>
    </row>
    <row r="25" spans="1:14" x14ac:dyDescent="0.2">
      <c r="A25" s="472" t="s">
        <v>644</v>
      </c>
      <c r="B25" s="470">
        <v>410</v>
      </c>
      <c r="C25" s="465">
        <v>0</v>
      </c>
      <c r="D25" s="465">
        <v>0</v>
      </c>
      <c r="E25" s="465">
        <v>0</v>
      </c>
      <c r="F25" s="465">
        <v>0</v>
      </c>
      <c r="G25" s="465">
        <v>0</v>
      </c>
      <c r="H25" s="465">
        <v>0</v>
      </c>
      <c r="I25" s="468"/>
      <c r="J25" s="465">
        <v>0</v>
      </c>
      <c r="K25" s="465">
        <v>0</v>
      </c>
      <c r="L25" s="468"/>
      <c r="M25" s="468"/>
      <c r="N25" s="468"/>
    </row>
    <row r="26" spans="1:14" x14ac:dyDescent="0.2">
      <c r="A26" s="472" t="s">
        <v>645</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646</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647</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648</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649</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650</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651</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302</v>
      </c>
      <c r="B33" s="488">
        <v>493</v>
      </c>
      <c r="C33" s="465">
        <v>0</v>
      </c>
      <c r="D33" s="465">
        <v>0</v>
      </c>
      <c r="E33" s="465">
        <v>0</v>
      </c>
      <c r="F33" s="465">
        <v>0</v>
      </c>
      <c r="G33" s="465">
        <v>0</v>
      </c>
      <c r="H33" s="465">
        <v>0</v>
      </c>
      <c r="I33" s="465">
        <v>0</v>
      </c>
      <c r="J33" s="465">
        <v>0</v>
      </c>
      <c r="K33" s="465">
        <v>0</v>
      </c>
      <c r="L33" s="465">
        <v>466790</v>
      </c>
      <c r="M33" s="468"/>
      <c r="N33" s="469"/>
    </row>
    <row r="34" spans="1:14" ht="13.5" customHeight="1" thickBot="1" x14ac:dyDescent="0.25">
      <c r="A34" s="1735" t="s">
        <v>653</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466790</v>
      </c>
      <c r="M34" s="468"/>
      <c r="N34" s="478"/>
    </row>
    <row r="35" spans="1:14" ht="18" customHeight="1" thickTop="1" x14ac:dyDescent="0.2">
      <c r="A35" s="2233" t="s">
        <v>528</v>
      </c>
      <c r="B35" s="2234"/>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54903080</v>
      </c>
    </row>
    <row r="37" spans="1:14" ht="13.5" thickBot="1" x14ac:dyDescent="0.25">
      <c r="A37" s="1733" t="s">
        <v>652</v>
      </c>
      <c r="B37" s="1738"/>
      <c r="C37" s="475"/>
      <c r="D37" s="475"/>
      <c r="E37" s="475"/>
      <c r="F37" s="475"/>
      <c r="G37" s="475"/>
      <c r="H37" s="475"/>
      <c r="I37" s="475"/>
      <c r="J37" s="475"/>
      <c r="K37" s="475"/>
      <c r="L37" s="478"/>
      <c r="M37" s="468"/>
      <c r="N37" s="1685">
        <f>SUM(N36:N36)</f>
        <v>54903080</v>
      </c>
    </row>
    <row r="38" spans="1:14" s="329" customFormat="1" ht="13.5" customHeight="1" thickTop="1" x14ac:dyDescent="0.2">
      <c r="A38" s="493" t="s">
        <v>419</v>
      </c>
      <c r="B38" s="481">
        <v>714</v>
      </c>
      <c r="C38" s="465">
        <v>298981</v>
      </c>
      <c r="D38" s="465">
        <v>0</v>
      </c>
      <c r="E38" s="465">
        <v>1279976</v>
      </c>
      <c r="F38" s="465">
        <v>0</v>
      </c>
      <c r="G38" s="465">
        <v>1988386</v>
      </c>
      <c r="H38" s="465">
        <v>0</v>
      </c>
      <c r="I38" s="465">
        <v>0</v>
      </c>
      <c r="J38" s="465">
        <v>0</v>
      </c>
      <c r="K38" s="465">
        <v>0</v>
      </c>
      <c r="L38" s="465">
        <v>598427</v>
      </c>
      <c r="M38" s="494"/>
      <c r="N38" s="494"/>
    </row>
    <row r="39" spans="1:14" s="329" customFormat="1" ht="13.5" customHeight="1" x14ac:dyDescent="0.2">
      <c r="A39" s="493" t="s">
        <v>341</v>
      </c>
      <c r="B39" s="481">
        <v>730</v>
      </c>
      <c r="C39" s="465">
        <v>35180093</v>
      </c>
      <c r="D39" s="465">
        <v>4516318</v>
      </c>
      <c r="E39" s="465">
        <v>2351030</v>
      </c>
      <c r="F39" s="465">
        <v>6442540</v>
      </c>
      <c r="G39" s="465">
        <v>2225083</v>
      </c>
      <c r="H39" s="465">
        <v>2517112</v>
      </c>
      <c r="I39" s="465">
        <v>2130510</v>
      </c>
      <c r="J39" s="465">
        <v>2846784</v>
      </c>
      <c r="K39" s="465">
        <v>800625</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140344066</v>
      </c>
      <c r="N40" s="494"/>
    </row>
    <row r="41" spans="1:14" ht="13.5" customHeight="1" thickBot="1" x14ac:dyDescent="0.25">
      <c r="A41" s="1733" t="s">
        <v>654</v>
      </c>
      <c r="B41" s="1703"/>
      <c r="C41" s="1685">
        <f>(SUM(C34,C37,C38,C39))</f>
        <v>35479074</v>
      </c>
      <c r="D41" s="1685">
        <f t="shared" ref="D41:L41" si="2">SUM(D34,D37,D38:D39)</f>
        <v>4516318</v>
      </c>
      <c r="E41" s="1685">
        <f t="shared" si="2"/>
        <v>3631006</v>
      </c>
      <c r="F41" s="1685">
        <f t="shared" si="2"/>
        <v>6442540</v>
      </c>
      <c r="G41" s="1685">
        <f t="shared" si="2"/>
        <v>4213469</v>
      </c>
      <c r="H41" s="1685">
        <f t="shared" si="2"/>
        <v>2517112</v>
      </c>
      <c r="I41" s="1685">
        <f t="shared" si="2"/>
        <v>2130510</v>
      </c>
      <c r="J41" s="1685">
        <f t="shared" si="2"/>
        <v>2846784</v>
      </c>
      <c r="K41" s="1685">
        <f t="shared" si="2"/>
        <v>800625</v>
      </c>
      <c r="L41" s="1685">
        <f t="shared" si="2"/>
        <v>1065217</v>
      </c>
      <c r="M41" s="1685">
        <f>SUM(M40)</f>
        <v>140344066</v>
      </c>
      <c r="N41" s="1685">
        <f>SUM(N37)</f>
        <v>54903080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A5" sqref="A5:F5"/>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243" t="s">
        <v>1651</v>
      </c>
      <c r="B1" s="452"/>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244"/>
      <c r="B2" s="458" t="s">
        <v>377</v>
      </c>
      <c r="C2" s="459" t="s">
        <v>1154</v>
      </c>
      <c r="D2" s="459" t="s">
        <v>869</v>
      </c>
      <c r="E2" s="459" t="s">
        <v>437</v>
      </c>
      <c r="F2" s="459" t="s">
        <v>155</v>
      </c>
      <c r="G2" s="459" t="s">
        <v>988</v>
      </c>
      <c r="H2" s="459" t="s">
        <v>436</v>
      </c>
      <c r="I2" s="459" t="s">
        <v>406</v>
      </c>
      <c r="J2" s="459" t="s">
        <v>435</v>
      </c>
      <c r="K2" s="459" t="s">
        <v>157</v>
      </c>
      <c r="L2" s="499"/>
    </row>
    <row r="3" spans="1:13" s="504" customFormat="1" ht="16.7" customHeight="1" x14ac:dyDescent="0.2">
      <c r="A3" s="2255" t="s">
        <v>1174</v>
      </c>
      <c r="B3" s="2256"/>
      <c r="C3" s="1570"/>
      <c r="D3" s="1571"/>
      <c r="E3" s="1571"/>
      <c r="F3" s="1571"/>
      <c r="G3" s="1571"/>
      <c r="H3" s="1571"/>
      <c r="I3" s="1571"/>
      <c r="J3" s="1571"/>
      <c r="K3" s="1572"/>
      <c r="L3" s="503"/>
    </row>
    <row r="4" spans="1:13" ht="15.75" customHeight="1" x14ac:dyDescent="0.2">
      <c r="A4" s="1925" t="s">
        <v>1498</v>
      </c>
      <c r="B4" s="1926">
        <v>1000</v>
      </c>
      <c r="C4" s="1739">
        <f>'Revenues 9-14'!C109</f>
        <v>28099874</v>
      </c>
      <c r="D4" s="1739">
        <f>'Revenues 9-14'!D109</f>
        <v>4413383</v>
      </c>
      <c r="E4" s="1739">
        <f>'Revenues 9-14'!E109</f>
        <v>5777564</v>
      </c>
      <c r="F4" s="1739">
        <f>'Revenues 9-14'!F109</f>
        <v>1879143</v>
      </c>
      <c r="G4" s="1739">
        <f>'Revenues 9-14'!G109</f>
        <v>2122221</v>
      </c>
      <c r="H4" s="1739">
        <f>'Revenues 9-14'!H109</f>
        <v>593182</v>
      </c>
      <c r="I4" s="1739">
        <f>'Revenues 9-14'!I109</f>
        <v>464884</v>
      </c>
      <c r="J4" s="1739">
        <f>'Revenues 9-14'!J109</f>
        <v>1694786</v>
      </c>
      <c r="K4" s="1739">
        <f>'Revenues 9-14'!K109</f>
        <v>454345</v>
      </c>
      <c r="L4" s="347"/>
    </row>
    <row r="5" spans="1:13" ht="15.75" customHeight="1" x14ac:dyDescent="0.2">
      <c r="A5" s="1573" t="s">
        <v>1499</v>
      </c>
      <c r="B5" s="1574">
        <v>2000</v>
      </c>
      <c r="C5" s="1740">
        <f>'Revenues 9-14'!C114</f>
        <v>0</v>
      </c>
      <c r="D5" s="1740">
        <f>'Revenues 9-14'!D114</f>
        <v>0</v>
      </c>
      <c r="E5" s="505"/>
      <c r="F5" s="1740">
        <f>'Revenues 9-14'!F114</f>
        <v>0</v>
      </c>
      <c r="G5" s="1740">
        <f>'Revenues 9-14'!G114</f>
        <v>0</v>
      </c>
      <c r="H5" s="506" t="s">
        <v>1168</v>
      </c>
      <c r="I5" s="507" t="s">
        <v>1168</v>
      </c>
      <c r="J5" s="508" t="s">
        <v>1168</v>
      </c>
      <c r="K5" s="509" t="s">
        <v>1168</v>
      </c>
      <c r="L5" s="347"/>
    </row>
    <row r="6" spans="1:13" ht="15.75" customHeight="1" x14ac:dyDescent="0.2">
      <c r="A6" s="1573" t="s">
        <v>1500</v>
      </c>
      <c r="B6" s="1575">
        <v>3000</v>
      </c>
      <c r="C6" s="1740">
        <f>'Revenues 9-14'!C170</f>
        <v>3529161</v>
      </c>
      <c r="D6" s="1740">
        <f>'Revenues 9-14'!D170</f>
        <v>0</v>
      </c>
      <c r="E6" s="1740">
        <f>'Revenues 9-14'!E170</f>
        <v>0</v>
      </c>
      <c r="F6" s="1740">
        <f>'Revenues 9-14'!F170</f>
        <v>762581</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1501</v>
      </c>
      <c r="B7" s="1575">
        <v>4000</v>
      </c>
      <c r="C7" s="1740">
        <f>'Revenues 9-14'!C267</f>
        <v>1141741</v>
      </c>
      <c r="D7" s="1740">
        <f>'Revenues 9-14'!D267</f>
        <v>0</v>
      </c>
      <c r="E7" s="1740">
        <f>'Revenues 9-14'!E267</f>
        <v>198112</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1171</v>
      </c>
      <c r="B8" s="1706"/>
      <c r="C8" s="1685">
        <f>SUM(C4:C7)</f>
        <v>32770776</v>
      </c>
      <c r="D8" s="1685">
        <f t="shared" ref="D8:K8" si="0">SUM(D4:D7)</f>
        <v>4413383</v>
      </c>
      <c r="E8" s="1685">
        <f t="shared" si="0"/>
        <v>5975676</v>
      </c>
      <c r="F8" s="1685">
        <f t="shared" si="0"/>
        <v>2641724</v>
      </c>
      <c r="G8" s="1685">
        <f t="shared" si="0"/>
        <v>2122221</v>
      </c>
      <c r="H8" s="1685">
        <f t="shared" si="0"/>
        <v>593182</v>
      </c>
      <c r="I8" s="1685">
        <f t="shared" si="0"/>
        <v>464884</v>
      </c>
      <c r="J8" s="1685">
        <f t="shared" si="0"/>
        <v>1694786</v>
      </c>
      <c r="K8" s="1685">
        <f t="shared" si="0"/>
        <v>454345</v>
      </c>
      <c r="L8" s="347"/>
    </row>
    <row r="9" spans="1:13" ht="15.75" thickTop="1" x14ac:dyDescent="0.2">
      <c r="A9" s="511" t="s">
        <v>1652</v>
      </c>
      <c r="B9" s="512">
        <v>3998</v>
      </c>
      <c r="C9" s="465">
        <v>13913151</v>
      </c>
      <c r="D9" s="513"/>
      <c r="E9" s="479"/>
      <c r="F9" s="479"/>
      <c r="G9" s="514"/>
      <c r="H9" s="479"/>
      <c r="I9" s="506" t="s">
        <v>1168</v>
      </c>
      <c r="J9" s="476"/>
      <c r="K9" s="479"/>
      <c r="L9" s="347"/>
    </row>
    <row r="10" spans="1:13" s="516" customFormat="1" ht="13.5" thickBot="1" x14ac:dyDescent="0.25">
      <c r="A10" s="1733" t="s">
        <v>1172</v>
      </c>
      <c r="B10" s="1706"/>
      <c r="C10" s="1685">
        <f>SUM(C8:C9)</f>
        <v>46683927</v>
      </c>
      <c r="D10" s="1685">
        <f t="shared" ref="D10:K10" si="1">SUM(D8:D9)</f>
        <v>4413383</v>
      </c>
      <c r="E10" s="1685">
        <f t="shared" si="1"/>
        <v>5975676</v>
      </c>
      <c r="F10" s="1685">
        <f t="shared" si="1"/>
        <v>2641724</v>
      </c>
      <c r="G10" s="1685">
        <f t="shared" si="1"/>
        <v>2122221</v>
      </c>
      <c r="H10" s="1685">
        <f t="shared" si="1"/>
        <v>593182</v>
      </c>
      <c r="I10" s="1685">
        <f t="shared" si="1"/>
        <v>464884</v>
      </c>
      <c r="J10" s="1685">
        <f t="shared" si="1"/>
        <v>1694786</v>
      </c>
      <c r="K10" s="1685">
        <f t="shared" si="1"/>
        <v>454345</v>
      </c>
      <c r="L10" s="515"/>
    </row>
    <row r="11" spans="1:13" s="516" customFormat="1" ht="16.7" customHeight="1" thickTop="1" x14ac:dyDescent="0.2">
      <c r="A11" s="2229" t="s">
        <v>1175</v>
      </c>
      <c r="B11" s="2230"/>
      <c r="C11" s="1567"/>
      <c r="D11" s="1568"/>
      <c r="E11" s="1568"/>
      <c r="F11" s="1568"/>
      <c r="G11" s="1568"/>
      <c r="H11" s="1568"/>
      <c r="I11" s="1568"/>
      <c r="J11" s="1568"/>
      <c r="K11" s="1569"/>
      <c r="L11" s="515"/>
    </row>
    <row r="12" spans="1:13" ht="15.75" customHeight="1" x14ac:dyDescent="0.2">
      <c r="A12" s="1573" t="s">
        <v>455</v>
      </c>
      <c r="B12" s="1575">
        <v>1000</v>
      </c>
      <c r="C12" s="1739">
        <f>'Expenditures 15-22'!K33</f>
        <v>22228670</v>
      </c>
      <c r="D12" s="517" t="s">
        <v>1168</v>
      </c>
      <c r="E12" s="468" t="s">
        <v>1168</v>
      </c>
      <c r="F12" s="468" t="s">
        <v>1168</v>
      </c>
      <c r="G12" s="1739">
        <f>'Expenditures 15-22'!K229</f>
        <v>555981</v>
      </c>
      <c r="H12" s="518"/>
      <c r="I12" s="468" t="s">
        <v>1168</v>
      </c>
      <c r="J12" s="468" t="s">
        <v>1168</v>
      </c>
      <c r="K12" s="518" t="s">
        <v>1168</v>
      </c>
      <c r="L12" s="347"/>
    </row>
    <row r="13" spans="1:13" ht="15.75" customHeight="1" x14ac:dyDescent="0.2">
      <c r="A13" s="1573" t="s">
        <v>456</v>
      </c>
      <c r="B13" s="1575">
        <v>2000</v>
      </c>
      <c r="C13" s="1740">
        <f>'Expenditures 15-22'!K74</f>
        <v>8759779</v>
      </c>
      <c r="D13" s="1740">
        <f>'Expenditures 15-22'!K129</f>
        <v>3981305</v>
      </c>
      <c r="E13" s="469" t="s">
        <v>1168</v>
      </c>
      <c r="F13" s="1740">
        <f>'Expenditures 15-22'!K184</f>
        <v>2323576</v>
      </c>
      <c r="G13" s="1740">
        <f>'Expenditures 15-22'!K279</f>
        <v>756918</v>
      </c>
      <c r="H13" s="1740">
        <f>'Expenditures 15-22'!K303</f>
        <v>6117414</v>
      </c>
      <c r="I13" s="468" t="s">
        <v>1168</v>
      </c>
      <c r="J13" s="1740">
        <f>'Expenditures 15-22'!K330</f>
        <v>1007131</v>
      </c>
      <c r="K13" s="1744">
        <f>'Expenditures 15-22'!K352</f>
        <v>457697</v>
      </c>
      <c r="L13" s="347"/>
    </row>
    <row r="14" spans="1:13" ht="15.75" customHeight="1" x14ac:dyDescent="0.2">
      <c r="A14" s="1573" t="s">
        <v>448</v>
      </c>
      <c r="B14" s="1575">
        <v>3000</v>
      </c>
      <c r="C14" s="1740">
        <f>'Expenditures 15-22'!K75</f>
        <v>2084</v>
      </c>
      <c r="D14" s="1740">
        <f>'Expenditures 15-22'!K130</f>
        <v>0</v>
      </c>
      <c r="E14" s="517" t="s">
        <v>1168</v>
      </c>
      <c r="F14" s="1740">
        <f>'Expenditures 15-22'!K185</f>
        <v>0</v>
      </c>
      <c r="G14" s="1740">
        <f>'Expenditures 15-22'!K280</f>
        <v>0</v>
      </c>
      <c r="H14" s="509"/>
      <c r="I14" s="468" t="s">
        <v>1168</v>
      </c>
      <c r="J14" s="468" t="s">
        <v>1168</v>
      </c>
      <c r="K14" s="509" t="s">
        <v>1168</v>
      </c>
      <c r="L14" s="347"/>
    </row>
    <row r="15" spans="1:13" ht="15.75" customHeight="1" x14ac:dyDescent="0.2">
      <c r="A15" s="1573" t="s">
        <v>107</v>
      </c>
      <c r="B15" s="1575">
        <v>4000</v>
      </c>
      <c r="C15" s="1740">
        <f>'Expenditures 15-22'!K102</f>
        <v>1329378</v>
      </c>
      <c r="D15" s="1740">
        <f>'Expenditures 15-22'!K139</f>
        <v>0</v>
      </c>
      <c r="E15" s="1740">
        <f>'Expenditures 15-22'!K160</f>
        <v>0</v>
      </c>
      <c r="F15" s="1740">
        <f>'Expenditures 15-22'!K196</f>
        <v>0</v>
      </c>
      <c r="G15" s="1740">
        <f>'Expenditures 15-22'!K285</f>
        <v>0</v>
      </c>
      <c r="H15" s="1740">
        <f>'Expenditures 15-22'!K310</f>
        <v>0</v>
      </c>
      <c r="I15" s="468" t="s">
        <v>1168</v>
      </c>
      <c r="J15" s="1832">
        <f>'Expenditures 15-22'!K334</f>
        <v>0</v>
      </c>
      <c r="K15" s="1740">
        <f>'Expenditures 15-22'!K357</f>
        <v>0</v>
      </c>
      <c r="L15" s="347"/>
    </row>
    <row r="16" spans="1:13" ht="15.75" customHeight="1" x14ac:dyDescent="0.2">
      <c r="A16" s="1573" t="s">
        <v>449</v>
      </c>
      <c r="B16" s="1575">
        <v>5000</v>
      </c>
      <c r="C16" s="1740">
        <f>'Expenditures 15-22'!K112</f>
        <v>0</v>
      </c>
      <c r="D16" s="1740">
        <f>'Expenditures 15-22'!K149</f>
        <v>0</v>
      </c>
      <c r="E16" s="1740">
        <f>'Expenditures 15-22'!K172</f>
        <v>5977904</v>
      </c>
      <c r="F16" s="1740">
        <f>'Expenditures 15-22'!K208</f>
        <v>0</v>
      </c>
      <c r="G16" s="1740">
        <f>'Expenditures 15-22'!K293</f>
        <v>0</v>
      </c>
      <c r="H16" s="520"/>
      <c r="I16" s="468" t="s">
        <v>1168</v>
      </c>
      <c r="J16" s="1745">
        <f>'Expenditures 15-22'!K340</f>
        <v>0</v>
      </c>
      <c r="K16" s="1740">
        <f>'Expenditures 15-22'!K365</f>
        <v>0</v>
      </c>
      <c r="L16" s="347"/>
    </row>
    <row r="17" spans="1:12" ht="13.5" thickBot="1" x14ac:dyDescent="0.25">
      <c r="A17" s="1705" t="s">
        <v>48</v>
      </c>
      <c r="B17" s="1706"/>
      <c r="C17" s="1685">
        <f t="shared" ref="C17:H17" si="2">SUM(C12:C16)</f>
        <v>32319911</v>
      </c>
      <c r="D17" s="1685">
        <f t="shared" si="2"/>
        <v>3981305</v>
      </c>
      <c r="E17" s="1685">
        <f t="shared" si="2"/>
        <v>5977904</v>
      </c>
      <c r="F17" s="1685">
        <f t="shared" si="2"/>
        <v>2323576</v>
      </c>
      <c r="G17" s="1685">
        <f t="shared" si="2"/>
        <v>1312899</v>
      </c>
      <c r="H17" s="1685">
        <f t="shared" si="2"/>
        <v>6117414</v>
      </c>
      <c r="I17" s="468"/>
      <c r="J17" s="1685">
        <f>SUM(J12:J16)</f>
        <v>1007131</v>
      </c>
      <c r="K17" s="1685">
        <f>SUM(K12:K16)</f>
        <v>457697</v>
      </c>
      <c r="L17" s="347"/>
    </row>
    <row r="18" spans="1:12" ht="15" customHeight="1" thickTop="1" x14ac:dyDescent="0.2">
      <c r="A18" s="1741" t="s">
        <v>1653</v>
      </c>
      <c r="B18" s="1742">
        <v>4180</v>
      </c>
      <c r="C18" s="1739">
        <f t="shared" ref="C18:H18" si="3">C9</f>
        <v>13913151</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504</v>
      </c>
      <c r="B19" s="1706"/>
      <c r="C19" s="1685">
        <f t="shared" ref="C19:H19" si="4">SUM(C17:C18)</f>
        <v>46233062</v>
      </c>
      <c r="D19" s="1685">
        <f t="shared" si="4"/>
        <v>3981305</v>
      </c>
      <c r="E19" s="1685">
        <f t="shared" si="4"/>
        <v>5977904</v>
      </c>
      <c r="F19" s="1685">
        <f t="shared" si="4"/>
        <v>2323576</v>
      </c>
      <c r="G19" s="1685">
        <f t="shared" si="4"/>
        <v>1312899</v>
      </c>
      <c r="H19" s="1685">
        <f t="shared" si="4"/>
        <v>6117414</v>
      </c>
      <c r="I19" s="468"/>
      <c r="J19" s="1685">
        <f>SUM(J17:J18)</f>
        <v>1007131</v>
      </c>
      <c r="K19" s="1685">
        <f>SUM(K17:K18)</f>
        <v>457697</v>
      </c>
      <c r="L19" s="347"/>
    </row>
    <row r="20" spans="1:12" ht="16.5" thickTop="1" thickBot="1" x14ac:dyDescent="0.25">
      <c r="A20" s="2245" t="s">
        <v>1654</v>
      </c>
      <c r="B20" s="2246"/>
      <c r="C20" s="1743">
        <f>C8-C17</f>
        <v>450865</v>
      </c>
      <c r="D20" s="1743">
        <f t="shared" ref="D20:K20" si="5">D8-D17</f>
        <v>432078</v>
      </c>
      <c r="E20" s="1743">
        <f t="shared" si="5"/>
        <v>-2228</v>
      </c>
      <c r="F20" s="1743">
        <f t="shared" si="5"/>
        <v>318148</v>
      </c>
      <c r="G20" s="1743">
        <f t="shared" si="5"/>
        <v>809322</v>
      </c>
      <c r="H20" s="1743">
        <f t="shared" si="5"/>
        <v>-5524232</v>
      </c>
      <c r="I20" s="1743">
        <f t="shared" si="5"/>
        <v>464884</v>
      </c>
      <c r="J20" s="1743">
        <f t="shared" si="5"/>
        <v>687655</v>
      </c>
      <c r="K20" s="1743">
        <f t="shared" si="5"/>
        <v>-3352</v>
      </c>
      <c r="L20" s="347"/>
    </row>
    <row r="21" spans="1:12" ht="16.7" customHeight="1" thickTop="1" x14ac:dyDescent="0.2">
      <c r="A21" s="2257" t="s">
        <v>594</v>
      </c>
      <c r="B21" s="2258"/>
      <c r="C21" s="1567"/>
      <c r="D21" s="1568"/>
      <c r="E21" s="1568"/>
      <c r="F21" s="1568"/>
      <c r="G21" s="1568"/>
      <c r="H21" s="1568"/>
      <c r="I21" s="1568"/>
      <c r="J21" s="1568"/>
      <c r="K21" s="1569"/>
      <c r="L21" s="521"/>
    </row>
    <row r="22" spans="1:12" ht="15.75" customHeight="1" collapsed="1" x14ac:dyDescent="0.2">
      <c r="A22" s="2253" t="s">
        <v>595</v>
      </c>
      <c r="B22" s="2254"/>
      <c r="C22" s="475"/>
      <c r="D22" s="475"/>
      <c r="E22" s="475"/>
      <c r="F22" s="475"/>
      <c r="G22" s="475"/>
      <c r="H22" s="475"/>
      <c r="I22" s="475"/>
      <c r="J22" s="475"/>
      <c r="K22" s="475"/>
      <c r="L22" s="347"/>
    </row>
    <row r="23" spans="1:12" s="483" customFormat="1" ht="15.75" customHeight="1" x14ac:dyDescent="0.2">
      <c r="A23" s="2249" t="s">
        <v>292</v>
      </c>
      <c r="B23" s="2250"/>
      <c r="C23" s="478"/>
      <c r="D23" s="475"/>
      <c r="E23" s="475"/>
      <c r="F23" s="475"/>
      <c r="G23" s="475"/>
      <c r="H23" s="475"/>
      <c r="I23" s="475"/>
      <c r="J23" s="475"/>
      <c r="K23" s="475"/>
      <c r="L23" s="521"/>
    </row>
    <row r="24" spans="1:12" s="483" customFormat="1" ht="13.5" customHeight="1" x14ac:dyDescent="0.2">
      <c r="A24" s="1486" t="s">
        <v>1655</v>
      </c>
      <c r="B24" s="522">
        <v>7110</v>
      </c>
      <c r="C24" s="465">
        <v>0</v>
      </c>
      <c r="D24" s="475"/>
      <c r="E24" s="475"/>
      <c r="F24" s="475"/>
      <c r="G24" s="475"/>
      <c r="H24" s="475"/>
      <c r="I24" s="475"/>
      <c r="J24" s="475"/>
      <c r="K24" s="475"/>
      <c r="L24" s="521"/>
    </row>
    <row r="25" spans="1:12" s="483" customFormat="1" ht="13.5" customHeight="1" x14ac:dyDescent="0.2">
      <c r="A25" s="1486" t="s">
        <v>1656</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1397</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293</v>
      </c>
      <c r="B29" s="481">
        <v>7150</v>
      </c>
      <c r="C29" s="474"/>
      <c r="D29" s="467">
        <v>0</v>
      </c>
      <c r="E29" s="474"/>
      <c r="F29" s="474"/>
      <c r="G29" s="474"/>
      <c r="H29" s="474"/>
      <c r="I29" s="474"/>
      <c r="J29" s="474"/>
      <c r="K29" s="474"/>
      <c r="L29" s="521"/>
    </row>
    <row r="30" spans="1:12" s="483" customFormat="1" ht="26.25" x14ac:dyDescent="0.2">
      <c r="A30" s="1486" t="s">
        <v>1790</v>
      </c>
      <c r="B30" s="524">
        <v>7160</v>
      </c>
      <c r="C30" s="475"/>
      <c r="D30" s="467">
        <v>0</v>
      </c>
      <c r="E30" s="475"/>
      <c r="F30" s="475"/>
      <c r="G30" s="475"/>
      <c r="H30" s="475"/>
      <c r="I30" s="475"/>
      <c r="J30" s="475"/>
      <c r="K30" s="475"/>
      <c r="L30" s="521"/>
    </row>
    <row r="31" spans="1:12" s="483" customFormat="1" ht="26.25" x14ac:dyDescent="0.2">
      <c r="A31" s="1486" t="s">
        <v>1794</v>
      </c>
      <c r="B31" s="524">
        <v>7170</v>
      </c>
      <c r="C31" s="475"/>
      <c r="D31" s="475"/>
      <c r="E31" s="473">
        <v>0</v>
      </c>
      <c r="F31" s="475"/>
      <c r="G31" s="475"/>
      <c r="H31" s="475"/>
      <c r="I31" s="475"/>
      <c r="J31" s="475"/>
      <c r="K31" s="475"/>
      <c r="L31" s="521"/>
    </row>
    <row r="32" spans="1:12" s="483" customFormat="1" ht="15.75" customHeight="1" x14ac:dyDescent="0.2">
      <c r="A32" s="2251" t="s">
        <v>980</v>
      </c>
      <c r="B32" s="2252"/>
      <c r="C32" s="475"/>
      <c r="D32" s="475"/>
      <c r="E32" s="474"/>
      <c r="F32" s="475"/>
      <c r="G32" s="475"/>
      <c r="H32" s="475"/>
      <c r="I32" s="475"/>
      <c r="J32" s="475"/>
      <c r="K32" s="475"/>
      <c r="L32" s="521"/>
    </row>
    <row r="33" spans="1:12" s="483" customFormat="1" x14ac:dyDescent="0.2">
      <c r="A33" s="1486" t="s">
        <v>411</v>
      </c>
      <c r="B33" s="522">
        <v>7210</v>
      </c>
      <c r="C33" s="465">
        <v>0</v>
      </c>
      <c r="D33" s="467">
        <v>0</v>
      </c>
      <c r="E33" s="467">
        <v>0</v>
      </c>
      <c r="F33" s="467">
        <v>0</v>
      </c>
      <c r="G33" s="475"/>
      <c r="H33" s="467">
        <v>0</v>
      </c>
      <c r="I33" s="467">
        <v>0</v>
      </c>
      <c r="J33" s="467">
        <v>0</v>
      </c>
      <c r="K33" s="467">
        <v>0</v>
      </c>
      <c r="L33" s="521"/>
    </row>
    <row r="34" spans="1:12" s="483" customFormat="1" x14ac:dyDescent="0.2">
      <c r="A34" s="1486" t="s">
        <v>1000</v>
      </c>
      <c r="B34" s="522">
        <v>7220</v>
      </c>
      <c r="C34" s="465">
        <v>0</v>
      </c>
      <c r="D34" s="467">
        <v>0</v>
      </c>
      <c r="E34" s="467">
        <v>0</v>
      </c>
      <c r="F34" s="467">
        <v>0</v>
      </c>
      <c r="G34" s="475"/>
      <c r="H34" s="476">
        <v>0</v>
      </c>
      <c r="I34" s="476">
        <v>0</v>
      </c>
      <c r="J34" s="476">
        <v>0</v>
      </c>
      <c r="K34" s="476">
        <v>0</v>
      </c>
      <c r="L34" s="521"/>
    </row>
    <row r="35" spans="1:12" s="483" customFormat="1" x14ac:dyDescent="0.2">
      <c r="A35" s="1486" t="s">
        <v>989</v>
      </c>
      <c r="B35" s="522">
        <v>7230</v>
      </c>
      <c r="C35" s="465">
        <v>0</v>
      </c>
      <c r="D35" s="467">
        <v>0</v>
      </c>
      <c r="E35" s="467">
        <v>0</v>
      </c>
      <c r="F35" s="467">
        <v>0</v>
      </c>
      <c r="G35" s="478"/>
      <c r="H35" s="467">
        <v>0</v>
      </c>
      <c r="I35" s="467">
        <v>0</v>
      </c>
      <c r="J35" s="467">
        <v>0</v>
      </c>
      <c r="K35" s="467">
        <v>0</v>
      </c>
      <c r="L35" s="521"/>
    </row>
    <row r="36" spans="1:12" s="483" customFormat="1" ht="15" x14ac:dyDescent="0.2">
      <c r="A36" s="1486" t="s">
        <v>1657</v>
      </c>
      <c r="B36" s="522">
        <v>7300</v>
      </c>
      <c r="C36" s="465">
        <v>0</v>
      </c>
      <c r="D36" s="467">
        <v>0</v>
      </c>
      <c r="E36" s="467">
        <v>0</v>
      </c>
      <c r="F36" s="467">
        <v>0</v>
      </c>
      <c r="G36" s="467">
        <v>0</v>
      </c>
      <c r="H36" s="467">
        <v>0</v>
      </c>
      <c r="I36" s="474"/>
      <c r="J36" s="467">
        <v>0</v>
      </c>
      <c r="K36" s="467">
        <v>0</v>
      </c>
      <c r="L36" s="521"/>
    </row>
    <row r="37" spans="1:12" s="483" customFormat="1" x14ac:dyDescent="0.2">
      <c r="A37" s="1486" t="s">
        <v>440</v>
      </c>
      <c r="B37" s="522">
        <v>7400</v>
      </c>
      <c r="C37" s="474"/>
      <c r="D37" s="474"/>
      <c r="E37" s="1740">
        <f>SUM(C54:D57,H54:H57)</f>
        <v>0</v>
      </c>
      <c r="F37" s="474"/>
      <c r="G37" s="474"/>
      <c r="H37" s="474"/>
      <c r="I37" s="475"/>
      <c r="J37" s="474"/>
      <c r="K37" s="474"/>
      <c r="L37" s="521"/>
    </row>
    <row r="38" spans="1:12" s="483" customFormat="1" x14ac:dyDescent="0.2">
      <c r="A38" s="1486" t="s">
        <v>441</v>
      </c>
      <c r="B38" s="522">
        <v>7500</v>
      </c>
      <c r="C38" s="475"/>
      <c r="D38" s="475"/>
      <c r="E38" s="1740">
        <f>SUM(C58:D61,H58:H61)</f>
        <v>0</v>
      </c>
      <c r="F38" s="475"/>
      <c r="G38" s="475"/>
      <c r="H38" s="475"/>
      <c r="I38" s="475"/>
      <c r="J38" s="475"/>
      <c r="K38" s="475"/>
      <c r="L38" s="521"/>
    </row>
    <row r="39" spans="1:12" s="483" customFormat="1" x14ac:dyDescent="0.2">
      <c r="A39" s="1486" t="s">
        <v>442</v>
      </c>
      <c r="B39" s="522">
        <v>7600</v>
      </c>
      <c r="C39" s="475"/>
      <c r="D39" s="475"/>
      <c r="E39" s="1740">
        <f>SUM(C62:D65)</f>
        <v>0</v>
      </c>
      <c r="F39" s="475"/>
      <c r="G39" s="475"/>
      <c r="H39" s="475"/>
      <c r="I39" s="475"/>
      <c r="J39" s="475"/>
      <c r="K39" s="475"/>
      <c r="L39" s="521"/>
    </row>
    <row r="40" spans="1:12" s="483" customFormat="1" ht="13.5" customHeight="1" x14ac:dyDescent="0.2">
      <c r="A40" s="1486" t="s">
        <v>641</v>
      </c>
      <c r="B40" s="481">
        <v>7700</v>
      </c>
      <c r="C40" s="475"/>
      <c r="D40" s="475"/>
      <c r="E40" s="1740">
        <f>SUM(C66:D69)</f>
        <v>0</v>
      </c>
      <c r="F40" s="475"/>
      <c r="G40" s="475"/>
      <c r="H40" s="478"/>
      <c r="I40" s="475"/>
      <c r="J40" s="475"/>
      <c r="K40" s="475"/>
      <c r="L40" s="521"/>
    </row>
    <row r="41" spans="1:12" s="483" customFormat="1" ht="13.5" customHeight="1" x14ac:dyDescent="0.2">
      <c r="A41" s="1486" t="s">
        <v>639</v>
      </c>
      <c r="B41" s="481">
        <v>7800</v>
      </c>
      <c r="C41" s="478"/>
      <c r="D41" s="478"/>
      <c r="E41" s="523"/>
      <c r="F41" s="478"/>
      <c r="G41" s="478"/>
      <c r="H41" s="1740">
        <f>SUM(C70:D73)</f>
        <v>0</v>
      </c>
      <c r="I41" s="475"/>
      <c r="J41" s="475"/>
      <c r="K41" s="478"/>
      <c r="L41" s="521"/>
    </row>
    <row r="42" spans="1:12" s="483" customFormat="1" ht="13.5" customHeight="1" x14ac:dyDescent="0.2">
      <c r="A42" s="1486" t="s">
        <v>640</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372</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259" t="s">
        <v>373</v>
      </c>
      <c r="B44" s="2260"/>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253" t="s">
        <v>108</v>
      </c>
      <c r="B45" s="2254"/>
      <c r="C45" s="525"/>
      <c r="D45" s="525"/>
      <c r="E45" s="525"/>
      <c r="F45" s="525"/>
      <c r="G45" s="525"/>
      <c r="H45" s="525"/>
      <c r="I45" s="525"/>
      <c r="J45" s="525"/>
      <c r="K45" s="525"/>
      <c r="L45" s="347"/>
    </row>
    <row r="46" spans="1:12" s="483" customFormat="1" ht="15.75" customHeight="1" x14ac:dyDescent="0.2">
      <c r="A46" s="2261" t="s">
        <v>109</v>
      </c>
      <c r="B46" s="2262"/>
      <c r="C46" s="475"/>
      <c r="D46" s="475"/>
      <c r="E46" s="475"/>
      <c r="F46" s="475"/>
      <c r="G46" s="475"/>
      <c r="H46" s="475"/>
      <c r="I46" s="478"/>
      <c r="J46" s="475"/>
      <c r="K46" s="475"/>
      <c r="L46" s="526"/>
    </row>
    <row r="47" spans="1:12" s="483" customFormat="1" ht="15" x14ac:dyDescent="0.2">
      <c r="A47" s="1487" t="s">
        <v>1658</v>
      </c>
      <c r="B47" s="481">
        <v>8110</v>
      </c>
      <c r="C47" s="475"/>
      <c r="D47" s="475"/>
      <c r="E47" s="475"/>
      <c r="F47" s="475"/>
      <c r="G47" s="475"/>
      <c r="H47" s="475"/>
      <c r="I47" s="1740">
        <f>SUM(C24,C25:H25,J25:K25)</f>
        <v>0</v>
      </c>
      <c r="J47" s="475"/>
      <c r="K47" s="475"/>
      <c r="L47" s="526"/>
    </row>
    <row r="48" spans="1:12" s="483" customFormat="1" ht="15" x14ac:dyDescent="0.2">
      <c r="A48" s="1487" t="s">
        <v>1659</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1397</v>
      </c>
      <c r="B50" s="481">
        <v>8140</v>
      </c>
      <c r="C50" s="467">
        <v>0</v>
      </c>
      <c r="D50" s="467">
        <v>0</v>
      </c>
      <c r="E50" s="467">
        <v>0</v>
      </c>
      <c r="F50" s="467">
        <v>0</v>
      </c>
      <c r="G50" s="467">
        <v>0</v>
      </c>
      <c r="H50" s="467">
        <v>0</v>
      </c>
      <c r="I50" s="475"/>
      <c r="J50" s="467">
        <v>0</v>
      </c>
      <c r="K50" s="475"/>
      <c r="L50" s="521"/>
    </row>
    <row r="51" spans="1:12" s="483" customFormat="1" x14ac:dyDescent="0.2">
      <c r="A51" s="1487" t="s">
        <v>293</v>
      </c>
      <c r="B51" s="481">
        <v>8150</v>
      </c>
      <c r="C51" s="474"/>
      <c r="D51" s="474"/>
      <c r="E51" s="474"/>
      <c r="F51" s="474"/>
      <c r="G51" s="474"/>
      <c r="H51" s="1740">
        <f>SUM(D29)</f>
        <v>0</v>
      </c>
      <c r="I51" s="475"/>
      <c r="J51" s="474"/>
      <c r="K51" s="478"/>
      <c r="L51" s="521"/>
    </row>
    <row r="52" spans="1:12" s="483" customFormat="1" ht="26.25" x14ac:dyDescent="0.2">
      <c r="A52" s="1487" t="s">
        <v>1793</v>
      </c>
      <c r="B52" s="481">
        <v>8160</v>
      </c>
      <c r="C52" s="475"/>
      <c r="D52" s="475"/>
      <c r="E52" s="475"/>
      <c r="F52" s="475"/>
      <c r="G52" s="475"/>
      <c r="H52" s="475"/>
      <c r="I52" s="475"/>
      <c r="J52" s="475"/>
      <c r="K52" s="1740">
        <f>D30</f>
        <v>0</v>
      </c>
      <c r="L52" s="521"/>
    </row>
    <row r="53" spans="1:12" s="483" customFormat="1" ht="26.25" x14ac:dyDescent="0.2">
      <c r="A53" s="1487" t="s">
        <v>1792</v>
      </c>
      <c r="B53" s="481">
        <v>8170</v>
      </c>
      <c r="C53" s="478"/>
      <c r="D53" s="478"/>
      <c r="E53" s="475"/>
      <c r="F53" s="475"/>
      <c r="G53" s="475"/>
      <c r="H53" s="478"/>
      <c r="I53" s="475"/>
      <c r="J53" s="475"/>
      <c r="K53" s="1740">
        <f>E31</f>
        <v>0</v>
      </c>
      <c r="L53" s="521"/>
    </row>
    <row r="54" spans="1:12" s="483" customFormat="1" ht="13.5" thickBot="1" x14ac:dyDescent="0.25">
      <c r="A54" s="1487" t="s">
        <v>691</v>
      </c>
      <c r="B54" s="481">
        <v>8410</v>
      </c>
      <c r="C54" s="527">
        <v>0</v>
      </c>
      <c r="D54" s="527">
        <v>0</v>
      </c>
      <c r="E54" s="475"/>
      <c r="F54" s="475"/>
      <c r="G54" s="475"/>
      <c r="H54" s="527">
        <v>0</v>
      </c>
      <c r="I54" s="475"/>
      <c r="J54" s="475"/>
      <c r="K54" s="474"/>
      <c r="L54" s="521"/>
    </row>
    <row r="55" spans="1:12" s="483" customFormat="1" ht="14.25" thickTop="1" thickBot="1" x14ac:dyDescent="0.25">
      <c r="A55" s="1488" t="s">
        <v>692</v>
      </c>
      <c r="B55" s="481">
        <v>8420</v>
      </c>
      <c r="C55" s="528">
        <v>0</v>
      </c>
      <c r="D55" s="528">
        <v>0</v>
      </c>
      <c r="E55" s="475"/>
      <c r="F55" s="475"/>
      <c r="G55" s="475"/>
      <c r="H55" s="527">
        <v>0</v>
      </c>
      <c r="I55" s="475"/>
      <c r="J55" s="475"/>
      <c r="K55" s="475"/>
      <c r="L55" s="521"/>
    </row>
    <row r="56" spans="1:12" s="483" customFormat="1" ht="14.25" thickTop="1" thickBot="1" x14ac:dyDescent="0.25">
      <c r="A56" s="1487" t="s">
        <v>580</v>
      </c>
      <c r="B56" s="481">
        <v>8430</v>
      </c>
      <c r="C56" s="528">
        <v>0</v>
      </c>
      <c r="D56" s="528">
        <v>0</v>
      </c>
      <c r="E56" s="475"/>
      <c r="F56" s="475"/>
      <c r="G56" s="475"/>
      <c r="H56" s="527">
        <v>0</v>
      </c>
      <c r="I56" s="475"/>
      <c r="J56" s="475"/>
      <c r="K56" s="475"/>
      <c r="L56" s="521"/>
    </row>
    <row r="57" spans="1:12" s="483" customFormat="1" ht="14.25" thickTop="1" thickBot="1" x14ac:dyDescent="0.25">
      <c r="A57" s="1488" t="s">
        <v>577</v>
      </c>
      <c r="B57" s="481">
        <v>8440</v>
      </c>
      <c r="C57" s="528">
        <v>0</v>
      </c>
      <c r="D57" s="528">
        <v>0</v>
      </c>
      <c r="E57" s="475"/>
      <c r="F57" s="475"/>
      <c r="G57" s="475"/>
      <c r="H57" s="527">
        <v>0</v>
      </c>
      <c r="I57" s="475"/>
      <c r="J57" s="475"/>
      <c r="K57" s="475"/>
      <c r="L57" s="521"/>
    </row>
    <row r="58" spans="1:12" s="483" customFormat="1" ht="14.25" thickTop="1" thickBot="1" x14ac:dyDescent="0.25">
      <c r="A58" s="1487" t="s">
        <v>578</v>
      </c>
      <c r="B58" s="481">
        <v>8510</v>
      </c>
      <c r="C58" s="528">
        <v>0</v>
      </c>
      <c r="D58" s="528">
        <v>0</v>
      </c>
      <c r="E58" s="475"/>
      <c r="F58" s="475"/>
      <c r="G58" s="475"/>
      <c r="H58" s="527">
        <v>0</v>
      </c>
      <c r="I58" s="475"/>
      <c r="J58" s="475"/>
      <c r="K58" s="475"/>
      <c r="L58" s="521"/>
    </row>
    <row r="59" spans="1:12" s="483" customFormat="1" ht="14.25" thickTop="1" thickBot="1" x14ac:dyDescent="0.25">
      <c r="A59" s="1489" t="s">
        <v>693</v>
      </c>
      <c r="B59" s="481">
        <v>8520</v>
      </c>
      <c r="C59" s="528">
        <v>0</v>
      </c>
      <c r="D59" s="528">
        <v>0</v>
      </c>
      <c r="E59" s="475"/>
      <c r="F59" s="475"/>
      <c r="G59" s="475"/>
      <c r="H59" s="527">
        <v>0</v>
      </c>
      <c r="I59" s="475"/>
      <c r="J59" s="475"/>
      <c r="K59" s="475"/>
      <c r="L59" s="521"/>
    </row>
    <row r="60" spans="1:12" s="483" customFormat="1" ht="14.25" thickTop="1" thickBot="1" x14ac:dyDescent="0.25">
      <c r="A60" s="1487" t="s">
        <v>579</v>
      </c>
      <c r="B60" s="481">
        <v>8530</v>
      </c>
      <c r="C60" s="528">
        <v>0</v>
      </c>
      <c r="D60" s="528">
        <v>0</v>
      </c>
      <c r="E60" s="475"/>
      <c r="F60" s="475"/>
      <c r="G60" s="475"/>
      <c r="H60" s="527">
        <v>0</v>
      </c>
      <c r="I60" s="475"/>
      <c r="J60" s="475"/>
      <c r="K60" s="475"/>
      <c r="L60" s="521"/>
    </row>
    <row r="61" spans="1:12" s="483" customFormat="1" ht="14.25" thickTop="1" thickBot="1" x14ac:dyDescent="0.25">
      <c r="A61" s="1488" t="s">
        <v>742</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743</v>
      </c>
      <c r="B62" s="481">
        <v>8610</v>
      </c>
      <c r="C62" s="528">
        <v>0</v>
      </c>
      <c r="D62" s="528">
        <v>0</v>
      </c>
      <c r="E62" s="475"/>
      <c r="F62" s="475"/>
      <c r="G62" s="475"/>
      <c r="H62" s="475"/>
      <c r="I62" s="475"/>
      <c r="J62" s="475"/>
      <c r="K62" s="475"/>
      <c r="L62" s="521"/>
    </row>
    <row r="63" spans="1:12" s="483" customFormat="1" ht="14.25" thickTop="1" thickBot="1" x14ac:dyDescent="0.25">
      <c r="A63" s="1488" t="s">
        <v>694</v>
      </c>
      <c r="B63" s="481">
        <v>8620</v>
      </c>
      <c r="C63" s="528">
        <v>0</v>
      </c>
      <c r="D63" s="528">
        <v>0</v>
      </c>
      <c r="E63" s="475"/>
      <c r="F63" s="475"/>
      <c r="G63" s="475"/>
      <c r="H63" s="475"/>
      <c r="I63" s="475"/>
      <c r="J63" s="475"/>
      <c r="K63" s="475"/>
      <c r="L63" s="521"/>
    </row>
    <row r="64" spans="1:12" s="483" customFormat="1" ht="13.5" customHeight="1" thickTop="1" thickBot="1" x14ac:dyDescent="0.25">
      <c r="A64" s="1487" t="s">
        <v>744</v>
      </c>
      <c r="B64" s="481">
        <v>8630</v>
      </c>
      <c r="C64" s="528">
        <v>0</v>
      </c>
      <c r="D64" s="528">
        <v>0</v>
      </c>
      <c r="E64" s="475"/>
      <c r="F64" s="475"/>
      <c r="G64" s="475"/>
      <c r="H64" s="475"/>
      <c r="I64" s="475"/>
      <c r="J64" s="475"/>
      <c r="K64" s="475"/>
      <c r="L64" s="521"/>
    </row>
    <row r="65" spans="1:12" s="483" customFormat="1" ht="14.25" thickTop="1" thickBot="1" x14ac:dyDescent="0.25">
      <c r="A65" s="1488" t="s">
        <v>745</v>
      </c>
      <c r="B65" s="481">
        <v>8640</v>
      </c>
      <c r="C65" s="528">
        <v>0</v>
      </c>
      <c r="D65" s="528">
        <v>0</v>
      </c>
      <c r="E65" s="475"/>
      <c r="F65" s="475"/>
      <c r="G65" s="475"/>
      <c r="H65" s="475"/>
      <c r="I65" s="475"/>
      <c r="J65" s="475"/>
      <c r="K65" s="475"/>
      <c r="L65" s="521"/>
    </row>
    <row r="66" spans="1:12" s="483" customFormat="1" ht="14.25" thickTop="1" thickBot="1" x14ac:dyDescent="0.25">
      <c r="A66" s="1487" t="s">
        <v>746</v>
      </c>
      <c r="B66" s="481">
        <v>8710</v>
      </c>
      <c r="C66" s="528">
        <v>0</v>
      </c>
      <c r="D66" s="528">
        <v>0</v>
      </c>
      <c r="E66" s="475"/>
      <c r="F66" s="475"/>
      <c r="G66" s="475"/>
      <c r="H66" s="475"/>
      <c r="I66" s="475"/>
      <c r="J66" s="475"/>
      <c r="K66" s="475"/>
      <c r="L66" s="521"/>
    </row>
    <row r="67" spans="1:12" s="483" customFormat="1" ht="14.25" thickTop="1" thickBot="1" x14ac:dyDescent="0.25">
      <c r="A67" s="1488" t="s">
        <v>695</v>
      </c>
      <c r="B67" s="481">
        <v>8720</v>
      </c>
      <c r="C67" s="528">
        <v>0</v>
      </c>
      <c r="D67" s="528">
        <v>0</v>
      </c>
      <c r="E67" s="475"/>
      <c r="F67" s="475"/>
      <c r="G67" s="475"/>
      <c r="H67" s="475"/>
      <c r="I67" s="475"/>
      <c r="J67" s="475"/>
      <c r="K67" s="475"/>
      <c r="L67" s="521"/>
    </row>
    <row r="68" spans="1:12" s="483" customFormat="1" ht="14.25" thickTop="1" thickBot="1" x14ac:dyDescent="0.25">
      <c r="A68" s="1489" t="s">
        <v>747</v>
      </c>
      <c r="B68" s="481">
        <v>8730</v>
      </c>
      <c r="C68" s="528">
        <v>0</v>
      </c>
      <c r="D68" s="528">
        <v>0</v>
      </c>
      <c r="E68" s="475"/>
      <c r="F68" s="475"/>
      <c r="G68" s="475"/>
      <c r="H68" s="475"/>
      <c r="I68" s="475"/>
      <c r="J68" s="475"/>
      <c r="K68" s="475"/>
      <c r="L68" s="521"/>
    </row>
    <row r="69" spans="1:12" s="483" customFormat="1" ht="14.25" thickTop="1" thickBot="1" x14ac:dyDescent="0.25">
      <c r="A69" s="1488" t="s">
        <v>748</v>
      </c>
      <c r="B69" s="481">
        <v>8740</v>
      </c>
      <c r="C69" s="528">
        <v>0</v>
      </c>
      <c r="D69" s="528">
        <v>0</v>
      </c>
      <c r="E69" s="475"/>
      <c r="F69" s="475"/>
      <c r="G69" s="475"/>
      <c r="H69" s="475"/>
      <c r="I69" s="475"/>
      <c r="J69" s="475"/>
      <c r="K69" s="475"/>
      <c r="L69" s="521"/>
    </row>
    <row r="70" spans="1:12" s="483" customFormat="1" ht="14.25" thickTop="1" thickBot="1" x14ac:dyDescent="0.25">
      <c r="A70" s="1487" t="s">
        <v>749</v>
      </c>
      <c r="B70" s="481">
        <v>8810</v>
      </c>
      <c r="C70" s="528">
        <v>0</v>
      </c>
      <c r="D70" s="528">
        <v>0</v>
      </c>
      <c r="E70" s="475"/>
      <c r="F70" s="475"/>
      <c r="G70" s="475"/>
      <c r="H70" s="475"/>
      <c r="I70" s="475"/>
      <c r="J70" s="475"/>
      <c r="K70" s="475"/>
      <c r="L70" s="521"/>
    </row>
    <row r="71" spans="1:12" s="483" customFormat="1" ht="14.25" thickTop="1" thickBot="1" x14ac:dyDescent="0.25">
      <c r="A71" s="1487" t="s">
        <v>753</v>
      </c>
      <c r="B71" s="481">
        <v>8820</v>
      </c>
      <c r="C71" s="528">
        <v>0</v>
      </c>
      <c r="D71" s="528">
        <v>0</v>
      </c>
      <c r="E71" s="475"/>
      <c r="F71" s="475"/>
      <c r="G71" s="475"/>
      <c r="H71" s="475"/>
      <c r="I71" s="475"/>
      <c r="J71" s="475"/>
      <c r="K71" s="475"/>
      <c r="L71" s="521"/>
    </row>
    <row r="72" spans="1:12" s="483" customFormat="1" ht="14.25" thickTop="1" thickBot="1" x14ac:dyDescent="0.25">
      <c r="A72" s="1487" t="s">
        <v>750</v>
      </c>
      <c r="B72" s="481">
        <v>8830</v>
      </c>
      <c r="C72" s="528">
        <v>0</v>
      </c>
      <c r="D72" s="528">
        <v>0</v>
      </c>
      <c r="E72" s="475"/>
      <c r="F72" s="475"/>
      <c r="G72" s="475"/>
      <c r="H72" s="475"/>
      <c r="I72" s="475"/>
      <c r="J72" s="475"/>
      <c r="K72" s="475"/>
      <c r="L72" s="521"/>
    </row>
    <row r="73" spans="1:12" s="483" customFormat="1" ht="14.25" thickTop="1" thickBot="1" x14ac:dyDescent="0.25">
      <c r="A73" s="1487" t="s">
        <v>751</v>
      </c>
      <c r="B73" s="481">
        <v>8840</v>
      </c>
      <c r="C73" s="528">
        <v>0</v>
      </c>
      <c r="D73" s="528">
        <v>0</v>
      </c>
      <c r="E73" s="475"/>
      <c r="F73" s="475"/>
      <c r="G73" s="475"/>
      <c r="H73" s="475"/>
      <c r="I73" s="475"/>
      <c r="J73" s="475"/>
      <c r="K73" s="478"/>
      <c r="L73" s="521"/>
    </row>
    <row r="74" spans="1:12" s="483" customFormat="1" ht="14.25" thickTop="1" thickBot="1" x14ac:dyDescent="0.25">
      <c r="A74" s="1487" t="s">
        <v>374</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438</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235" t="s">
        <v>439</v>
      </c>
      <c r="B76" s="2236"/>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237" t="s">
        <v>1176</v>
      </c>
      <c r="B77" s="2238"/>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241" t="s">
        <v>596</v>
      </c>
      <c r="B78" s="2242"/>
      <c r="C78" s="1699">
        <f t="shared" ref="C78:K78" si="9">C20+C77</f>
        <v>450865</v>
      </c>
      <c r="D78" s="1699">
        <f t="shared" si="9"/>
        <v>432078</v>
      </c>
      <c r="E78" s="1699">
        <f t="shared" si="9"/>
        <v>-2228</v>
      </c>
      <c r="F78" s="1699">
        <f t="shared" si="9"/>
        <v>318148</v>
      </c>
      <c r="G78" s="1699">
        <f t="shared" si="9"/>
        <v>809322</v>
      </c>
      <c r="H78" s="1699">
        <f t="shared" si="9"/>
        <v>-5524232</v>
      </c>
      <c r="I78" s="1699">
        <f t="shared" si="9"/>
        <v>464884</v>
      </c>
      <c r="J78" s="1699">
        <f t="shared" si="9"/>
        <v>687655</v>
      </c>
      <c r="K78" s="1699">
        <f t="shared" si="9"/>
        <v>-3352</v>
      </c>
      <c r="L78" s="530"/>
    </row>
    <row r="79" spans="1:12" ht="13.5" thickTop="1" x14ac:dyDescent="0.2">
      <c r="A79" s="1491" t="s">
        <v>1945</v>
      </c>
      <c r="B79" s="531"/>
      <c r="C79" s="476">
        <v>35028209</v>
      </c>
      <c r="D79" s="476">
        <v>4084240</v>
      </c>
      <c r="E79" s="476">
        <v>3633234</v>
      </c>
      <c r="F79" s="476">
        <v>6124392</v>
      </c>
      <c r="G79" s="476">
        <v>3404147</v>
      </c>
      <c r="H79" s="476">
        <v>8041344</v>
      </c>
      <c r="I79" s="476">
        <v>1665626</v>
      </c>
      <c r="J79" s="476">
        <v>2159129</v>
      </c>
      <c r="K79" s="476">
        <v>803977</v>
      </c>
      <c r="L79" s="347"/>
    </row>
    <row r="80" spans="1:12" x14ac:dyDescent="0.2">
      <c r="A80" s="2247" t="s">
        <v>1791</v>
      </c>
      <c r="B80" s="2248"/>
      <c r="C80" s="467">
        <v>0</v>
      </c>
      <c r="D80" s="467">
        <v>0</v>
      </c>
      <c r="E80" s="467">
        <v>0</v>
      </c>
      <c r="F80" s="467">
        <v>0</v>
      </c>
      <c r="G80" s="467">
        <v>0</v>
      </c>
      <c r="H80" s="467">
        <v>0</v>
      </c>
      <c r="I80" s="467">
        <v>0</v>
      </c>
      <c r="J80" s="467">
        <v>0</v>
      </c>
      <c r="K80" s="467">
        <v>0</v>
      </c>
      <c r="L80" s="347"/>
    </row>
    <row r="81" spans="1:12" ht="13.5" thickBot="1" x14ac:dyDescent="0.25">
      <c r="A81" s="2239" t="s">
        <v>1946</v>
      </c>
      <c r="B81" s="2240"/>
      <c r="C81" s="1685">
        <f>(SUM(C78:C80))</f>
        <v>35479074</v>
      </c>
      <c r="D81" s="1685">
        <f>SUM(D78:D80)</f>
        <v>4516318</v>
      </c>
      <c r="E81" s="1685">
        <f t="shared" ref="E81:K81" si="10">SUM(E78:E80)</f>
        <v>3631006</v>
      </c>
      <c r="F81" s="1685">
        <f t="shared" si="10"/>
        <v>6442540</v>
      </c>
      <c r="G81" s="1685">
        <f t="shared" si="10"/>
        <v>4213469</v>
      </c>
      <c r="H81" s="1685">
        <f t="shared" si="10"/>
        <v>2517112</v>
      </c>
      <c r="I81" s="1685">
        <f t="shared" si="10"/>
        <v>2130510</v>
      </c>
      <c r="J81" s="1685">
        <f t="shared" si="10"/>
        <v>2846784</v>
      </c>
      <c r="K81" s="1685">
        <f t="shared" si="10"/>
        <v>800625</v>
      </c>
      <c r="L81" s="347"/>
    </row>
    <row r="82" spans="1:12" ht="0.75" customHeight="1" thickTop="1" thickBot="1" x14ac:dyDescent="0.25">
      <c r="A82" s="533" t="s">
        <v>342</v>
      </c>
      <c r="B82" s="534"/>
      <c r="C82" s="535">
        <f>(C81-C79)</f>
        <v>450865</v>
      </c>
      <c r="D82" s="535">
        <f t="shared" ref="D82:K82" si="11">(D81-D79)</f>
        <v>432078</v>
      </c>
      <c r="E82" s="535">
        <f t="shared" si="11"/>
        <v>-2228</v>
      </c>
      <c r="F82" s="535">
        <f t="shared" si="11"/>
        <v>318148</v>
      </c>
      <c r="G82" s="535">
        <f t="shared" si="11"/>
        <v>809322</v>
      </c>
      <c r="H82" s="535">
        <f t="shared" si="11"/>
        <v>-5524232</v>
      </c>
      <c r="I82" s="535">
        <f t="shared" si="11"/>
        <v>464884</v>
      </c>
      <c r="J82" s="535">
        <f t="shared" si="11"/>
        <v>687655</v>
      </c>
      <c r="K82" s="535">
        <f t="shared" si="11"/>
        <v>-3352</v>
      </c>
    </row>
    <row r="83" spans="1:12" ht="14.25" hidden="1" thickTop="1" thickBot="1" x14ac:dyDescent="0.25">
      <c r="A83" s="536" t="s">
        <v>343</v>
      </c>
      <c r="B83" s="464"/>
      <c r="C83" s="537">
        <f>C82/C81</f>
        <v>1.2707913402700419E-2</v>
      </c>
      <c r="D83" s="537">
        <f t="shared" ref="D83:K83" si="12">D82/D81</f>
        <v>9.5670411162367214E-2</v>
      </c>
      <c r="E83" s="537">
        <f t="shared" si="12"/>
        <v>-6.1360405353227173E-4</v>
      </c>
      <c r="F83" s="537">
        <f t="shared" si="12"/>
        <v>4.9382386450064729E-2</v>
      </c>
      <c r="G83" s="537">
        <f t="shared" si="12"/>
        <v>0.19207973287568983</v>
      </c>
      <c r="H83" s="537">
        <f t="shared" si="12"/>
        <v>-2.1946707178703213</v>
      </c>
      <c r="I83" s="537">
        <f t="shared" si="12"/>
        <v>0.21820315323561026</v>
      </c>
      <c r="J83" s="537">
        <f t="shared" si="12"/>
        <v>0.24155503192374272</v>
      </c>
      <c r="K83" s="537">
        <f t="shared" si="12"/>
        <v>-4.1867291178766591E-3</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A5" sqref="A5:F5"/>
      <selection pane="bottomLeft" activeCell="D5" sqref="D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243" t="s">
        <v>1798</v>
      </c>
      <c r="B1" s="452"/>
      <c r="C1" s="453" t="s">
        <v>424</v>
      </c>
      <c r="D1" s="453" t="s">
        <v>425</v>
      </c>
      <c r="E1" s="453" t="s">
        <v>426</v>
      </c>
      <c r="F1" s="453" t="s">
        <v>427</v>
      </c>
      <c r="G1" s="453" t="s">
        <v>428</v>
      </c>
      <c r="H1" s="453" t="s">
        <v>429</v>
      </c>
      <c r="I1" s="453" t="s">
        <v>430</v>
      </c>
      <c r="J1" s="453" t="s">
        <v>431</v>
      </c>
      <c r="K1" s="453" t="s">
        <v>755</v>
      </c>
    </row>
    <row r="2" spans="1:12" ht="36" x14ac:dyDescent="0.2">
      <c r="A2" s="2244"/>
      <c r="B2" s="538" t="s">
        <v>377</v>
      </c>
      <c r="C2" s="539" t="s">
        <v>1154</v>
      </c>
      <c r="D2" s="539" t="s">
        <v>869</v>
      </c>
      <c r="E2" s="539" t="s">
        <v>437</v>
      </c>
      <c r="F2" s="539" t="s">
        <v>155</v>
      </c>
      <c r="G2" s="539" t="s">
        <v>988</v>
      </c>
      <c r="H2" s="539" t="s">
        <v>436</v>
      </c>
      <c r="I2" s="539" t="s">
        <v>406</v>
      </c>
      <c r="J2" s="539" t="s">
        <v>435</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378</v>
      </c>
      <c r="B4" s="1588">
        <v>1100</v>
      </c>
      <c r="C4" s="540"/>
      <c r="D4" s="540"/>
      <c r="E4" s="540"/>
      <c r="F4" s="541"/>
      <c r="G4" s="542"/>
      <c r="H4" s="543"/>
      <c r="I4" s="543"/>
      <c r="J4" s="543"/>
      <c r="K4" s="543"/>
    </row>
    <row r="5" spans="1:12" ht="15" x14ac:dyDescent="0.2">
      <c r="A5" s="490" t="s">
        <v>1660</v>
      </c>
      <c r="B5" s="544"/>
      <c r="C5" s="479">
        <v>24174241</v>
      </c>
      <c r="D5" s="479">
        <v>4252875</v>
      </c>
      <c r="E5" s="466">
        <v>4839532</v>
      </c>
      <c r="F5" s="545">
        <v>1790684</v>
      </c>
      <c r="G5" s="466">
        <v>898333</v>
      </c>
      <c r="H5" s="466">
        <v>0</v>
      </c>
      <c r="I5" s="466">
        <v>447671</v>
      </c>
      <c r="J5" s="467">
        <v>1639429</v>
      </c>
      <c r="K5" s="466">
        <v>447671</v>
      </c>
    </row>
    <row r="6" spans="1:12" ht="15" x14ac:dyDescent="0.2">
      <c r="A6" s="463" t="s">
        <v>1661</v>
      </c>
      <c r="B6" s="470">
        <v>1130</v>
      </c>
      <c r="C6" s="466">
        <v>447671</v>
      </c>
      <c r="D6" s="466">
        <v>0</v>
      </c>
      <c r="E6" s="474"/>
      <c r="F6" s="474"/>
      <c r="G6" s="468"/>
      <c r="H6" s="468"/>
      <c r="I6" s="468"/>
      <c r="J6" s="468"/>
      <c r="K6" s="468"/>
    </row>
    <row r="7" spans="1:12" x14ac:dyDescent="0.2">
      <c r="A7" s="463" t="s">
        <v>110</v>
      </c>
      <c r="B7" s="546">
        <v>1140</v>
      </c>
      <c r="C7" s="466">
        <v>358136</v>
      </c>
      <c r="D7" s="466">
        <v>0</v>
      </c>
      <c r="E7" s="468"/>
      <c r="F7" s="467">
        <v>0</v>
      </c>
      <c r="G7" s="467">
        <v>0</v>
      </c>
      <c r="H7" s="467">
        <v>0</v>
      </c>
      <c r="I7" s="468"/>
      <c r="J7" s="468"/>
      <c r="K7" s="468"/>
    </row>
    <row r="8" spans="1:12" x14ac:dyDescent="0.2">
      <c r="A8" s="463" t="s">
        <v>412</v>
      </c>
      <c r="B8" s="470">
        <v>1150</v>
      </c>
      <c r="C8" s="474"/>
      <c r="D8" s="474"/>
      <c r="E8" s="475"/>
      <c r="F8" s="475"/>
      <c r="G8" s="479">
        <v>1088223</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413</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24980048</v>
      </c>
      <c r="D12" s="1704">
        <f t="shared" si="0"/>
        <v>4252875</v>
      </c>
      <c r="E12" s="1704">
        <f t="shared" si="0"/>
        <v>4839532</v>
      </c>
      <c r="F12" s="1704">
        <f t="shared" si="0"/>
        <v>1790684</v>
      </c>
      <c r="G12" s="1704">
        <f t="shared" si="0"/>
        <v>1986556</v>
      </c>
      <c r="H12" s="1704">
        <f t="shared" si="0"/>
        <v>0</v>
      </c>
      <c r="I12" s="1704">
        <f t="shared" si="0"/>
        <v>447671</v>
      </c>
      <c r="J12" s="1704">
        <f t="shared" si="0"/>
        <v>1639429</v>
      </c>
      <c r="K12" s="1685">
        <f t="shared" si="0"/>
        <v>447671</v>
      </c>
    </row>
    <row r="13" spans="1:12" ht="15.75" customHeight="1" thickTop="1" x14ac:dyDescent="0.2">
      <c r="A13" s="1589" t="s">
        <v>450</v>
      </c>
      <c r="B13" s="1590">
        <v>1200</v>
      </c>
      <c r="C13" s="550"/>
      <c r="D13" s="550"/>
      <c r="E13" s="550"/>
      <c r="F13" s="550"/>
      <c r="G13" s="550"/>
      <c r="H13" s="550"/>
      <c r="I13" s="550"/>
      <c r="J13" s="550"/>
      <c r="K13" s="468"/>
    </row>
    <row r="14" spans="1:12" x14ac:dyDescent="0.2">
      <c r="A14" s="463" t="s">
        <v>3</v>
      </c>
      <c r="B14" s="470">
        <v>1210</v>
      </c>
      <c r="C14" s="548">
        <v>58</v>
      </c>
      <c r="D14" s="466">
        <v>10</v>
      </c>
      <c r="E14" s="466">
        <v>12</v>
      </c>
      <c r="F14" s="466">
        <v>4</v>
      </c>
      <c r="G14" s="466">
        <v>4</v>
      </c>
      <c r="H14" s="466">
        <v>0</v>
      </c>
      <c r="I14" s="466">
        <v>1</v>
      </c>
      <c r="J14" s="467">
        <v>4</v>
      </c>
      <c r="K14" s="466">
        <v>1</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1662</v>
      </c>
      <c r="B16" s="546">
        <v>1230</v>
      </c>
      <c r="C16" s="548">
        <v>661000</v>
      </c>
      <c r="D16" s="466">
        <v>0</v>
      </c>
      <c r="E16" s="466">
        <v>0</v>
      </c>
      <c r="F16" s="466">
        <v>0</v>
      </c>
      <c r="G16" s="466">
        <v>90378</v>
      </c>
      <c r="H16" s="466">
        <v>0</v>
      </c>
      <c r="I16" s="466">
        <v>0</v>
      </c>
      <c r="J16" s="467">
        <v>0</v>
      </c>
      <c r="K16" s="466">
        <v>0</v>
      </c>
    </row>
    <row r="17" spans="1:11" ht="12.75" customHeight="1" x14ac:dyDescent="0.2">
      <c r="A17" s="463" t="s">
        <v>806</v>
      </c>
      <c r="B17" s="470">
        <v>1290</v>
      </c>
      <c r="C17" s="548">
        <v>0</v>
      </c>
      <c r="D17" s="466">
        <v>0</v>
      </c>
      <c r="E17" s="466">
        <v>0</v>
      </c>
      <c r="F17" s="466">
        <v>0</v>
      </c>
      <c r="G17" s="466">
        <v>0</v>
      </c>
      <c r="H17" s="466">
        <v>0</v>
      </c>
      <c r="I17" s="466">
        <v>0</v>
      </c>
      <c r="J17" s="467">
        <v>0</v>
      </c>
      <c r="K17" s="466">
        <v>0</v>
      </c>
    </row>
    <row r="18" spans="1:11" ht="12.75" customHeight="1" thickBot="1" x14ac:dyDescent="0.25">
      <c r="A18" s="1705" t="s">
        <v>536</v>
      </c>
      <c r="B18" s="1706"/>
      <c r="C18" s="1707">
        <f>SUM(C14:C17)</f>
        <v>661058</v>
      </c>
      <c r="D18" s="1707">
        <f t="shared" ref="D18:K18" si="1">SUM(D14:D17)</f>
        <v>10</v>
      </c>
      <c r="E18" s="1707">
        <f t="shared" si="1"/>
        <v>12</v>
      </c>
      <c r="F18" s="1707">
        <f t="shared" si="1"/>
        <v>4</v>
      </c>
      <c r="G18" s="1707">
        <f t="shared" si="1"/>
        <v>90382</v>
      </c>
      <c r="H18" s="1707">
        <f t="shared" si="1"/>
        <v>0</v>
      </c>
      <c r="I18" s="1707">
        <f t="shared" si="1"/>
        <v>1</v>
      </c>
      <c r="J18" s="1707">
        <f t="shared" si="1"/>
        <v>4</v>
      </c>
      <c r="K18" s="1708">
        <f t="shared" si="1"/>
        <v>1</v>
      </c>
    </row>
    <row r="19" spans="1:11" ht="15.75" customHeight="1" thickTop="1" x14ac:dyDescent="0.2">
      <c r="A19" s="1589" t="s">
        <v>451</v>
      </c>
      <c r="B19" s="1590">
        <v>1300</v>
      </c>
      <c r="C19" s="551"/>
      <c r="D19" s="551"/>
      <c r="E19" s="551"/>
      <c r="F19" s="551"/>
      <c r="G19" s="550"/>
      <c r="H19" s="551"/>
      <c r="I19" s="551"/>
      <c r="J19" s="551"/>
      <c r="K19" s="552"/>
    </row>
    <row r="20" spans="1:11" x14ac:dyDescent="0.2">
      <c r="A20" s="463" t="s">
        <v>1072</v>
      </c>
      <c r="B20" s="470">
        <v>1311</v>
      </c>
      <c r="C20" s="466">
        <v>2534</v>
      </c>
      <c r="D20" s="468"/>
      <c r="E20" s="468"/>
      <c r="F20" s="468"/>
      <c r="G20" s="468"/>
      <c r="H20" s="468"/>
      <c r="I20" s="468"/>
      <c r="J20" s="468"/>
      <c r="K20" s="468"/>
    </row>
    <row r="21" spans="1:11" ht="12.75" customHeight="1" x14ac:dyDescent="0.2">
      <c r="A21" s="463" t="s">
        <v>831</v>
      </c>
      <c r="B21" s="470">
        <v>1312</v>
      </c>
      <c r="C21" s="548">
        <v>253</v>
      </c>
      <c r="D21" s="468"/>
      <c r="E21" s="468"/>
      <c r="F21" s="468"/>
      <c r="G21" s="468"/>
      <c r="H21" s="468"/>
      <c r="I21" s="468"/>
      <c r="J21" s="468"/>
      <c r="K21" s="468"/>
    </row>
    <row r="22" spans="1:11" ht="12.75" customHeight="1" x14ac:dyDescent="0.2">
      <c r="A22" s="463" t="s">
        <v>1073</v>
      </c>
      <c r="B22" s="470">
        <v>1313</v>
      </c>
      <c r="C22" s="548">
        <v>0</v>
      </c>
      <c r="D22" s="468"/>
      <c r="E22" s="468"/>
      <c r="F22" s="468"/>
      <c r="G22" s="468"/>
      <c r="H22" s="468"/>
      <c r="I22" s="468"/>
      <c r="J22" s="468"/>
      <c r="K22" s="468"/>
    </row>
    <row r="23" spans="1:11" ht="12.75" customHeight="1" x14ac:dyDescent="0.2">
      <c r="A23" s="463" t="s">
        <v>1074</v>
      </c>
      <c r="B23" s="470">
        <v>1314</v>
      </c>
      <c r="C23" s="486">
        <v>0</v>
      </c>
      <c r="D23" s="468"/>
      <c r="E23" s="468"/>
      <c r="F23" s="468"/>
      <c r="G23" s="468"/>
      <c r="H23" s="468"/>
      <c r="I23" s="468"/>
      <c r="J23" s="468"/>
      <c r="K23" s="468"/>
    </row>
    <row r="24" spans="1:11" ht="12.75" customHeight="1" x14ac:dyDescent="0.2">
      <c r="A24" s="463" t="s">
        <v>1026</v>
      </c>
      <c r="B24" s="470">
        <v>1321</v>
      </c>
      <c r="C24" s="548">
        <v>33690</v>
      </c>
      <c r="D24" s="468"/>
      <c r="E24" s="468"/>
      <c r="F24" s="468"/>
      <c r="G24" s="468"/>
      <c r="H24" s="468"/>
      <c r="I24" s="468"/>
      <c r="J24" s="468"/>
      <c r="K24" s="468"/>
    </row>
    <row r="25" spans="1:11" ht="12.75" customHeight="1" x14ac:dyDescent="0.2">
      <c r="A25" s="463" t="s">
        <v>832</v>
      </c>
      <c r="B25" s="470">
        <v>1322</v>
      </c>
      <c r="C25" s="548">
        <v>0</v>
      </c>
      <c r="D25" s="468"/>
      <c r="E25" s="468"/>
      <c r="F25" s="468"/>
      <c r="G25" s="468"/>
      <c r="H25" s="468"/>
      <c r="I25" s="468"/>
      <c r="J25" s="468"/>
      <c r="K25" s="468"/>
    </row>
    <row r="26" spans="1:11" ht="12.75" customHeight="1" x14ac:dyDescent="0.2">
      <c r="A26" s="463" t="s">
        <v>1100</v>
      </c>
      <c r="B26" s="470">
        <v>1323</v>
      </c>
      <c r="C26" s="548">
        <v>0</v>
      </c>
      <c r="D26" s="468"/>
      <c r="E26" s="468"/>
      <c r="F26" s="468"/>
      <c r="G26" s="468"/>
      <c r="H26" s="468"/>
      <c r="I26" s="468"/>
      <c r="J26" s="468"/>
      <c r="K26" s="468"/>
    </row>
    <row r="27" spans="1:11" ht="12.75" customHeight="1" x14ac:dyDescent="0.2">
      <c r="A27" s="463" t="s">
        <v>1022</v>
      </c>
      <c r="B27" s="470">
        <v>1324</v>
      </c>
      <c r="C27" s="486">
        <v>0</v>
      </c>
      <c r="D27" s="468"/>
      <c r="E27" s="468"/>
      <c r="F27" s="468"/>
      <c r="G27" s="468"/>
      <c r="H27" s="468"/>
      <c r="I27" s="468"/>
      <c r="J27" s="468"/>
      <c r="K27" s="468"/>
    </row>
    <row r="28" spans="1:11" ht="12.75" customHeight="1" x14ac:dyDescent="0.2">
      <c r="A28" s="463" t="s">
        <v>1023</v>
      </c>
      <c r="B28" s="470">
        <v>1331</v>
      </c>
      <c r="C28" s="548">
        <v>0</v>
      </c>
      <c r="D28" s="468"/>
      <c r="E28" s="468"/>
      <c r="F28" s="468"/>
      <c r="G28" s="468"/>
      <c r="H28" s="468"/>
      <c r="I28" s="468"/>
      <c r="J28" s="468"/>
      <c r="K28" s="468"/>
    </row>
    <row r="29" spans="1:11" ht="12.75" customHeight="1" x14ac:dyDescent="0.2">
      <c r="A29" s="463" t="s">
        <v>833</v>
      </c>
      <c r="B29" s="470">
        <v>1332</v>
      </c>
      <c r="C29" s="548">
        <v>0</v>
      </c>
      <c r="D29" s="468"/>
      <c r="E29" s="468"/>
      <c r="F29" s="468"/>
      <c r="G29" s="468"/>
      <c r="H29" s="468"/>
      <c r="I29" s="468"/>
      <c r="J29" s="468"/>
      <c r="K29" s="468"/>
    </row>
    <row r="30" spans="1:11" ht="12.75" customHeight="1" x14ac:dyDescent="0.2">
      <c r="A30" s="463" t="s">
        <v>1025</v>
      </c>
      <c r="B30" s="470">
        <v>1333</v>
      </c>
      <c r="C30" s="548">
        <v>0</v>
      </c>
      <c r="D30" s="468"/>
      <c r="E30" s="468"/>
      <c r="F30" s="468"/>
      <c r="G30" s="468"/>
      <c r="H30" s="468"/>
      <c r="I30" s="468"/>
      <c r="J30" s="468"/>
      <c r="K30" s="468"/>
    </row>
    <row r="31" spans="1:11" ht="12.75" customHeight="1" x14ac:dyDescent="0.2">
      <c r="A31" s="463" t="s">
        <v>1024</v>
      </c>
      <c r="B31" s="470">
        <v>1334</v>
      </c>
      <c r="C31" s="486">
        <v>0</v>
      </c>
      <c r="D31" s="468"/>
      <c r="E31" s="468"/>
      <c r="F31" s="468"/>
      <c r="G31" s="468"/>
      <c r="H31" s="468"/>
      <c r="I31" s="468"/>
      <c r="J31" s="468"/>
      <c r="K31" s="468"/>
    </row>
    <row r="32" spans="1:11" ht="12.75" customHeight="1" x14ac:dyDescent="0.2">
      <c r="A32" s="463" t="s">
        <v>493</v>
      </c>
      <c r="B32" s="470">
        <v>1341</v>
      </c>
      <c r="C32" s="548">
        <v>0</v>
      </c>
      <c r="D32" s="468"/>
      <c r="E32" s="468"/>
      <c r="F32" s="468"/>
      <c r="G32" s="468"/>
      <c r="H32" s="468"/>
      <c r="I32" s="468"/>
      <c r="J32" s="468"/>
      <c r="K32" s="468"/>
    </row>
    <row r="33" spans="1:11" ht="12.75" customHeight="1" x14ac:dyDescent="0.2">
      <c r="A33" s="463" t="s">
        <v>834</v>
      </c>
      <c r="B33" s="470">
        <v>1342</v>
      </c>
      <c r="C33" s="548">
        <v>0</v>
      </c>
      <c r="D33" s="468"/>
      <c r="E33" s="468"/>
      <c r="F33" s="468"/>
      <c r="G33" s="468"/>
      <c r="H33" s="468"/>
      <c r="I33" s="468"/>
      <c r="J33" s="468"/>
      <c r="K33" s="468"/>
    </row>
    <row r="34" spans="1:11" ht="12.75" customHeight="1" x14ac:dyDescent="0.2">
      <c r="A34" s="463" t="s">
        <v>494</v>
      </c>
      <c r="B34" s="470">
        <v>1343</v>
      </c>
      <c r="C34" s="548">
        <v>0</v>
      </c>
      <c r="D34" s="468"/>
      <c r="E34" s="468"/>
      <c r="F34" s="468"/>
      <c r="G34" s="468"/>
      <c r="H34" s="468"/>
      <c r="I34" s="468"/>
      <c r="J34" s="468"/>
      <c r="K34" s="468"/>
    </row>
    <row r="35" spans="1:11" ht="12.75" customHeight="1" x14ac:dyDescent="0.2">
      <c r="A35" s="463" t="s">
        <v>492</v>
      </c>
      <c r="B35" s="470">
        <v>1344</v>
      </c>
      <c r="C35" s="486">
        <v>0</v>
      </c>
      <c r="D35" s="468"/>
      <c r="E35" s="468"/>
      <c r="F35" s="468"/>
      <c r="G35" s="468"/>
      <c r="H35" s="468"/>
      <c r="I35" s="468"/>
      <c r="J35" s="468"/>
      <c r="K35" s="468"/>
    </row>
    <row r="36" spans="1:11" ht="12.75" customHeight="1" x14ac:dyDescent="0.2">
      <c r="A36" s="463" t="s">
        <v>830</v>
      </c>
      <c r="B36" s="470">
        <v>1351</v>
      </c>
      <c r="C36" s="548">
        <v>0</v>
      </c>
      <c r="D36" s="468"/>
      <c r="E36" s="468"/>
      <c r="F36" s="468"/>
      <c r="G36" s="468"/>
      <c r="H36" s="468"/>
      <c r="I36" s="468"/>
      <c r="J36" s="468"/>
      <c r="K36" s="468"/>
    </row>
    <row r="37" spans="1:11" ht="12.75" customHeight="1" x14ac:dyDescent="0.2">
      <c r="A37" s="463" t="s">
        <v>835</v>
      </c>
      <c r="B37" s="470">
        <v>1352</v>
      </c>
      <c r="C37" s="548">
        <v>0</v>
      </c>
      <c r="D37" s="468"/>
      <c r="E37" s="468"/>
      <c r="F37" s="468"/>
      <c r="G37" s="468"/>
      <c r="H37" s="468"/>
      <c r="I37" s="468"/>
      <c r="J37" s="468"/>
      <c r="K37" s="468"/>
    </row>
    <row r="38" spans="1:11" ht="12.75" customHeight="1" x14ac:dyDescent="0.2">
      <c r="A38" s="463" t="s">
        <v>592</v>
      </c>
      <c r="B38" s="470">
        <v>1353</v>
      </c>
      <c r="C38" s="548">
        <v>0</v>
      </c>
      <c r="D38" s="468"/>
      <c r="E38" s="468"/>
      <c r="F38" s="468"/>
      <c r="G38" s="468"/>
      <c r="H38" s="468"/>
      <c r="I38" s="468"/>
      <c r="J38" s="468"/>
      <c r="K38" s="468"/>
    </row>
    <row r="39" spans="1:11" ht="12.75" customHeight="1" x14ac:dyDescent="0.2">
      <c r="A39" s="1492" t="s">
        <v>593</v>
      </c>
      <c r="B39" s="553">
        <v>1354</v>
      </c>
      <c r="C39" s="486">
        <v>0</v>
      </c>
      <c r="D39" s="468"/>
      <c r="E39" s="468"/>
      <c r="F39" s="468"/>
      <c r="G39" s="468"/>
      <c r="H39" s="468"/>
      <c r="I39" s="468"/>
      <c r="J39" s="468"/>
      <c r="K39" s="468"/>
    </row>
    <row r="40" spans="1:11" ht="12.75" customHeight="1" thickBot="1" x14ac:dyDescent="0.25">
      <c r="A40" s="1705" t="s">
        <v>537</v>
      </c>
      <c r="B40" s="1706"/>
      <c r="C40" s="1685">
        <f>SUM(C20:C39)</f>
        <v>36477</v>
      </c>
      <c r="D40" s="468"/>
      <c r="E40" s="468"/>
      <c r="F40" s="468"/>
      <c r="G40" s="468"/>
      <c r="H40" s="468"/>
      <c r="I40" s="468"/>
      <c r="J40" s="468"/>
      <c r="K40" s="468"/>
    </row>
    <row r="41" spans="1:11" ht="15.75" customHeight="1" thickTop="1" x14ac:dyDescent="0.2">
      <c r="A41" s="1589" t="s">
        <v>273</v>
      </c>
      <c r="B41" s="1590">
        <v>1400</v>
      </c>
      <c r="C41" s="468"/>
      <c r="D41" s="468"/>
      <c r="E41" s="468"/>
      <c r="F41" s="518"/>
      <c r="G41" s="468"/>
      <c r="H41" s="468"/>
      <c r="I41" s="468"/>
      <c r="J41" s="468"/>
      <c r="K41" s="468"/>
    </row>
    <row r="42" spans="1:11" ht="12.75" customHeight="1" x14ac:dyDescent="0.2">
      <c r="A42" s="463" t="s">
        <v>1075</v>
      </c>
      <c r="B42" s="470">
        <v>1411</v>
      </c>
      <c r="C42" s="468"/>
      <c r="D42" s="468"/>
      <c r="E42" s="468"/>
      <c r="F42" s="479">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10623</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1105</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1106</v>
      </c>
      <c r="B56" s="554">
        <v>1442</v>
      </c>
      <c r="C56" s="468"/>
      <c r="D56" s="468"/>
      <c r="E56" s="468"/>
      <c r="F56" s="466">
        <v>0</v>
      </c>
      <c r="G56" s="468"/>
      <c r="H56" s="468"/>
      <c r="I56" s="468"/>
      <c r="J56" s="468"/>
      <c r="K56" s="468"/>
    </row>
    <row r="57" spans="1:11" ht="12.75" customHeight="1" x14ac:dyDescent="0.2">
      <c r="A57" s="1493" t="s">
        <v>488</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877</v>
      </c>
      <c r="B59" s="554">
        <v>1451</v>
      </c>
      <c r="C59" s="468"/>
      <c r="D59" s="468"/>
      <c r="E59" s="468"/>
      <c r="F59" s="466">
        <v>0</v>
      </c>
      <c r="G59" s="468"/>
      <c r="H59" s="468"/>
      <c r="I59" s="468"/>
      <c r="J59" s="468"/>
      <c r="K59" s="468"/>
    </row>
    <row r="60" spans="1:11" ht="12.75" customHeight="1" x14ac:dyDescent="0.2">
      <c r="A60" s="1493" t="s">
        <v>1107</v>
      </c>
      <c r="B60" s="554">
        <v>1452</v>
      </c>
      <c r="C60" s="468"/>
      <c r="D60" s="468"/>
      <c r="E60" s="468"/>
      <c r="F60" s="466">
        <v>0</v>
      </c>
      <c r="G60" s="468"/>
      <c r="H60" s="468"/>
      <c r="I60" s="468"/>
      <c r="J60" s="468"/>
      <c r="K60" s="468"/>
    </row>
    <row r="61" spans="1:11" ht="12.75" customHeight="1" x14ac:dyDescent="0.2">
      <c r="A61" s="560" t="s">
        <v>878</v>
      </c>
      <c r="B61" s="554">
        <v>1453</v>
      </c>
      <c r="C61" s="468"/>
      <c r="D61" s="468"/>
      <c r="E61" s="468"/>
      <c r="F61" s="466">
        <v>0</v>
      </c>
      <c r="G61" s="468"/>
      <c r="H61" s="468"/>
      <c r="I61" s="468"/>
      <c r="J61" s="468"/>
      <c r="K61" s="468"/>
    </row>
    <row r="62" spans="1:11" ht="12.75" customHeight="1" x14ac:dyDescent="0.2">
      <c r="A62" s="1494" t="s">
        <v>879</v>
      </c>
      <c r="B62" s="555">
        <v>1454</v>
      </c>
      <c r="C62" s="468"/>
      <c r="D62" s="468"/>
      <c r="E62" s="468"/>
      <c r="F62" s="467">
        <v>0</v>
      </c>
      <c r="G62" s="468"/>
      <c r="H62" s="468"/>
      <c r="I62" s="468"/>
      <c r="J62" s="468"/>
      <c r="K62" s="468"/>
    </row>
    <row r="63" spans="1:11" ht="12.75" customHeight="1" thickBot="1" x14ac:dyDescent="0.25">
      <c r="A63" s="1705" t="s">
        <v>484</v>
      </c>
      <c r="B63" s="1706"/>
      <c r="C63" s="468"/>
      <c r="D63" s="468"/>
      <c r="E63" s="468"/>
      <c r="F63" s="1685">
        <f>SUM(F42:F62)</f>
        <v>10623</v>
      </c>
      <c r="G63" s="468"/>
      <c r="H63" s="468"/>
      <c r="I63" s="468"/>
      <c r="J63" s="468"/>
      <c r="K63" s="468"/>
    </row>
    <row r="64" spans="1:11" ht="15.75" customHeight="1" thickTop="1" x14ac:dyDescent="0.2">
      <c r="A64" s="1589" t="s">
        <v>453</v>
      </c>
      <c r="B64" s="1590">
        <v>1500</v>
      </c>
      <c r="C64" s="468"/>
      <c r="D64" s="468"/>
      <c r="E64" s="468"/>
      <c r="F64" s="468"/>
      <c r="G64" s="468"/>
      <c r="H64" s="468"/>
      <c r="I64" s="468"/>
      <c r="J64" s="468"/>
      <c r="K64" s="468"/>
    </row>
    <row r="65" spans="1:11" ht="12.75" customHeight="1" x14ac:dyDescent="0.2">
      <c r="A65" s="463" t="s">
        <v>546</v>
      </c>
      <c r="B65" s="470">
        <v>1510</v>
      </c>
      <c r="C65" s="466">
        <v>429381</v>
      </c>
      <c r="D65" s="466">
        <v>44388</v>
      </c>
      <c r="E65" s="466">
        <v>31744</v>
      </c>
      <c r="F65" s="467">
        <v>55072</v>
      </c>
      <c r="G65" s="466">
        <v>37426</v>
      </c>
      <c r="H65" s="466">
        <v>49338</v>
      </c>
      <c r="I65" s="466">
        <v>17212</v>
      </c>
      <c r="J65" s="467">
        <v>25182</v>
      </c>
      <c r="K65" s="466">
        <v>6673</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5" t="s">
        <v>485</v>
      </c>
      <c r="B67" s="1706"/>
      <c r="C67" s="1685">
        <f>SUM(C65:C66)</f>
        <v>429381</v>
      </c>
      <c r="D67" s="1685">
        <f t="shared" ref="D67:K67" si="2">SUM(D65:D66)</f>
        <v>44388</v>
      </c>
      <c r="E67" s="1685">
        <f t="shared" si="2"/>
        <v>31744</v>
      </c>
      <c r="F67" s="1685">
        <f t="shared" si="2"/>
        <v>55072</v>
      </c>
      <c r="G67" s="1685">
        <f t="shared" si="2"/>
        <v>37426</v>
      </c>
      <c r="H67" s="1685">
        <f t="shared" si="2"/>
        <v>49338</v>
      </c>
      <c r="I67" s="1685">
        <f t="shared" si="2"/>
        <v>17212</v>
      </c>
      <c r="J67" s="1685">
        <f t="shared" si="2"/>
        <v>25182</v>
      </c>
      <c r="K67" s="1685">
        <f t="shared" si="2"/>
        <v>6673</v>
      </c>
    </row>
    <row r="68" spans="1:11" ht="15.75" customHeight="1" thickTop="1" x14ac:dyDescent="0.2">
      <c r="A68" s="1589" t="s">
        <v>454</v>
      </c>
      <c r="B68" s="1591">
        <v>1600</v>
      </c>
      <c r="C68" s="550"/>
      <c r="D68" s="468"/>
      <c r="E68" s="468"/>
      <c r="F68" s="468"/>
      <c r="G68" s="468"/>
      <c r="H68" s="468"/>
      <c r="I68" s="468"/>
      <c r="J68" s="468"/>
      <c r="K68" s="468"/>
    </row>
    <row r="69" spans="1:11" ht="12.75" customHeight="1" x14ac:dyDescent="0.2">
      <c r="A69" s="463" t="s">
        <v>665</v>
      </c>
      <c r="B69" s="470">
        <v>1611</v>
      </c>
      <c r="C69" s="466">
        <v>680442</v>
      </c>
      <c r="D69" s="468"/>
      <c r="E69" s="468"/>
      <c r="F69" s="468"/>
      <c r="G69" s="468"/>
      <c r="H69" s="468"/>
      <c r="I69" s="468"/>
      <c r="J69" s="468"/>
      <c r="K69" s="468"/>
    </row>
    <row r="70" spans="1:11" ht="12.75" customHeight="1" x14ac:dyDescent="0.2">
      <c r="A70" s="463" t="s">
        <v>996</v>
      </c>
      <c r="B70" s="470">
        <v>1612</v>
      </c>
      <c r="C70" s="548">
        <v>0</v>
      </c>
      <c r="D70" s="468"/>
      <c r="E70" s="468"/>
      <c r="F70" s="468"/>
      <c r="G70" s="468"/>
      <c r="H70" s="468"/>
      <c r="I70" s="468"/>
      <c r="J70" s="468"/>
      <c r="K70" s="468"/>
    </row>
    <row r="71" spans="1:11" ht="12.75" customHeight="1" x14ac:dyDescent="0.2">
      <c r="A71" s="463" t="s">
        <v>272</v>
      </c>
      <c r="B71" s="470">
        <v>1613</v>
      </c>
      <c r="C71" s="548">
        <v>309979</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997</v>
      </c>
      <c r="B73" s="470">
        <v>1620</v>
      </c>
      <c r="C73" s="548">
        <v>32151</v>
      </c>
      <c r="D73" s="468"/>
      <c r="E73" s="468"/>
      <c r="F73" s="468"/>
      <c r="G73" s="468"/>
      <c r="H73" s="468"/>
      <c r="I73" s="468"/>
      <c r="J73" s="468"/>
      <c r="K73" s="468"/>
    </row>
    <row r="74" spans="1:11" ht="12.75" customHeight="1" x14ac:dyDescent="0.2">
      <c r="A74" s="463" t="s">
        <v>25</v>
      </c>
      <c r="B74" s="470">
        <v>1690</v>
      </c>
      <c r="C74" s="548">
        <v>6677</v>
      </c>
      <c r="D74" s="468"/>
      <c r="E74" s="468"/>
      <c r="F74" s="468"/>
      <c r="G74" s="468"/>
      <c r="H74" s="468"/>
      <c r="I74" s="468"/>
      <c r="J74" s="468"/>
      <c r="K74" s="468"/>
    </row>
    <row r="75" spans="1:11" ht="12.75" customHeight="1" thickBot="1" x14ac:dyDescent="0.25">
      <c r="A75" s="1705" t="s">
        <v>547</v>
      </c>
      <c r="B75" s="1706"/>
      <c r="C75" s="1685">
        <f>SUM(C69:C74)</f>
        <v>1029249</v>
      </c>
      <c r="D75" s="468"/>
      <c r="E75" s="468"/>
      <c r="F75" s="468"/>
      <c r="G75" s="468"/>
      <c r="H75" s="468"/>
      <c r="I75" s="468"/>
      <c r="J75" s="468"/>
      <c r="K75" s="468"/>
    </row>
    <row r="76" spans="1:11" ht="15.75" customHeight="1" thickTop="1" x14ac:dyDescent="0.2">
      <c r="A76" s="1589" t="s">
        <v>880</v>
      </c>
      <c r="B76" s="1591">
        <v>1700</v>
      </c>
      <c r="C76" s="550"/>
      <c r="D76" s="468"/>
      <c r="E76" s="468"/>
      <c r="F76" s="468"/>
      <c r="G76" s="468"/>
      <c r="H76" s="468"/>
      <c r="I76" s="468"/>
      <c r="J76" s="468"/>
      <c r="K76" s="468"/>
    </row>
    <row r="77" spans="1:11" ht="12.75" customHeight="1" x14ac:dyDescent="0.2">
      <c r="A77" s="463" t="s">
        <v>548</v>
      </c>
      <c r="B77" s="470">
        <v>1711</v>
      </c>
      <c r="C77" s="513">
        <v>40306</v>
      </c>
      <c r="D77" s="466">
        <v>2800</v>
      </c>
      <c r="E77" s="468"/>
      <c r="F77" s="468"/>
      <c r="G77" s="468"/>
      <c r="H77" s="468"/>
      <c r="I77" s="468"/>
      <c r="J77" s="468"/>
      <c r="K77" s="468"/>
    </row>
    <row r="78" spans="1:11" ht="12.75" customHeight="1" x14ac:dyDescent="0.2">
      <c r="A78" s="463" t="s">
        <v>76</v>
      </c>
      <c r="B78" s="470">
        <v>1719</v>
      </c>
      <c r="C78" s="548">
        <v>0</v>
      </c>
      <c r="D78" s="466">
        <v>91456</v>
      </c>
      <c r="E78" s="468"/>
      <c r="F78" s="468"/>
      <c r="G78" s="468"/>
      <c r="H78" s="468"/>
      <c r="I78" s="468"/>
      <c r="J78" s="468"/>
      <c r="K78" s="468"/>
    </row>
    <row r="79" spans="1:11" ht="12.75" customHeight="1" x14ac:dyDescent="0.2">
      <c r="A79" s="463" t="s">
        <v>549</v>
      </c>
      <c r="B79" s="470">
        <v>1720</v>
      </c>
      <c r="C79" s="548">
        <v>0</v>
      </c>
      <c r="D79" s="466">
        <v>0</v>
      </c>
      <c r="E79" s="468"/>
      <c r="F79" s="468"/>
      <c r="G79" s="468"/>
      <c r="H79" s="468"/>
      <c r="I79" s="468"/>
      <c r="J79" s="468"/>
      <c r="K79" s="468"/>
    </row>
    <row r="80" spans="1:11" ht="12.75" customHeight="1" x14ac:dyDescent="0.2">
      <c r="A80" s="463" t="s">
        <v>550</v>
      </c>
      <c r="B80" s="470">
        <v>1730</v>
      </c>
      <c r="C80" s="548">
        <v>0</v>
      </c>
      <c r="D80" s="466">
        <v>0</v>
      </c>
      <c r="E80" s="468"/>
      <c r="F80" s="468"/>
      <c r="G80" s="468"/>
      <c r="H80" s="468"/>
      <c r="I80" s="468"/>
      <c r="J80" s="468"/>
      <c r="K80" s="468"/>
    </row>
    <row r="81" spans="1:11" ht="12.75" customHeight="1" x14ac:dyDescent="0.2">
      <c r="A81" s="463" t="s">
        <v>26</v>
      </c>
      <c r="B81" s="470">
        <v>1790</v>
      </c>
      <c r="C81" s="548">
        <v>252081</v>
      </c>
      <c r="D81" s="466">
        <v>0</v>
      </c>
      <c r="E81" s="468"/>
      <c r="F81" s="468"/>
      <c r="G81" s="468"/>
      <c r="H81" s="468"/>
      <c r="I81" s="468"/>
      <c r="J81" s="468"/>
      <c r="K81" s="468"/>
    </row>
    <row r="82" spans="1:11" ht="12.75" customHeight="1" thickBot="1" x14ac:dyDescent="0.25">
      <c r="A82" s="1705" t="s">
        <v>241</v>
      </c>
      <c r="B82" s="1706"/>
      <c r="C82" s="1704">
        <f>SUM(C77:C81)</f>
        <v>292387</v>
      </c>
      <c r="D82" s="1685">
        <f>SUM(D77:D81)</f>
        <v>94256</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551</v>
      </c>
      <c r="B84" s="470">
        <v>1811</v>
      </c>
      <c r="C84" s="466">
        <v>550619</v>
      </c>
      <c r="D84" s="468"/>
      <c r="E84" s="468"/>
      <c r="F84" s="468"/>
      <c r="G84" s="468"/>
      <c r="H84" s="468"/>
      <c r="I84" s="468"/>
      <c r="J84" s="468"/>
      <c r="K84" s="468"/>
    </row>
    <row r="85" spans="1:11" ht="12.75" customHeight="1" x14ac:dyDescent="0.2">
      <c r="A85" s="463" t="s">
        <v>552</v>
      </c>
      <c r="B85" s="470">
        <v>1812</v>
      </c>
      <c r="C85" s="548">
        <v>0</v>
      </c>
      <c r="D85" s="468"/>
      <c r="E85" s="468"/>
      <c r="F85" s="468"/>
      <c r="G85" s="468"/>
      <c r="H85" s="468"/>
      <c r="I85" s="468"/>
      <c r="J85" s="468"/>
      <c r="K85" s="468"/>
    </row>
    <row r="86" spans="1:11" ht="12.75" customHeight="1" x14ac:dyDescent="0.2">
      <c r="A86" s="463" t="s">
        <v>998</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553</v>
      </c>
      <c r="B88" s="470">
        <v>1821</v>
      </c>
      <c r="C88" s="548">
        <v>0</v>
      </c>
      <c r="D88" s="468"/>
      <c r="E88" s="468"/>
      <c r="F88" s="468"/>
      <c r="G88" s="468"/>
      <c r="H88" s="468"/>
      <c r="I88" s="468"/>
      <c r="J88" s="468"/>
      <c r="K88" s="468"/>
    </row>
    <row r="89" spans="1:11" ht="12.75" customHeight="1" x14ac:dyDescent="0.2">
      <c r="A89" s="463" t="s">
        <v>713</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761</v>
      </c>
      <c r="B92" s="470">
        <v>1890</v>
      </c>
      <c r="C92" s="548">
        <v>0</v>
      </c>
      <c r="D92" s="468"/>
      <c r="E92" s="468"/>
      <c r="F92" s="468"/>
      <c r="G92" s="468"/>
      <c r="H92" s="468"/>
      <c r="I92" s="468"/>
      <c r="J92" s="468"/>
      <c r="K92" s="468"/>
    </row>
    <row r="93" spans="1:11" ht="12.75" customHeight="1" thickBot="1" x14ac:dyDescent="0.25">
      <c r="A93" s="1705" t="s">
        <v>243</v>
      </c>
      <c r="B93" s="1706"/>
      <c r="C93" s="1685">
        <f>SUM(C84:C92)</f>
        <v>550619</v>
      </c>
      <c r="D93" s="468"/>
      <c r="E93" s="468"/>
      <c r="F93" s="468"/>
      <c r="G93" s="468"/>
      <c r="H93" s="468"/>
      <c r="I93" s="468"/>
      <c r="J93" s="468"/>
      <c r="K93" s="468"/>
    </row>
    <row r="94" spans="1:11" ht="15.75" customHeight="1" thickTop="1" x14ac:dyDescent="0.2">
      <c r="A94" s="1589" t="s">
        <v>1136</v>
      </c>
      <c r="B94" s="1591">
        <v>1900</v>
      </c>
      <c r="C94" s="550"/>
      <c r="D94" s="518"/>
      <c r="E94" s="468"/>
      <c r="F94" s="468"/>
      <c r="G94" s="468"/>
      <c r="H94" s="468"/>
      <c r="I94" s="468"/>
      <c r="J94" s="468"/>
      <c r="K94" s="468"/>
    </row>
    <row r="95" spans="1:11" ht="12.75" customHeight="1" x14ac:dyDescent="0.2">
      <c r="A95" s="463" t="s">
        <v>1063</v>
      </c>
      <c r="B95" s="470">
        <v>1910</v>
      </c>
      <c r="C95" s="466">
        <v>245</v>
      </c>
      <c r="D95" s="548">
        <v>13856</v>
      </c>
      <c r="E95" s="518"/>
      <c r="F95" s="518"/>
      <c r="G95" s="518"/>
      <c r="H95" s="518"/>
      <c r="I95" s="518"/>
      <c r="J95" s="518"/>
      <c r="K95" s="518"/>
    </row>
    <row r="96" spans="1:11" ht="12.75" customHeight="1" x14ac:dyDescent="0.2">
      <c r="A96" s="463" t="s">
        <v>390</v>
      </c>
      <c r="B96" s="470">
        <v>1920</v>
      </c>
      <c r="C96" s="548">
        <v>379</v>
      </c>
      <c r="D96" s="548">
        <v>0</v>
      </c>
      <c r="E96" s="477">
        <v>0</v>
      </c>
      <c r="F96" s="476">
        <v>408</v>
      </c>
      <c r="G96" s="476">
        <v>0</v>
      </c>
      <c r="H96" s="476">
        <v>1505</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74015</v>
      </c>
      <c r="D98" s="466">
        <v>0</v>
      </c>
      <c r="E98" s="509"/>
      <c r="F98" s="466">
        <v>13491</v>
      </c>
      <c r="G98" s="509"/>
      <c r="H98" s="509"/>
      <c r="I98" s="507"/>
      <c r="J98" s="509"/>
      <c r="K98" s="509"/>
    </row>
    <row r="99" spans="1:12" ht="12.75" customHeight="1" x14ac:dyDescent="0.2">
      <c r="A99" s="463" t="s">
        <v>820</v>
      </c>
      <c r="B99" s="470">
        <v>1950</v>
      </c>
      <c r="C99" s="486">
        <v>12828</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14246</v>
      </c>
      <c r="D101" s="523"/>
      <c r="E101" s="478"/>
      <c r="F101" s="523"/>
      <c r="G101" s="474"/>
      <c r="H101" s="523"/>
      <c r="I101" s="468"/>
      <c r="J101" s="474"/>
      <c r="K101" s="474"/>
    </row>
    <row r="102" spans="1:12" ht="12.75" customHeight="1" x14ac:dyDescent="0.2">
      <c r="A102" s="463" t="s">
        <v>247</v>
      </c>
      <c r="B102" s="470">
        <v>1980</v>
      </c>
      <c r="C102" s="486">
        <v>11593</v>
      </c>
      <c r="D102" s="486">
        <v>0</v>
      </c>
      <c r="E102" s="486">
        <v>0</v>
      </c>
      <c r="F102" s="486">
        <v>0</v>
      </c>
      <c r="G102" s="486">
        <v>0</v>
      </c>
      <c r="H102" s="486">
        <v>0</v>
      </c>
      <c r="I102" s="467">
        <v>0</v>
      </c>
      <c r="J102" s="486">
        <v>0</v>
      </c>
      <c r="K102" s="467">
        <v>0</v>
      </c>
    </row>
    <row r="103" spans="1:12" ht="12.75" customHeight="1" x14ac:dyDescent="0.2">
      <c r="A103" s="463" t="s">
        <v>344</v>
      </c>
      <c r="B103" s="470">
        <v>1983</v>
      </c>
      <c r="C103" s="468"/>
      <c r="D103" s="468"/>
      <c r="E103" s="557">
        <v>857843</v>
      </c>
      <c r="F103" s="468"/>
      <c r="G103" s="468"/>
      <c r="H103" s="486">
        <v>542339</v>
      </c>
      <c r="I103" s="468"/>
      <c r="J103" s="507"/>
      <c r="K103" s="507"/>
    </row>
    <row r="104" spans="1:12" ht="12.75" customHeight="1" x14ac:dyDescent="0.2">
      <c r="A104" s="463" t="s">
        <v>829</v>
      </c>
      <c r="B104" s="470">
        <v>1991</v>
      </c>
      <c r="C104" s="486">
        <v>214</v>
      </c>
      <c r="D104" s="466">
        <v>0</v>
      </c>
      <c r="E104" s="479">
        <v>0</v>
      </c>
      <c r="F104" s="467">
        <v>0</v>
      </c>
      <c r="G104" s="467">
        <v>0</v>
      </c>
      <c r="H104" s="466">
        <v>0</v>
      </c>
      <c r="I104" s="468"/>
      <c r="J104" s="468"/>
      <c r="K104" s="468"/>
    </row>
    <row r="105" spans="1:12" ht="12.75" customHeight="1" x14ac:dyDescent="0.2">
      <c r="A105" s="463" t="s">
        <v>821</v>
      </c>
      <c r="B105" s="470">
        <v>1992</v>
      </c>
      <c r="C105" s="466">
        <v>0</v>
      </c>
      <c r="D105" s="558"/>
      <c r="E105" s="468"/>
      <c r="F105" s="468"/>
      <c r="G105" s="468"/>
      <c r="H105" s="507"/>
      <c r="I105" s="468"/>
      <c r="J105" s="468"/>
      <c r="K105" s="468"/>
    </row>
    <row r="106" spans="1:12" ht="12.75" customHeight="1" x14ac:dyDescent="0.2">
      <c r="A106" s="463" t="s">
        <v>1429</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7135</v>
      </c>
      <c r="D107" s="466">
        <v>7998</v>
      </c>
      <c r="E107" s="466">
        <v>48433</v>
      </c>
      <c r="F107" s="466">
        <v>8861</v>
      </c>
      <c r="G107" s="466">
        <v>7857</v>
      </c>
      <c r="H107" s="466">
        <v>0</v>
      </c>
      <c r="I107" s="466">
        <v>0</v>
      </c>
      <c r="J107" s="467">
        <v>30171</v>
      </c>
      <c r="K107" s="466">
        <v>0</v>
      </c>
    </row>
    <row r="108" spans="1:12" ht="12.75" customHeight="1" thickBot="1" x14ac:dyDescent="0.25">
      <c r="A108" s="1705" t="s">
        <v>486</v>
      </c>
      <c r="B108" s="1709"/>
      <c r="C108" s="1704">
        <f>SUM(C95:C107)</f>
        <v>120655</v>
      </c>
      <c r="D108" s="1704">
        <f t="shared" ref="D108:K108" si="3">SUM(D95:D107)</f>
        <v>21854</v>
      </c>
      <c r="E108" s="1704">
        <f t="shared" si="3"/>
        <v>906276</v>
      </c>
      <c r="F108" s="1704">
        <f t="shared" si="3"/>
        <v>22760</v>
      </c>
      <c r="G108" s="1704">
        <f t="shared" si="3"/>
        <v>7857</v>
      </c>
      <c r="H108" s="1704">
        <f t="shared" si="3"/>
        <v>543844</v>
      </c>
      <c r="I108" s="1704">
        <f t="shared" si="3"/>
        <v>0</v>
      </c>
      <c r="J108" s="1704">
        <f t="shared" si="3"/>
        <v>30171</v>
      </c>
      <c r="K108" s="1685">
        <f t="shared" si="3"/>
        <v>0</v>
      </c>
    </row>
    <row r="109" spans="1:12" ht="14.25" thickTop="1" thickBot="1" x14ac:dyDescent="0.25">
      <c r="A109" s="1710" t="s">
        <v>248</v>
      </c>
      <c r="B109" s="1711" t="s">
        <v>569</v>
      </c>
      <c r="C109" s="1712">
        <f t="shared" ref="C109:K109" si="4">SUM(C12,C18,C40,C63,C67,C75,C82,C93,C108,)</f>
        <v>28099874</v>
      </c>
      <c r="D109" s="1712">
        <f t="shared" si="4"/>
        <v>4413383</v>
      </c>
      <c r="E109" s="1712">
        <f t="shared" si="4"/>
        <v>5777564</v>
      </c>
      <c r="F109" s="1712">
        <f t="shared" si="4"/>
        <v>1879143</v>
      </c>
      <c r="G109" s="1712">
        <f t="shared" si="4"/>
        <v>2122221</v>
      </c>
      <c r="H109" s="1712">
        <f t="shared" si="4"/>
        <v>593182</v>
      </c>
      <c r="I109" s="1712">
        <f t="shared" si="4"/>
        <v>464884</v>
      </c>
      <c r="J109" s="1712">
        <f t="shared" si="4"/>
        <v>1694786</v>
      </c>
      <c r="K109" s="1699">
        <f t="shared" si="4"/>
        <v>454345</v>
      </c>
    </row>
    <row r="110" spans="1:12" ht="30" customHeight="1" thickTop="1" x14ac:dyDescent="0.2">
      <c r="A110" s="1582" t="s">
        <v>345</v>
      </c>
      <c r="B110" s="1583"/>
      <c r="C110" s="1568"/>
      <c r="D110" s="1568"/>
      <c r="E110" s="1568"/>
      <c r="F110" s="1568"/>
      <c r="G110" s="1568"/>
      <c r="H110" s="1568"/>
      <c r="I110" s="1568"/>
      <c r="J110" s="1568"/>
      <c r="K110" s="1569"/>
    </row>
    <row r="111" spans="1:12" ht="12.75" customHeight="1" x14ac:dyDescent="0.2">
      <c r="A111" s="490" t="s">
        <v>822</v>
      </c>
      <c r="B111" s="488">
        <v>2100</v>
      </c>
      <c r="C111" s="513">
        <v>0</v>
      </c>
      <c r="D111" s="479">
        <v>0</v>
      </c>
      <c r="E111" s="558"/>
      <c r="F111" s="479">
        <v>0</v>
      </c>
      <c r="G111" s="479">
        <v>0</v>
      </c>
      <c r="H111" s="558"/>
      <c r="I111" s="468"/>
      <c r="J111" s="468"/>
      <c r="K111" s="468"/>
    </row>
    <row r="112" spans="1:12" ht="12.75" customHeight="1" x14ac:dyDescent="0.2">
      <c r="A112" s="463" t="s">
        <v>823</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805</v>
      </c>
      <c r="B114" s="1714" t="s">
        <v>568</v>
      </c>
      <c r="C114" s="1715">
        <f>SUM(C111:C113)</f>
        <v>0</v>
      </c>
      <c r="D114" s="1715">
        <f>SUM(D111:D113)</f>
        <v>0</v>
      </c>
      <c r="E114" s="558" t="s">
        <v>1168</v>
      </c>
      <c r="F114" s="1715">
        <f>SUM(F111:F113)</f>
        <v>0</v>
      </c>
      <c r="G114" s="1715">
        <f>SUM(G111:G113)</f>
        <v>0</v>
      </c>
      <c r="H114" s="558"/>
      <c r="I114" s="468"/>
      <c r="J114" s="468"/>
      <c r="K114" s="468"/>
    </row>
    <row r="115" spans="1:11" ht="16.7" customHeight="1" thickTop="1" x14ac:dyDescent="0.2">
      <c r="A115" s="1584" t="s">
        <v>802</v>
      </c>
      <c r="B115" s="1585"/>
      <c r="C115" s="1567"/>
      <c r="D115" s="1568"/>
      <c r="E115" s="1568"/>
      <c r="F115" s="1568"/>
      <c r="G115" s="1568"/>
      <c r="H115" s="1568"/>
      <c r="I115" s="1568"/>
      <c r="J115" s="1568"/>
      <c r="K115" s="1569"/>
    </row>
    <row r="116" spans="1:11" ht="18" customHeight="1" x14ac:dyDescent="0.2">
      <c r="A116" s="1592" t="s">
        <v>1490</v>
      </c>
      <c r="B116" s="1593"/>
      <c r="C116" s="519"/>
      <c r="D116" s="518"/>
      <c r="E116" s="558"/>
      <c r="F116" s="518"/>
      <c r="G116" s="518"/>
      <c r="H116" s="558"/>
      <c r="I116" s="468"/>
      <c r="J116" s="518"/>
      <c r="K116" s="518"/>
    </row>
    <row r="117" spans="1:11" ht="12.75" customHeight="1" x14ac:dyDescent="0.2">
      <c r="A117" s="463" t="s">
        <v>1666</v>
      </c>
      <c r="B117" s="559">
        <v>3001</v>
      </c>
      <c r="C117" s="513">
        <v>3334257</v>
      </c>
      <c r="D117" s="479">
        <v>0</v>
      </c>
      <c r="E117" s="466">
        <v>0</v>
      </c>
      <c r="F117" s="479">
        <v>0</v>
      </c>
      <c r="G117" s="479">
        <v>0</v>
      </c>
      <c r="H117" s="466">
        <v>0</v>
      </c>
      <c r="I117" s="468"/>
      <c r="J117" s="467">
        <v>0</v>
      </c>
      <c r="K117" s="466">
        <v>0</v>
      </c>
    </row>
    <row r="118" spans="1:11" ht="12.75" customHeight="1" x14ac:dyDescent="0.2">
      <c r="A118" s="463" t="s">
        <v>1795</v>
      </c>
      <c r="B118" s="559">
        <v>3002</v>
      </c>
      <c r="C118" s="548"/>
      <c r="D118" s="466"/>
      <c r="E118" s="466"/>
      <c r="F118" s="466"/>
      <c r="G118" s="466"/>
      <c r="H118" s="466"/>
      <c r="I118" s="468"/>
      <c r="J118" s="467"/>
      <c r="K118" s="466"/>
    </row>
    <row r="119" spans="1:11" ht="12.75" customHeight="1" x14ac:dyDescent="0.2">
      <c r="A119" s="463" t="s">
        <v>1796</v>
      </c>
      <c r="B119" s="559">
        <v>3005</v>
      </c>
      <c r="C119" s="548">
        <v>0</v>
      </c>
      <c r="D119" s="466">
        <v>0</v>
      </c>
      <c r="E119" s="466">
        <v>0</v>
      </c>
      <c r="F119" s="466">
        <v>0</v>
      </c>
      <c r="G119" s="479">
        <v>0</v>
      </c>
      <c r="H119" s="466">
        <v>0</v>
      </c>
      <c r="I119" s="468"/>
      <c r="J119" s="467">
        <v>0</v>
      </c>
      <c r="K119" s="466">
        <v>0</v>
      </c>
    </row>
    <row r="120" spans="1:11" ht="12.75" customHeight="1" x14ac:dyDescent="0.2">
      <c r="A120" s="1927" t="s">
        <v>1932</v>
      </c>
      <c r="B120" s="559">
        <v>3030</v>
      </c>
      <c r="C120" s="548">
        <v>0</v>
      </c>
      <c r="D120" s="466">
        <v>0</v>
      </c>
      <c r="E120" s="466">
        <v>0</v>
      </c>
      <c r="F120" s="466">
        <v>0</v>
      </c>
      <c r="G120" s="466">
        <v>0</v>
      </c>
      <c r="H120" s="466">
        <v>0</v>
      </c>
      <c r="I120" s="468"/>
      <c r="J120" s="467">
        <v>0</v>
      </c>
      <c r="K120" s="466">
        <v>0</v>
      </c>
    </row>
    <row r="121" spans="1:11" x14ac:dyDescent="0.2">
      <c r="A121" s="1493" t="s">
        <v>1797</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487</v>
      </c>
      <c r="B122" s="1716"/>
      <c r="C122" s="1704">
        <f t="shared" ref="C122:H122" si="5">SUM(C117:C121)</f>
        <v>3334257</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1489</v>
      </c>
      <c r="B123" s="1594"/>
      <c r="C123" s="562"/>
      <c r="D123" s="506"/>
      <c r="E123" s="468"/>
      <c r="F123" s="563"/>
      <c r="G123" s="468"/>
      <c r="H123" s="468"/>
      <c r="I123" s="468"/>
      <c r="J123" s="468"/>
      <c r="K123" s="468"/>
    </row>
    <row r="124" spans="1:11" ht="15" customHeight="1" x14ac:dyDescent="0.2">
      <c r="A124" s="1595" t="s">
        <v>666</v>
      </c>
      <c r="B124" s="1596"/>
      <c r="C124" s="518"/>
      <c r="D124" s="506"/>
      <c r="E124" s="468"/>
      <c r="F124" s="518"/>
      <c r="G124" s="468"/>
      <c r="H124" s="468"/>
      <c r="I124" s="468"/>
      <c r="J124" s="468"/>
      <c r="K124" s="468"/>
    </row>
    <row r="125" spans="1:11" ht="12.75" customHeight="1" x14ac:dyDescent="0.2">
      <c r="A125" s="463" t="s">
        <v>865</v>
      </c>
      <c r="B125" s="564">
        <v>3100</v>
      </c>
      <c r="C125" s="479">
        <v>59729</v>
      </c>
      <c r="D125" s="558"/>
      <c r="E125" s="468"/>
      <c r="F125" s="545">
        <v>0</v>
      </c>
      <c r="G125" s="468"/>
      <c r="H125" s="468"/>
      <c r="I125" s="468"/>
      <c r="J125" s="468"/>
      <c r="K125" s="468"/>
    </row>
    <row r="126" spans="1:11" ht="12.75" customHeight="1" x14ac:dyDescent="0.2">
      <c r="A126" s="463" t="s">
        <v>1445</v>
      </c>
      <c r="B126" s="559">
        <v>3105</v>
      </c>
      <c r="C126" s="466">
        <v>0</v>
      </c>
      <c r="D126" s="558"/>
      <c r="E126" s="468"/>
      <c r="F126" s="466">
        <v>0</v>
      </c>
      <c r="G126" s="468"/>
      <c r="H126" s="468"/>
      <c r="I126" s="468"/>
      <c r="J126" s="468"/>
      <c r="K126" s="468"/>
    </row>
    <row r="127" spans="1:11" ht="12.75" customHeight="1" x14ac:dyDescent="0.2">
      <c r="A127" s="463" t="s">
        <v>866</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42763</v>
      </c>
      <c r="D128" s="558"/>
      <c r="E128" s="468"/>
      <c r="F128" s="466">
        <v>0</v>
      </c>
      <c r="G128" s="468"/>
      <c r="H128" s="468"/>
      <c r="I128" s="468"/>
      <c r="J128" s="468"/>
      <c r="K128" s="468"/>
    </row>
    <row r="129" spans="1:11" ht="12.75" customHeight="1" x14ac:dyDescent="0.2">
      <c r="A129" s="463" t="s">
        <v>1446</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1031</v>
      </c>
      <c r="B132" s="1717"/>
      <c r="C132" s="1704">
        <f>SUM(C125:C131)</f>
        <v>102492</v>
      </c>
      <c r="D132" s="1704">
        <f>SUM(D125:D131)</f>
        <v>0</v>
      </c>
      <c r="E132" s="469" t="s">
        <v>1168</v>
      </c>
      <c r="F132" s="1704">
        <f>SUM(F125:F131)</f>
        <v>0</v>
      </c>
      <c r="G132" s="468" t="s">
        <v>1168</v>
      </c>
      <c r="H132" s="468" t="s">
        <v>1168</v>
      </c>
      <c r="I132" s="468" t="s">
        <v>1168</v>
      </c>
      <c r="J132" s="468" t="s">
        <v>1168</v>
      </c>
      <c r="K132" s="468" t="s">
        <v>1168</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598</v>
      </c>
      <c r="B134" s="559">
        <v>3200</v>
      </c>
      <c r="C134" s="548">
        <v>0</v>
      </c>
      <c r="D134" s="466">
        <v>0</v>
      </c>
      <c r="E134" s="558"/>
      <c r="F134" s="468"/>
      <c r="G134" s="466">
        <v>0</v>
      </c>
      <c r="H134" s="468"/>
      <c r="I134" s="468"/>
      <c r="J134" s="468"/>
      <c r="K134" s="468"/>
    </row>
    <row r="135" spans="1:11" ht="12.75" customHeight="1" x14ac:dyDescent="0.2">
      <c r="A135" s="463" t="s">
        <v>668</v>
      </c>
      <c r="B135" s="559">
        <v>3220</v>
      </c>
      <c r="C135" s="548">
        <v>9250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599</v>
      </c>
      <c r="B137" s="559">
        <v>3235</v>
      </c>
      <c r="C137" s="486">
        <v>346</v>
      </c>
      <c r="D137" s="467">
        <v>0</v>
      </c>
      <c r="E137" s="558"/>
      <c r="F137" s="468"/>
      <c r="G137" s="467">
        <v>0</v>
      </c>
      <c r="H137" s="468"/>
      <c r="I137" s="468"/>
      <c r="J137" s="468"/>
      <c r="K137" s="468"/>
    </row>
    <row r="138" spans="1:11" ht="12.75" customHeight="1" x14ac:dyDescent="0.2">
      <c r="A138" s="463" t="s">
        <v>600</v>
      </c>
      <c r="B138" s="559">
        <v>3240</v>
      </c>
      <c r="C138" s="486">
        <v>0</v>
      </c>
      <c r="D138" s="467">
        <v>0</v>
      </c>
      <c r="E138" s="558"/>
      <c r="F138" s="468"/>
      <c r="G138" s="467">
        <v>0</v>
      </c>
      <c r="H138" s="468"/>
      <c r="I138" s="468"/>
      <c r="J138" s="468"/>
      <c r="K138" s="468"/>
    </row>
    <row r="139" spans="1:11" ht="12.75" customHeight="1" x14ac:dyDescent="0.2">
      <c r="A139" s="463" t="s">
        <v>601</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602</v>
      </c>
      <c r="B141" s="1717"/>
      <c r="C141" s="1704">
        <f>SUM(C134:C140)</f>
        <v>9596</v>
      </c>
      <c r="D141" s="1704">
        <f>SUM(D134:D140)</f>
        <v>0</v>
      </c>
      <c r="E141" s="558" t="s">
        <v>1168</v>
      </c>
      <c r="F141" s="475"/>
      <c r="G141" s="1704">
        <f>SUM(G134:G140)</f>
        <v>0</v>
      </c>
      <c r="H141" s="468" t="s">
        <v>1168</v>
      </c>
      <c r="I141" s="468" t="s">
        <v>1168</v>
      </c>
      <c r="J141" s="468" t="s">
        <v>1168</v>
      </c>
      <c r="K141" s="468" t="s">
        <v>1168</v>
      </c>
    </row>
    <row r="142" spans="1:11" ht="15.75" customHeight="1" thickTop="1" x14ac:dyDescent="0.2">
      <c r="A142" s="1597" t="s">
        <v>669</v>
      </c>
      <c r="B142" s="1598"/>
      <c r="C142" s="550"/>
      <c r="D142" s="563"/>
      <c r="E142" s="558"/>
      <c r="F142" s="550"/>
      <c r="G142" s="550"/>
      <c r="H142" s="468"/>
      <c r="I142" s="468"/>
      <c r="J142" s="468"/>
      <c r="K142" s="468"/>
    </row>
    <row r="143" spans="1:11" ht="12.75" customHeight="1" x14ac:dyDescent="0.2">
      <c r="A143" s="463" t="s">
        <v>603</v>
      </c>
      <c r="B143" s="559">
        <v>3305</v>
      </c>
      <c r="C143" s="466">
        <v>0</v>
      </c>
      <c r="D143" s="468"/>
      <c r="E143" s="558"/>
      <c r="F143" s="468"/>
      <c r="G143" s="466">
        <v>0</v>
      </c>
      <c r="H143" s="468"/>
      <c r="I143" s="468"/>
      <c r="J143" s="468"/>
      <c r="K143" s="468"/>
    </row>
    <row r="144" spans="1:11" ht="12.75" customHeight="1" x14ac:dyDescent="0.2">
      <c r="A144" s="463" t="s">
        <v>346</v>
      </c>
      <c r="B144" s="559">
        <v>3310</v>
      </c>
      <c r="C144" s="548">
        <v>0</v>
      </c>
      <c r="D144" s="468"/>
      <c r="E144" s="558"/>
      <c r="F144" s="468"/>
      <c r="G144" s="466">
        <v>0</v>
      </c>
      <c r="H144" s="468"/>
      <c r="I144" s="468"/>
      <c r="J144" s="468"/>
      <c r="K144" s="468"/>
    </row>
    <row r="145" spans="1:11" s="202" customFormat="1" ht="13.5" thickBot="1" x14ac:dyDescent="0.25">
      <c r="A145" s="1705" t="s">
        <v>395</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1055</v>
      </c>
      <c r="B146" s="565">
        <v>3360</v>
      </c>
      <c r="C146" s="566">
        <v>4371</v>
      </c>
      <c r="D146" s="567"/>
      <c r="E146" s="506"/>
      <c r="F146" s="468"/>
      <c r="G146" s="568"/>
      <c r="H146" s="468"/>
      <c r="I146" s="468"/>
      <c r="J146" s="468"/>
      <c r="K146" s="468"/>
    </row>
    <row r="147" spans="1:11" ht="12.75" customHeight="1" thickBot="1" x14ac:dyDescent="0.25">
      <c r="A147" s="1496" t="s">
        <v>921</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65978</v>
      </c>
      <c r="D148" s="570">
        <v>0</v>
      </c>
      <c r="E148" s="506"/>
      <c r="F148" s="468"/>
      <c r="G148" s="468"/>
      <c r="H148" s="468"/>
      <c r="I148" s="468"/>
      <c r="J148" s="468"/>
      <c r="K148" s="468"/>
    </row>
    <row r="149" spans="1:11" ht="12.75" customHeight="1" thickTop="1" thickBot="1" x14ac:dyDescent="0.25">
      <c r="A149" s="1497" t="s">
        <v>766</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452</v>
      </c>
      <c r="B151" s="1599"/>
      <c r="C151" s="550"/>
      <c r="D151" s="468"/>
      <c r="E151" s="558"/>
      <c r="F151" s="468"/>
      <c r="G151" s="468"/>
      <c r="H151" s="468"/>
      <c r="I151" s="468"/>
      <c r="J151" s="468"/>
      <c r="K151" s="468"/>
    </row>
    <row r="152" spans="1:11" ht="12.75" customHeight="1" x14ac:dyDescent="0.2">
      <c r="A152" s="463" t="s">
        <v>1447</v>
      </c>
      <c r="B152" s="559">
        <v>3500</v>
      </c>
      <c r="C152" s="548">
        <v>0</v>
      </c>
      <c r="D152" s="466">
        <v>0</v>
      </c>
      <c r="E152" s="558"/>
      <c r="F152" s="466">
        <v>465709</v>
      </c>
      <c r="G152" s="467">
        <v>0</v>
      </c>
      <c r="H152" s="468"/>
      <c r="I152" s="468"/>
      <c r="J152" s="468"/>
      <c r="K152" s="468"/>
    </row>
    <row r="153" spans="1:11" ht="12.75" customHeight="1" x14ac:dyDescent="0.2">
      <c r="A153" s="463" t="s">
        <v>1056</v>
      </c>
      <c r="B153" s="559">
        <v>3510</v>
      </c>
      <c r="C153" s="548">
        <v>0</v>
      </c>
      <c r="D153" s="466">
        <v>0</v>
      </c>
      <c r="E153" s="558"/>
      <c r="F153" s="466">
        <v>296872</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762581</v>
      </c>
      <c r="G155" s="1704">
        <f>SUM(G152:G154)</f>
        <v>0</v>
      </c>
      <c r="H155" s="468"/>
      <c r="I155" s="468"/>
      <c r="J155" s="468"/>
      <c r="K155" s="468"/>
    </row>
    <row r="156" spans="1:11" ht="12.75" customHeight="1" thickTop="1" thickBot="1" x14ac:dyDescent="0.25">
      <c r="A156" s="1497" t="s">
        <v>379</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999</v>
      </c>
      <c r="B158" s="571">
        <v>3695</v>
      </c>
      <c r="C158" s="573">
        <v>0</v>
      </c>
      <c r="D158" s="468"/>
      <c r="E158" s="558"/>
      <c r="F158" s="573">
        <v>0</v>
      </c>
      <c r="G158" s="573">
        <v>0</v>
      </c>
      <c r="H158" s="468"/>
      <c r="I158" s="468"/>
      <c r="J158" s="468"/>
      <c r="K158" s="468"/>
    </row>
    <row r="159" spans="1:11" ht="12.75" customHeight="1" thickTop="1" thickBot="1" x14ac:dyDescent="0.25">
      <c r="A159" s="1497" t="s">
        <v>1050</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984</v>
      </c>
      <c r="B161" s="571">
        <v>3767</v>
      </c>
      <c r="C161" s="573"/>
      <c r="D161" s="528"/>
      <c r="E161" s="558"/>
      <c r="F161" s="528"/>
      <c r="G161" s="528"/>
      <c r="H161" s="468"/>
      <c r="I161" s="468"/>
      <c r="J161" s="468"/>
      <c r="K161" s="468"/>
    </row>
    <row r="162" spans="1:11" ht="12.75" customHeight="1" thickTop="1" thickBot="1" x14ac:dyDescent="0.25">
      <c r="A162" s="1497" t="s">
        <v>985</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1448</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857</v>
      </c>
      <c r="B164" s="571">
        <v>3815</v>
      </c>
      <c r="C164" s="573">
        <v>0</v>
      </c>
      <c r="D164" s="468"/>
      <c r="E164" s="558"/>
      <c r="F164" s="573">
        <v>0</v>
      </c>
      <c r="G164" s="468"/>
      <c r="H164" s="468"/>
      <c r="I164" s="468"/>
      <c r="J164" s="468"/>
      <c r="K164" s="468"/>
    </row>
    <row r="165" spans="1:11" ht="12.75" customHeight="1" thickTop="1" thickBot="1" x14ac:dyDescent="0.25">
      <c r="A165" s="1497" t="s">
        <v>396</v>
      </c>
      <c r="B165" s="571">
        <v>3825</v>
      </c>
      <c r="C165" s="573">
        <v>0</v>
      </c>
      <c r="D165" s="468"/>
      <c r="E165" s="558"/>
      <c r="F165" s="573">
        <v>0</v>
      </c>
      <c r="G165" s="468"/>
      <c r="H165" s="468"/>
      <c r="I165" s="468"/>
      <c r="J165" s="468"/>
      <c r="K165" s="468"/>
    </row>
    <row r="166" spans="1:11" ht="12.75" customHeight="1" thickTop="1" thickBot="1" x14ac:dyDescent="0.25">
      <c r="A166" s="1497" t="s">
        <v>347</v>
      </c>
      <c r="B166" s="571">
        <v>3920</v>
      </c>
      <c r="C166" s="563"/>
      <c r="D166" s="575">
        <v>0</v>
      </c>
      <c r="E166" s="468"/>
      <c r="F166" s="563"/>
      <c r="G166" s="468"/>
      <c r="H166" s="527">
        <v>0</v>
      </c>
      <c r="I166" s="468"/>
      <c r="J166" s="468"/>
      <c r="K166" s="468"/>
    </row>
    <row r="167" spans="1:11" ht="12.75" customHeight="1" thickTop="1" thickBot="1" x14ac:dyDescent="0.25">
      <c r="A167" s="1497" t="s">
        <v>348</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12467</v>
      </c>
      <c r="D168" s="577">
        <v>0</v>
      </c>
      <c r="E168" s="577">
        <v>0</v>
      </c>
      <c r="F168" s="577">
        <v>0</v>
      </c>
      <c r="G168" s="578">
        <v>0</v>
      </c>
      <c r="H168" s="579">
        <v>0</v>
      </c>
      <c r="I168" s="578">
        <v>0</v>
      </c>
      <c r="J168" s="578">
        <v>0</v>
      </c>
      <c r="K168" s="579">
        <v>0</v>
      </c>
    </row>
    <row r="169" spans="1:11" ht="12.75" customHeight="1" thickTop="1" thickBot="1" x14ac:dyDescent="0.25">
      <c r="A169" s="2263" t="s">
        <v>397</v>
      </c>
      <c r="B169" s="2264"/>
      <c r="C169" s="1719">
        <f t="shared" ref="C169:K169" si="6">SUM(C132,C141,C145,C146:C150,C155,C156:C167,C168)</f>
        <v>194904</v>
      </c>
      <c r="D169" s="1719">
        <f t="shared" si="6"/>
        <v>0</v>
      </c>
      <c r="E169" s="1719">
        <f t="shared" si="6"/>
        <v>0</v>
      </c>
      <c r="F169" s="1719">
        <f t="shared" si="6"/>
        <v>762581</v>
      </c>
      <c r="G169" s="1719">
        <f t="shared" si="6"/>
        <v>0</v>
      </c>
      <c r="H169" s="1719">
        <f t="shared" si="6"/>
        <v>0</v>
      </c>
      <c r="I169" s="1719">
        <f t="shared" si="6"/>
        <v>0</v>
      </c>
      <c r="J169" s="1719">
        <f t="shared" si="6"/>
        <v>0</v>
      </c>
      <c r="K169" s="1700">
        <f t="shared" si="6"/>
        <v>0</v>
      </c>
    </row>
    <row r="170" spans="1:11" ht="12.75" customHeight="1" thickTop="1" thickBot="1" x14ac:dyDescent="0.25">
      <c r="A170" s="1705" t="s">
        <v>398</v>
      </c>
      <c r="B170" s="1711" t="s">
        <v>574</v>
      </c>
      <c r="C170" s="1712">
        <f t="shared" ref="C170:K170" si="7">SUM(C122,C169)</f>
        <v>3529161</v>
      </c>
      <c r="D170" s="1712">
        <f t="shared" si="7"/>
        <v>0</v>
      </c>
      <c r="E170" s="1712">
        <f t="shared" si="7"/>
        <v>0</v>
      </c>
      <c r="F170" s="1712">
        <f t="shared" si="7"/>
        <v>762581</v>
      </c>
      <c r="G170" s="1712">
        <f t="shared" si="7"/>
        <v>0</v>
      </c>
      <c r="H170" s="1712">
        <f t="shared" si="7"/>
        <v>0</v>
      </c>
      <c r="I170" s="1712">
        <f t="shared" si="7"/>
        <v>0</v>
      </c>
      <c r="J170" s="1712">
        <f t="shared" si="7"/>
        <v>0</v>
      </c>
      <c r="K170" s="1699">
        <f t="shared" si="7"/>
        <v>0</v>
      </c>
    </row>
    <row r="171" spans="1:11" ht="16.7" customHeight="1" thickTop="1" x14ac:dyDescent="0.2">
      <c r="A171" s="1586" t="s">
        <v>803</v>
      </c>
      <c r="B171" s="1564"/>
      <c r="C171" s="1567"/>
      <c r="D171" s="1568"/>
      <c r="E171" s="1568"/>
      <c r="F171" s="1568"/>
      <c r="G171" s="1568"/>
      <c r="H171" s="1568"/>
      <c r="I171" s="1568"/>
      <c r="J171" s="1568"/>
      <c r="K171" s="1569"/>
    </row>
    <row r="172" spans="1:11" ht="15.75" customHeight="1" x14ac:dyDescent="0.2">
      <c r="A172" s="2265" t="s">
        <v>1491</v>
      </c>
      <c r="B172" s="2266"/>
      <c r="C172" s="517"/>
      <c r="D172" s="517"/>
      <c r="E172" s="506"/>
      <c r="F172" s="468"/>
      <c r="G172" s="468"/>
      <c r="H172" s="468"/>
      <c r="I172" s="468"/>
      <c r="J172" s="468"/>
      <c r="K172" s="468"/>
    </row>
    <row r="173" spans="1:11" ht="12.6" customHeight="1" x14ac:dyDescent="0.2">
      <c r="A173" s="490" t="s">
        <v>1043</v>
      </c>
      <c r="B173" s="488">
        <v>4001</v>
      </c>
      <c r="C173" s="513">
        <v>0</v>
      </c>
      <c r="D173" s="479">
        <v>0</v>
      </c>
      <c r="E173" s="467">
        <v>0</v>
      </c>
      <c r="F173" s="466">
        <v>0</v>
      </c>
      <c r="G173" s="466">
        <v>0</v>
      </c>
      <c r="H173" s="467">
        <v>0</v>
      </c>
      <c r="I173" s="467"/>
      <c r="J173" s="467">
        <v>0</v>
      </c>
      <c r="K173" s="467">
        <v>0</v>
      </c>
    </row>
    <row r="174" spans="1:11" ht="22.5" x14ac:dyDescent="0.2">
      <c r="A174" s="560" t="s">
        <v>804</v>
      </c>
      <c r="B174" s="580">
        <v>4009</v>
      </c>
      <c r="C174" s="548">
        <v>0</v>
      </c>
      <c r="D174" s="466">
        <v>0</v>
      </c>
      <c r="E174" s="467">
        <v>0</v>
      </c>
      <c r="F174" s="466">
        <v>0</v>
      </c>
      <c r="G174" s="466">
        <v>0</v>
      </c>
      <c r="H174" s="467">
        <v>0</v>
      </c>
      <c r="I174" s="467"/>
      <c r="J174" s="467">
        <v>0</v>
      </c>
      <c r="K174" s="467">
        <v>0</v>
      </c>
    </row>
    <row r="175" spans="1:11" ht="13.5" thickBot="1" x14ac:dyDescent="0.25">
      <c r="A175" s="2269" t="s">
        <v>1664</v>
      </c>
      <c r="B175" s="2270"/>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273" t="s">
        <v>1663</v>
      </c>
      <c r="B176" s="2274"/>
      <c r="C176" s="595"/>
      <c r="D176" s="596"/>
      <c r="E176" s="597"/>
      <c r="F176" s="598"/>
      <c r="G176" s="598"/>
      <c r="H176" s="598"/>
      <c r="I176" s="598"/>
      <c r="J176" s="598"/>
      <c r="K176" s="598"/>
    </row>
    <row r="177" spans="1:11" ht="12.75" customHeight="1" x14ac:dyDescent="0.2">
      <c r="A177" s="463" t="s">
        <v>1044</v>
      </c>
      <c r="B177" s="470">
        <v>4045</v>
      </c>
      <c r="C177" s="548">
        <v>0</v>
      </c>
      <c r="D177" s="468"/>
      <c r="E177" s="558"/>
      <c r="F177" s="468"/>
      <c r="G177" s="468"/>
      <c r="H177" s="468"/>
      <c r="I177" s="468"/>
      <c r="J177" s="468"/>
      <c r="K177" s="468"/>
    </row>
    <row r="178" spans="1:11" ht="12.75" customHeight="1" x14ac:dyDescent="0.2">
      <c r="A178" s="463" t="s">
        <v>1045</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785</v>
      </c>
      <c r="B180" s="580">
        <v>4090</v>
      </c>
      <c r="C180" s="548">
        <v>0</v>
      </c>
      <c r="D180" s="466">
        <v>0</v>
      </c>
      <c r="E180" s="468"/>
      <c r="F180" s="466">
        <v>0</v>
      </c>
      <c r="G180" s="466">
        <v>0</v>
      </c>
      <c r="H180" s="466">
        <v>0</v>
      </c>
      <c r="I180" s="468"/>
      <c r="J180" s="468"/>
      <c r="K180" s="466">
        <v>0</v>
      </c>
    </row>
    <row r="181" spans="1:11" ht="13.5" thickBot="1" x14ac:dyDescent="0.25">
      <c r="A181" s="2271" t="s">
        <v>784</v>
      </c>
      <c r="B181" s="2272"/>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267" t="s">
        <v>1799</v>
      </c>
      <c r="B182" s="2268"/>
      <c r="C182" s="581"/>
      <c r="D182" s="563"/>
      <c r="E182" s="506"/>
      <c r="F182" s="563"/>
      <c r="G182" s="563"/>
      <c r="H182" s="468"/>
      <c r="I182" s="468"/>
      <c r="J182" s="468"/>
      <c r="K182" s="468"/>
    </row>
    <row r="183" spans="1:11" ht="15.75" customHeight="1" x14ac:dyDescent="0.2">
      <c r="A183" s="1600" t="s">
        <v>1601</v>
      </c>
      <c r="B183" s="1601"/>
      <c r="C183" s="519"/>
      <c r="D183" s="518"/>
      <c r="E183" s="506"/>
      <c r="F183" s="518"/>
      <c r="G183" s="518"/>
      <c r="H183" s="468"/>
      <c r="I183" s="468"/>
      <c r="J183" s="468"/>
      <c r="K183" s="468"/>
    </row>
    <row r="184" spans="1:11" ht="12.75" customHeight="1" x14ac:dyDescent="0.2">
      <c r="A184" s="463" t="s">
        <v>1602</v>
      </c>
      <c r="B184" s="470">
        <v>4100</v>
      </c>
      <c r="C184" s="513">
        <v>0</v>
      </c>
      <c r="D184" s="479">
        <v>0</v>
      </c>
      <c r="E184" s="558"/>
      <c r="F184" s="479">
        <v>0</v>
      </c>
      <c r="G184" s="479">
        <v>0</v>
      </c>
      <c r="H184" s="468"/>
      <c r="I184" s="468"/>
      <c r="J184" s="468"/>
      <c r="K184" s="468"/>
    </row>
    <row r="185" spans="1:11" ht="12.75" customHeight="1" x14ac:dyDescent="0.2">
      <c r="A185" s="463" t="s">
        <v>1603</v>
      </c>
      <c r="B185" s="470">
        <v>4105</v>
      </c>
      <c r="C185" s="548">
        <v>0</v>
      </c>
      <c r="D185" s="466">
        <v>0</v>
      </c>
      <c r="E185" s="558"/>
      <c r="F185" s="466">
        <v>0</v>
      </c>
      <c r="G185" s="466">
        <v>0</v>
      </c>
      <c r="H185" s="468"/>
      <c r="I185" s="468"/>
      <c r="J185" s="468"/>
      <c r="K185" s="468"/>
    </row>
    <row r="186" spans="1:11" ht="12.75" customHeight="1" x14ac:dyDescent="0.2">
      <c r="A186" s="463" t="s">
        <v>1605</v>
      </c>
      <c r="B186" s="470">
        <v>4107</v>
      </c>
      <c r="C186" s="548">
        <v>0</v>
      </c>
      <c r="D186" s="466">
        <v>0</v>
      </c>
      <c r="E186" s="558"/>
      <c r="F186" s="466">
        <v>0</v>
      </c>
      <c r="G186" s="466">
        <v>0</v>
      </c>
      <c r="H186" s="468"/>
      <c r="I186" s="468"/>
      <c r="J186" s="468"/>
      <c r="K186" s="468"/>
    </row>
    <row r="187" spans="1:11" ht="12.75" customHeight="1" x14ac:dyDescent="0.2">
      <c r="A187" s="463" t="s">
        <v>1604</v>
      </c>
      <c r="B187" s="470">
        <v>4199</v>
      </c>
      <c r="C187" s="548">
        <v>0</v>
      </c>
      <c r="D187" s="466">
        <v>0</v>
      </c>
      <c r="E187" s="558"/>
      <c r="F187" s="466">
        <v>0</v>
      </c>
      <c r="G187" s="466">
        <v>0</v>
      </c>
      <c r="H187" s="468"/>
      <c r="I187" s="468"/>
      <c r="J187" s="468"/>
      <c r="K187" s="468"/>
    </row>
    <row r="188" spans="1:11" ht="12.75" customHeight="1" thickBot="1" x14ac:dyDescent="0.25">
      <c r="A188" s="1705" t="s">
        <v>1606</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454</v>
      </c>
      <c r="B189" s="1602"/>
      <c r="C189" s="550"/>
      <c r="D189" s="563"/>
      <c r="E189" s="558"/>
      <c r="F189" s="550"/>
      <c r="G189" s="550"/>
      <c r="H189" s="468"/>
      <c r="I189" s="468"/>
      <c r="J189" s="468"/>
      <c r="K189" s="468"/>
    </row>
    <row r="190" spans="1:11" x14ac:dyDescent="0.2">
      <c r="A190" s="463" t="s">
        <v>1449</v>
      </c>
      <c r="B190" s="470">
        <v>4200</v>
      </c>
      <c r="C190" s="467">
        <v>0</v>
      </c>
      <c r="D190" s="468"/>
      <c r="E190" s="558"/>
      <c r="F190" s="550"/>
      <c r="G190" s="582">
        <v>0</v>
      </c>
      <c r="H190" s="468"/>
      <c r="I190" s="468"/>
      <c r="J190" s="468"/>
      <c r="K190" s="468"/>
    </row>
    <row r="191" spans="1:11" ht="12.75" customHeight="1" x14ac:dyDescent="0.2">
      <c r="A191" s="463" t="s">
        <v>1057</v>
      </c>
      <c r="B191" s="470">
        <v>4210</v>
      </c>
      <c r="C191" s="466">
        <v>364176</v>
      </c>
      <c r="D191" s="468"/>
      <c r="E191" s="558"/>
      <c r="F191" s="468"/>
      <c r="G191" s="582">
        <v>0</v>
      </c>
      <c r="H191" s="468"/>
      <c r="I191" s="468"/>
      <c r="J191" s="468"/>
      <c r="K191" s="468"/>
    </row>
    <row r="192" spans="1:11" ht="12.75" customHeight="1" x14ac:dyDescent="0.2">
      <c r="A192" s="463" t="s">
        <v>1046</v>
      </c>
      <c r="B192" s="470">
        <v>4215</v>
      </c>
      <c r="C192" s="548">
        <v>0</v>
      </c>
      <c r="D192" s="468"/>
      <c r="E192" s="558"/>
      <c r="F192" s="468"/>
      <c r="G192" s="582">
        <v>0</v>
      </c>
      <c r="H192" s="468"/>
      <c r="I192" s="468"/>
      <c r="J192" s="468"/>
      <c r="K192" s="468"/>
    </row>
    <row r="193" spans="1:11" ht="12.75" customHeight="1" x14ac:dyDescent="0.2">
      <c r="A193" s="463" t="s">
        <v>1058</v>
      </c>
      <c r="B193" s="470">
        <v>4220</v>
      </c>
      <c r="C193" s="548">
        <v>0</v>
      </c>
      <c r="D193" s="468"/>
      <c r="E193" s="558"/>
      <c r="F193" s="468"/>
      <c r="G193" s="582">
        <v>0</v>
      </c>
      <c r="H193" s="468"/>
      <c r="I193" s="468"/>
      <c r="J193" s="468"/>
      <c r="K193" s="468"/>
    </row>
    <row r="194" spans="1:11" ht="12.75" customHeight="1" x14ac:dyDescent="0.2">
      <c r="A194" s="463" t="s">
        <v>1450</v>
      </c>
      <c r="B194" s="470">
        <v>4225</v>
      </c>
      <c r="C194" s="548">
        <v>0</v>
      </c>
      <c r="D194" s="468"/>
      <c r="E194" s="558"/>
      <c r="F194" s="468"/>
      <c r="G194" s="582">
        <v>0</v>
      </c>
      <c r="H194" s="468"/>
      <c r="I194" s="468"/>
      <c r="J194" s="468"/>
      <c r="K194" s="468"/>
    </row>
    <row r="195" spans="1:11" ht="12.75" customHeight="1" x14ac:dyDescent="0.2">
      <c r="A195" s="463" t="s">
        <v>1451</v>
      </c>
      <c r="B195" s="470">
        <v>4226</v>
      </c>
      <c r="C195" s="548">
        <v>0</v>
      </c>
      <c r="D195" s="468"/>
      <c r="E195" s="558"/>
      <c r="F195" s="468"/>
      <c r="G195" s="582">
        <v>0</v>
      </c>
      <c r="H195" s="468"/>
      <c r="I195" s="468"/>
      <c r="J195" s="468"/>
      <c r="K195" s="468"/>
    </row>
    <row r="196" spans="1:11" ht="12.75" customHeight="1" x14ac:dyDescent="0.2">
      <c r="A196" s="463" t="s">
        <v>791</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547</v>
      </c>
      <c r="B198" s="1706"/>
      <c r="C198" s="1685">
        <f>SUM(C190:C197)</f>
        <v>364176</v>
      </c>
      <c r="D198" s="468"/>
      <c r="E198" s="468"/>
      <c r="F198" s="468"/>
      <c r="G198" s="1685">
        <f>SUM(G190:G197)</f>
        <v>0</v>
      </c>
      <c r="H198" s="468"/>
      <c r="I198" s="468"/>
      <c r="J198" s="468"/>
      <c r="K198" s="468"/>
    </row>
    <row r="199" spans="1:11" ht="15.75" customHeight="1" thickTop="1" x14ac:dyDescent="0.2">
      <c r="A199" s="1597" t="s">
        <v>1137</v>
      </c>
      <c r="B199" s="1602"/>
      <c r="C199" s="550"/>
      <c r="D199" s="468"/>
      <c r="E199" s="468"/>
      <c r="F199" s="468"/>
      <c r="G199" s="468"/>
      <c r="H199" s="468"/>
      <c r="I199" s="468"/>
      <c r="J199" s="468"/>
      <c r="K199" s="468"/>
    </row>
    <row r="200" spans="1:11" ht="12.75" customHeight="1" x14ac:dyDescent="0.2">
      <c r="A200" s="463" t="s">
        <v>917</v>
      </c>
      <c r="B200" s="470">
        <v>4300</v>
      </c>
      <c r="C200" s="466">
        <v>385074</v>
      </c>
      <c r="D200" s="466">
        <v>0</v>
      </c>
      <c r="E200" s="468"/>
      <c r="F200" s="466">
        <v>0</v>
      </c>
      <c r="G200" s="466">
        <v>0</v>
      </c>
      <c r="H200" s="468"/>
      <c r="I200" s="468"/>
      <c r="J200" s="468"/>
      <c r="K200" s="468"/>
    </row>
    <row r="201" spans="1:11" ht="12.75" customHeight="1" x14ac:dyDescent="0.2">
      <c r="A201" s="463" t="s">
        <v>918</v>
      </c>
      <c r="B201" s="470">
        <v>4305</v>
      </c>
      <c r="C201" s="548">
        <v>0</v>
      </c>
      <c r="D201" s="466">
        <v>0</v>
      </c>
      <c r="E201" s="468"/>
      <c r="F201" s="466">
        <v>0</v>
      </c>
      <c r="G201" s="466">
        <v>0</v>
      </c>
      <c r="H201" s="468"/>
      <c r="I201" s="468"/>
      <c r="J201" s="468"/>
      <c r="K201" s="468"/>
    </row>
    <row r="202" spans="1:11" ht="12.75" customHeight="1" x14ac:dyDescent="0.2">
      <c r="A202" s="463" t="s">
        <v>1030</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399</v>
      </c>
      <c r="B204" s="1706"/>
      <c r="C204" s="1704">
        <f>SUM(C200:C203)</f>
        <v>385074</v>
      </c>
      <c r="D204" s="1704">
        <f>SUM(D200:D203)</f>
        <v>0</v>
      </c>
      <c r="E204" s="468"/>
      <c r="F204" s="1704">
        <f>SUM(F200:F203)</f>
        <v>0</v>
      </c>
      <c r="G204" s="1704">
        <f>SUM(G200:G203)</f>
        <v>0</v>
      </c>
      <c r="H204" s="468"/>
      <c r="I204" s="468"/>
      <c r="J204" s="468"/>
      <c r="K204" s="468"/>
    </row>
    <row r="205" spans="1:11" ht="15.75" customHeight="1" thickTop="1" x14ac:dyDescent="0.2">
      <c r="A205" s="1597" t="s">
        <v>1138</v>
      </c>
      <c r="B205" s="1602"/>
      <c r="C205" s="550"/>
      <c r="D205" s="550"/>
      <c r="E205" s="468"/>
      <c r="F205" s="550"/>
      <c r="G205" s="550"/>
      <c r="H205" s="468"/>
      <c r="I205" s="468"/>
      <c r="J205" s="468"/>
      <c r="K205" s="468"/>
    </row>
    <row r="206" spans="1:11" ht="12.75" customHeight="1" x14ac:dyDescent="0.2">
      <c r="A206" s="463" t="s">
        <v>758</v>
      </c>
      <c r="B206" s="470">
        <v>4400</v>
      </c>
      <c r="C206" s="548">
        <v>0</v>
      </c>
      <c r="D206" s="466">
        <v>0</v>
      </c>
      <c r="E206" s="468"/>
      <c r="F206" s="466">
        <v>0</v>
      </c>
      <c r="G206" s="466">
        <v>0</v>
      </c>
      <c r="H206" s="468"/>
      <c r="I206" s="468"/>
      <c r="J206" s="468"/>
      <c r="K206" s="468"/>
    </row>
    <row r="207" spans="1:11" ht="12.75" customHeight="1" x14ac:dyDescent="0.2">
      <c r="A207" s="463" t="s">
        <v>1452</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888</v>
      </c>
      <c r="B209" s="1706"/>
      <c r="C209" s="1704">
        <f>SUM(C206:C208)</f>
        <v>0</v>
      </c>
      <c r="D209" s="1704">
        <f>SUM(D206:D208)</f>
        <v>0</v>
      </c>
      <c r="E209" s="468" t="s">
        <v>1168</v>
      </c>
      <c r="F209" s="1704">
        <f>SUM(F206:F208)</f>
        <v>0</v>
      </c>
      <c r="G209" s="1704">
        <f>SUM(G206:G208)</f>
        <v>0</v>
      </c>
      <c r="H209" s="468"/>
      <c r="I209" s="468"/>
      <c r="J209" s="468"/>
      <c r="K209" s="468"/>
    </row>
    <row r="210" spans="1:11" ht="15.75" customHeight="1" thickTop="1" x14ac:dyDescent="0.2">
      <c r="A210" s="1597" t="s">
        <v>1091</v>
      </c>
      <c r="B210" s="1602"/>
      <c r="C210" s="550"/>
      <c r="D210" s="550"/>
      <c r="E210" s="468"/>
      <c r="F210" s="550"/>
      <c r="G210" s="550"/>
      <c r="H210" s="468"/>
      <c r="I210" s="468"/>
      <c r="J210" s="468"/>
      <c r="K210" s="468"/>
    </row>
    <row r="211" spans="1:11" ht="12.75" customHeight="1" x14ac:dyDescent="0.2">
      <c r="A211" s="463" t="s">
        <v>1051</v>
      </c>
      <c r="B211" s="470">
        <v>4600</v>
      </c>
      <c r="C211" s="548">
        <v>138</v>
      </c>
      <c r="D211" s="466">
        <v>0</v>
      </c>
      <c r="E211" s="468"/>
      <c r="F211" s="466">
        <v>0</v>
      </c>
      <c r="G211" s="466">
        <v>0</v>
      </c>
      <c r="H211" s="468"/>
      <c r="I211" s="468"/>
      <c r="J211" s="468"/>
      <c r="K211" s="468"/>
    </row>
    <row r="212" spans="1:11" ht="12.75" customHeight="1" x14ac:dyDescent="0.2">
      <c r="A212" s="463" t="s">
        <v>1052</v>
      </c>
      <c r="B212" s="470">
        <v>4605</v>
      </c>
      <c r="C212" s="548">
        <v>0</v>
      </c>
      <c r="D212" s="466">
        <v>0</v>
      </c>
      <c r="E212" s="468"/>
      <c r="F212" s="466">
        <v>0</v>
      </c>
      <c r="G212" s="466">
        <v>0</v>
      </c>
      <c r="H212" s="468"/>
      <c r="I212" s="468"/>
      <c r="J212" s="468"/>
      <c r="K212" s="468"/>
    </row>
    <row r="213" spans="1:11" ht="12.75" customHeight="1" x14ac:dyDescent="0.2">
      <c r="A213" s="463" t="s">
        <v>1453</v>
      </c>
      <c r="B213" s="554">
        <v>4620</v>
      </c>
      <c r="C213" s="548">
        <v>73323</v>
      </c>
      <c r="D213" s="466">
        <v>0</v>
      </c>
      <c r="E213" s="468"/>
      <c r="F213" s="466">
        <v>0</v>
      </c>
      <c r="G213" s="466">
        <v>0</v>
      </c>
      <c r="H213" s="468"/>
      <c r="I213" s="468"/>
      <c r="J213" s="468"/>
      <c r="K213" s="468"/>
    </row>
    <row r="214" spans="1:11" ht="12.75" customHeight="1" x14ac:dyDescent="0.2">
      <c r="A214" s="463" t="s">
        <v>1053</v>
      </c>
      <c r="B214" s="470">
        <v>4625</v>
      </c>
      <c r="C214" s="548">
        <v>7523</v>
      </c>
      <c r="D214" s="466">
        <v>0</v>
      </c>
      <c r="E214" s="468"/>
      <c r="F214" s="466">
        <v>0</v>
      </c>
      <c r="G214" s="466">
        <v>0</v>
      </c>
      <c r="H214" s="468"/>
      <c r="I214" s="468"/>
      <c r="J214" s="468"/>
      <c r="K214" s="468"/>
    </row>
    <row r="215" spans="1:11" ht="12.75" customHeight="1" x14ac:dyDescent="0.2">
      <c r="A215" s="463" t="s">
        <v>1054</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446</v>
      </c>
      <c r="B217" s="1706"/>
      <c r="C217" s="1704">
        <f>SUM(C211:C216)</f>
        <v>80984</v>
      </c>
      <c r="D217" s="1704">
        <f>SUM(D211:D216)</f>
        <v>0</v>
      </c>
      <c r="E217" s="468"/>
      <c r="F217" s="1704">
        <f>SUM(F211:F216)</f>
        <v>0</v>
      </c>
      <c r="G217" s="1704">
        <f>SUM(G211:G216)</f>
        <v>0</v>
      </c>
      <c r="H217" s="468"/>
      <c r="I217" s="468"/>
      <c r="J217" s="468"/>
      <c r="K217" s="468"/>
    </row>
    <row r="218" spans="1:11" ht="15.75" customHeight="1" thickTop="1" x14ac:dyDescent="0.2">
      <c r="A218" s="1597" t="s">
        <v>1092</v>
      </c>
      <c r="B218" s="1602"/>
      <c r="C218" s="550"/>
      <c r="D218" s="550"/>
      <c r="E218" s="468"/>
      <c r="F218" s="550"/>
      <c r="G218" s="550"/>
      <c r="H218" s="468"/>
      <c r="I218" s="468"/>
      <c r="J218" s="468"/>
      <c r="K218" s="468"/>
    </row>
    <row r="219" spans="1:11" ht="12.75" customHeight="1" x14ac:dyDescent="0.2">
      <c r="A219" s="463" t="s">
        <v>786</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1084</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756</v>
      </c>
      <c r="B222" s="488">
        <v>4810</v>
      </c>
      <c r="C222" s="572">
        <v>0</v>
      </c>
      <c r="D222" s="573">
        <v>0</v>
      </c>
      <c r="E222" s="468"/>
      <c r="F222" s="468"/>
      <c r="G222" s="573">
        <v>0</v>
      </c>
      <c r="H222" s="468"/>
      <c r="I222" s="468"/>
      <c r="J222" s="468"/>
      <c r="K222" s="468"/>
    </row>
    <row r="223" spans="1:11" ht="12.75" customHeight="1" thickTop="1" x14ac:dyDescent="0.2">
      <c r="A223" s="490" t="s">
        <v>349</v>
      </c>
      <c r="B223" s="488">
        <v>4850</v>
      </c>
      <c r="C223" s="486">
        <v>0</v>
      </c>
      <c r="D223" s="467">
        <v>0</v>
      </c>
      <c r="E223" s="467"/>
      <c r="F223" s="467">
        <v>0</v>
      </c>
      <c r="G223" s="467">
        <v>0</v>
      </c>
      <c r="H223" s="467">
        <v>0</v>
      </c>
      <c r="I223" s="468"/>
      <c r="J223" s="467"/>
      <c r="K223" s="467"/>
    </row>
    <row r="224" spans="1:11" ht="12.75" customHeight="1" x14ac:dyDescent="0.2">
      <c r="A224" s="490" t="s">
        <v>350</v>
      </c>
      <c r="B224" s="488">
        <v>4851</v>
      </c>
      <c r="C224" s="486">
        <v>0</v>
      </c>
      <c r="D224" s="467">
        <v>0</v>
      </c>
      <c r="E224" s="468"/>
      <c r="F224" s="473">
        <v>0</v>
      </c>
      <c r="G224" s="467">
        <v>0</v>
      </c>
      <c r="H224" s="468"/>
      <c r="I224" s="468"/>
      <c r="J224" s="468"/>
      <c r="K224" s="468"/>
    </row>
    <row r="225" spans="1:11" ht="12.75" customHeight="1" x14ac:dyDescent="0.2">
      <c r="A225" s="490" t="s">
        <v>351</v>
      </c>
      <c r="B225" s="488">
        <v>4852</v>
      </c>
      <c r="C225" s="486">
        <v>0</v>
      </c>
      <c r="D225" s="467">
        <v>0</v>
      </c>
      <c r="E225" s="467"/>
      <c r="F225" s="467">
        <v>0</v>
      </c>
      <c r="G225" s="467">
        <v>0</v>
      </c>
      <c r="H225" s="467">
        <v>0</v>
      </c>
      <c r="I225" s="468"/>
      <c r="J225" s="467"/>
      <c r="K225" s="467"/>
    </row>
    <row r="226" spans="1:11" ht="12.75" customHeight="1" x14ac:dyDescent="0.2">
      <c r="A226" s="490" t="s">
        <v>352</v>
      </c>
      <c r="B226" s="488">
        <v>4853</v>
      </c>
      <c r="C226" s="486">
        <v>0</v>
      </c>
      <c r="D226" s="467">
        <v>0</v>
      </c>
      <c r="E226" s="467"/>
      <c r="F226" s="467">
        <v>0</v>
      </c>
      <c r="G226" s="467">
        <v>0</v>
      </c>
      <c r="H226" s="467">
        <v>0</v>
      </c>
      <c r="I226" s="468"/>
      <c r="J226" s="467"/>
      <c r="K226" s="467"/>
    </row>
    <row r="227" spans="1:11" ht="12.75" customHeight="1" x14ac:dyDescent="0.2">
      <c r="A227" s="490" t="s">
        <v>353</v>
      </c>
      <c r="B227" s="488">
        <v>4854</v>
      </c>
      <c r="C227" s="486">
        <v>0</v>
      </c>
      <c r="D227" s="467">
        <v>0</v>
      </c>
      <c r="E227" s="467"/>
      <c r="F227" s="467">
        <v>0</v>
      </c>
      <c r="G227" s="467">
        <v>0</v>
      </c>
      <c r="H227" s="467">
        <v>0</v>
      </c>
      <c r="I227" s="468"/>
      <c r="J227" s="467"/>
      <c r="K227" s="467"/>
    </row>
    <row r="228" spans="1:11" ht="12.75" customHeight="1" x14ac:dyDescent="0.2">
      <c r="A228" s="490" t="s">
        <v>463</v>
      </c>
      <c r="B228" s="488">
        <v>4855</v>
      </c>
      <c r="C228" s="486">
        <v>0</v>
      </c>
      <c r="D228" s="467">
        <v>0</v>
      </c>
      <c r="E228" s="467"/>
      <c r="F228" s="467">
        <v>0</v>
      </c>
      <c r="G228" s="467">
        <v>0</v>
      </c>
      <c r="H228" s="467">
        <v>0</v>
      </c>
      <c r="I228" s="468"/>
      <c r="J228" s="467"/>
      <c r="K228" s="467"/>
    </row>
    <row r="229" spans="1:11" ht="12.75" customHeight="1" x14ac:dyDescent="0.2">
      <c r="A229" s="490" t="s">
        <v>354</v>
      </c>
      <c r="B229" s="488">
        <v>4856</v>
      </c>
      <c r="C229" s="486">
        <v>0</v>
      </c>
      <c r="D229" s="467">
        <v>0</v>
      </c>
      <c r="E229" s="467"/>
      <c r="F229" s="467">
        <v>0</v>
      </c>
      <c r="G229" s="467">
        <v>0</v>
      </c>
      <c r="H229" s="467">
        <v>0</v>
      </c>
      <c r="I229" s="468"/>
      <c r="J229" s="467"/>
      <c r="K229" s="467"/>
    </row>
    <row r="230" spans="1:11" ht="12.75" customHeight="1" x14ac:dyDescent="0.2">
      <c r="A230" s="490" t="s">
        <v>355</v>
      </c>
      <c r="B230" s="488">
        <v>4857</v>
      </c>
      <c r="C230" s="486">
        <v>0</v>
      </c>
      <c r="D230" s="467">
        <v>0</v>
      </c>
      <c r="E230" s="467"/>
      <c r="F230" s="467">
        <v>0</v>
      </c>
      <c r="G230" s="467">
        <v>0</v>
      </c>
      <c r="H230" s="467">
        <v>0</v>
      </c>
      <c r="I230" s="468"/>
      <c r="J230" s="467"/>
      <c r="K230" s="467"/>
    </row>
    <row r="231" spans="1:11" ht="12.75" customHeight="1" x14ac:dyDescent="0.2">
      <c r="A231" s="490" t="s">
        <v>356</v>
      </c>
      <c r="B231" s="488">
        <v>4860</v>
      </c>
      <c r="C231" s="486">
        <v>0</v>
      </c>
      <c r="D231" s="467">
        <v>0</v>
      </c>
      <c r="E231" s="467"/>
      <c r="F231" s="467">
        <v>0</v>
      </c>
      <c r="G231" s="467">
        <v>0</v>
      </c>
      <c r="H231" s="467">
        <v>0</v>
      </c>
      <c r="I231" s="468"/>
      <c r="J231" s="467"/>
      <c r="K231" s="467"/>
    </row>
    <row r="232" spans="1:11" ht="12.75" customHeight="1" x14ac:dyDescent="0.2">
      <c r="A232" s="490" t="s">
        <v>357</v>
      </c>
      <c r="B232" s="488">
        <v>4861</v>
      </c>
      <c r="C232" s="486">
        <v>0</v>
      </c>
      <c r="D232" s="467">
        <v>0</v>
      </c>
      <c r="E232" s="467"/>
      <c r="F232" s="467">
        <v>0</v>
      </c>
      <c r="G232" s="467">
        <v>0</v>
      </c>
      <c r="H232" s="467">
        <v>0</v>
      </c>
      <c r="I232" s="468"/>
      <c r="J232" s="467"/>
      <c r="K232" s="467"/>
    </row>
    <row r="233" spans="1:11" ht="12.75" customHeight="1" x14ac:dyDescent="0.2">
      <c r="A233" s="490" t="s">
        <v>358</v>
      </c>
      <c r="B233" s="488">
        <v>4862</v>
      </c>
      <c r="C233" s="486">
        <v>0</v>
      </c>
      <c r="D233" s="467">
        <v>0</v>
      </c>
      <c r="E233" s="474"/>
      <c r="F233" s="467">
        <v>0</v>
      </c>
      <c r="G233" s="467">
        <v>0</v>
      </c>
      <c r="H233" s="474"/>
      <c r="I233" s="468"/>
      <c r="J233" s="474"/>
      <c r="K233" s="474"/>
    </row>
    <row r="234" spans="1:11" ht="12.75" customHeight="1" x14ac:dyDescent="0.2">
      <c r="A234" s="490" t="s">
        <v>359</v>
      </c>
      <c r="B234" s="488">
        <v>4863</v>
      </c>
      <c r="C234" s="486">
        <v>0</v>
      </c>
      <c r="D234" s="467">
        <v>0</v>
      </c>
      <c r="E234" s="468"/>
      <c r="F234" s="474"/>
      <c r="G234" s="523"/>
      <c r="H234" s="468"/>
      <c r="I234" s="468"/>
      <c r="J234" s="468"/>
      <c r="K234" s="468"/>
    </row>
    <row r="235" spans="1:11" ht="12.75" customHeight="1" x14ac:dyDescent="0.2">
      <c r="A235" s="490" t="s">
        <v>468</v>
      </c>
      <c r="B235" s="488">
        <v>4864</v>
      </c>
      <c r="C235" s="486">
        <v>0</v>
      </c>
      <c r="D235" s="467">
        <v>0</v>
      </c>
      <c r="E235" s="467"/>
      <c r="F235" s="467">
        <v>0</v>
      </c>
      <c r="G235" s="467">
        <v>0</v>
      </c>
      <c r="H235" s="467">
        <v>0</v>
      </c>
      <c r="I235" s="468"/>
      <c r="J235" s="467"/>
      <c r="K235" s="467"/>
    </row>
    <row r="236" spans="1:11" ht="12.75" customHeight="1" x14ac:dyDescent="0.2">
      <c r="A236" s="490" t="s">
        <v>469</v>
      </c>
      <c r="B236" s="488">
        <v>4865</v>
      </c>
      <c r="C236" s="486">
        <v>0</v>
      </c>
      <c r="D236" s="467">
        <v>0</v>
      </c>
      <c r="E236" s="467"/>
      <c r="F236" s="467">
        <v>0</v>
      </c>
      <c r="G236" s="467">
        <v>0</v>
      </c>
      <c r="H236" s="467">
        <v>0</v>
      </c>
      <c r="I236" s="468"/>
      <c r="J236" s="467"/>
      <c r="K236" s="467"/>
    </row>
    <row r="237" spans="1:11" ht="12.75" customHeight="1" x14ac:dyDescent="0.2">
      <c r="A237" s="490" t="s">
        <v>467</v>
      </c>
      <c r="B237" s="488">
        <v>4866</v>
      </c>
      <c r="C237" s="486">
        <v>0</v>
      </c>
      <c r="D237" s="467">
        <v>0</v>
      </c>
      <c r="E237" s="467">
        <v>0</v>
      </c>
      <c r="F237" s="467">
        <v>0</v>
      </c>
      <c r="G237" s="467">
        <v>0</v>
      </c>
      <c r="H237" s="467">
        <v>0</v>
      </c>
      <c r="I237" s="468"/>
      <c r="J237" s="467"/>
      <c r="K237" s="467"/>
    </row>
    <row r="238" spans="1:11" ht="12.75" customHeight="1" x14ac:dyDescent="0.2">
      <c r="A238" s="490" t="s">
        <v>466</v>
      </c>
      <c r="B238" s="488">
        <v>4867</v>
      </c>
      <c r="C238" s="486">
        <v>0</v>
      </c>
      <c r="D238" s="467">
        <v>0</v>
      </c>
      <c r="E238" s="467">
        <v>0</v>
      </c>
      <c r="F238" s="467">
        <v>0</v>
      </c>
      <c r="G238" s="467">
        <v>0</v>
      </c>
      <c r="H238" s="467">
        <v>0</v>
      </c>
      <c r="I238" s="468"/>
      <c r="J238" s="467"/>
      <c r="K238" s="467"/>
    </row>
    <row r="239" spans="1:11" ht="12.75" customHeight="1" x14ac:dyDescent="0.2">
      <c r="A239" s="490" t="s">
        <v>465</v>
      </c>
      <c r="B239" s="488">
        <v>4868</v>
      </c>
      <c r="C239" s="486">
        <v>0</v>
      </c>
      <c r="D239" s="467">
        <v>0</v>
      </c>
      <c r="E239" s="467">
        <v>0</v>
      </c>
      <c r="F239" s="467">
        <v>0</v>
      </c>
      <c r="G239" s="467">
        <v>0</v>
      </c>
      <c r="H239" s="467">
        <v>0</v>
      </c>
      <c r="I239" s="468"/>
      <c r="J239" s="467"/>
      <c r="K239" s="467"/>
    </row>
    <row r="240" spans="1:11" ht="12.75" customHeight="1" x14ac:dyDescent="0.2">
      <c r="A240" s="490" t="s">
        <v>464</v>
      </c>
      <c r="B240" s="488">
        <v>4869</v>
      </c>
      <c r="C240" s="486">
        <v>0</v>
      </c>
      <c r="D240" s="467">
        <v>0</v>
      </c>
      <c r="E240" s="467">
        <v>198112</v>
      </c>
      <c r="F240" s="467">
        <v>0</v>
      </c>
      <c r="G240" s="467">
        <v>0</v>
      </c>
      <c r="H240" s="467">
        <v>0</v>
      </c>
      <c r="I240" s="468"/>
      <c r="J240" s="467"/>
      <c r="K240" s="467"/>
    </row>
    <row r="241" spans="1:11" ht="12.75" customHeight="1" x14ac:dyDescent="0.2">
      <c r="A241" s="490" t="s">
        <v>1127</v>
      </c>
      <c r="B241" s="488">
        <v>4870</v>
      </c>
      <c r="C241" s="486">
        <v>0</v>
      </c>
      <c r="D241" s="467">
        <v>0</v>
      </c>
      <c r="E241" s="467"/>
      <c r="F241" s="467">
        <v>0</v>
      </c>
      <c r="G241" s="467">
        <v>0</v>
      </c>
      <c r="H241" s="467">
        <v>0</v>
      </c>
      <c r="I241" s="468"/>
      <c r="J241" s="467"/>
      <c r="K241" s="467"/>
    </row>
    <row r="242" spans="1:11" ht="12.75" customHeight="1" x14ac:dyDescent="0.2">
      <c r="A242" s="490" t="s">
        <v>787</v>
      </c>
      <c r="B242" s="488">
        <v>4871</v>
      </c>
      <c r="C242" s="486">
        <v>0</v>
      </c>
      <c r="D242" s="467">
        <v>0</v>
      </c>
      <c r="E242" s="467"/>
      <c r="F242" s="467">
        <v>0</v>
      </c>
      <c r="G242" s="467">
        <v>0</v>
      </c>
      <c r="H242" s="467">
        <v>0</v>
      </c>
      <c r="I242" s="468"/>
      <c r="J242" s="467"/>
      <c r="K242" s="467"/>
    </row>
    <row r="243" spans="1:11" ht="12.75" customHeight="1" x14ac:dyDescent="0.2">
      <c r="A243" s="490" t="s">
        <v>788</v>
      </c>
      <c r="B243" s="488">
        <v>4872</v>
      </c>
      <c r="C243" s="486">
        <v>0</v>
      </c>
      <c r="D243" s="467">
        <v>0</v>
      </c>
      <c r="E243" s="467"/>
      <c r="F243" s="467">
        <v>0</v>
      </c>
      <c r="G243" s="467">
        <v>0</v>
      </c>
      <c r="H243" s="467">
        <v>0</v>
      </c>
      <c r="I243" s="468"/>
      <c r="J243" s="467"/>
      <c r="K243" s="467"/>
    </row>
    <row r="244" spans="1:11" ht="12.75" customHeight="1" x14ac:dyDescent="0.2">
      <c r="A244" s="490" t="s">
        <v>789</v>
      </c>
      <c r="B244" s="488">
        <v>4873</v>
      </c>
      <c r="C244" s="486">
        <v>0</v>
      </c>
      <c r="D244" s="467">
        <v>0</v>
      </c>
      <c r="E244" s="467"/>
      <c r="F244" s="467">
        <v>0</v>
      </c>
      <c r="G244" s="467">
        <v>0</v>
      </c>
      <c r="H244" s="467">
        <v>0</v>
      </c>
      <c r="I244" s="468"/>
      <c r="J244" s="467"/>
      <c r="K244" s="467"/>
    </row>
    <row r="245" spans="1:11" ht="12.75" customHeight="1" x14ac:dyDescent="0.2">
      <c r="A245" s="490" t="s">
        <v>790</v>
      </c>
      <c r="B245" s="488">
        <v>4874</v>
      </c>
      <c r="C245" s="486">
        <v>0</v>
      </c>
      <c r="D245" s="467">
        <v>0</v>
      </c>
      <c r="E245" s="467"/>
      <c r="F245" s="467">
        <v>0</v>
      </c>
      <c r="G245" s="467">
        <v>0</v>
      </c>
      <c r="H245" s="467">
        <v>0</v>
      </c>
      <c r="I245" s="468"/>
      <c r="J245" s="467"/>
      <c r="K245" s="467"/>
    </row>
    <row r="246" spans="1:11" ht="12.75" customHeight="1" x14ac:dyDescent="0.2">
      <c r="A246" s="490" t="s">
        <v>470</v>
      </c>
      <c r="B246" s="488">
        <v>4875</v>
      </c>
      <c r="C246" s="486">
        <v>0</v>
      </c>
      <c r="D246" s="467">
        <v>0</v>
      </c>
      <c r="E246" s="467"/>
      <c r="F246" s="467">
        <v>0</v>
      </c>
      <c r="G246" s="467">
        <v>0</v>
      </c>
      <c r="H246" s="467">
        <v>0</v>
      </c>
      <c r="I246" s="468"/>
      <c r="J246" s="467"/>
      <c r="K246" s="467"/>
    </row>
    <row r="247" spans="1:11" ht="12.75" customHeight="1" x14ac:dyDescent="0.2">
      <c r="A247" s="490" t="s">
        <v>769</v>
      </c>
      <c r="B247" s="488">
        <v>4876</v>
      </c>
      <c r="C247" s="486">
        <v>0</v>
      </c>
      <c r="D247" s="467">
        <v>0</v>
      </c>
      <c r="E247" s="467"/>
      <c r="F247" s="467">
        <v>0</v>
      </c>
      <c r="G247" s="467">
        <v>0</v>
      </c>
      <c r="H247" s="467">
        <v>0</v>
      </c>
      <c r="I247" s="468"/>
      <c r="J247" s="467"/>
      <c r="K247" s="467"/>
    </row>
    <row r="248" spans="1:11" ht="12.75" customHeight="1" x14ac:dyDescent="0.2">
      <c r="A248" s="490" t="s">
        <v>770</v>
      </c>
      <c r="B248" s="488">
        <v>4877</v>
      </c>
      <c r="C248" s="486">
        <v>0</v>
      </c>
      <c r="D248" s="467">
        <v>0</v>
      </c>
      <c r="E248" s="467"/>
      <c r="F248" s="467">
        <v>0</v>
      </c>
      <c r="G248" s="467">
        <v>0</v>
      </c>
      <c r="H248" s="467">
        <v>0</v>
      </c>
      <c r="I248" s="468"/>
      <c r="J248" s="467"/>
      <c r="K248" s="467"/>
    </row>
    <row r="249" spans="1:11" ht="12.75" customHeight="1" x14ac:dyDescent="0.2">
      <c r="A249" s="490" t="s">
        <v>771</v>
      </c>
      <c r="B249" s="488">
        <v>4878</v>
      </c>
      <c r="C249" s="486">
        <v>0</v>
      </c>
      <c r="D249" s="467">
        <v>0</v>
      </c>
      <c r="E249" s="467"/>
      <c r="F249" s="467">
        <v>0</v>
      </c>
      <c r="G249" s="467">
        <v>0</v>
      </c>
      <c r="H249" s="467">
        <v>0</v>
      </c>
      <c r="I249" s="468"/>
      <c r="J249" s="467"/>
      <c r="K249" s="467"/>
    </row>
    <row r="250" spans="1:11" ht="12.75" customHeight="1" x14ac:dyDescent="0.2">
      <c r="A250" s="490" t="s">
        <v>772</v>
      </c>
      <c r="B250" s="488">
        <v>4879</v>
      </c>
      <c r="C250" s="486">
        <v>0</v>
      </c>
      <c r="D250" s="467">
        <v>0</v>
      </c>
      <c r="E250" s="467"/>
      <c r="F250" s="467">
        <v>0</v>
      </c>
      <c r="G250" s="467">
        <v>0</v>
      </c>
      <c r="H250" s="467">
        <v>0</v>
      </c>
      <c r="I250" s="468"/>
      <c r="J250" s="467"/>
      <c r="K250" s="467"/>
    </row>
    <row r="251" spans="1:11" ht="12.75" customHeight="1" x14ac:dyDescent="0.2">
      <c r="A251" s="225" t="s">
        <v>1454</v>
      </c>
      <c r="B251" s="584">
        <v>4880</v>
      </c>
      <c r="C251" s="486">
        <v>0</v>
      </c>
      <c r="D251" s="467">
        <v>0</v>
      </c>
      <c r="E251" s="467"/>
      <c r="F251" s="467">
        <v>0</v>
      </c>
      <c r="G251" s="467">
        <v>0</v>
      </c>
      <c r="H251" s="467">
        <v>0</v>
      </c>
      <c r="I251" s="468"/>
      <c r="J251" s="467"/>
      <c r="K251" s="467"/>
    </row>
    <row r="252" spans="1:11" ht="12.75" customHeight="1" thickBot="1" x14ac:dyDescent="0.25">
      <c r="A252" s="1722" t="s">
        <v>773</v>
      </c>
      <c r="B252" s="1723"/>
      <c r="C252" s="1715">
        <f t="shared" ref="C252:H252" si="9">SUM(C223:C251)</f>
        <v>0</v>
      </c>
      <c r="D252" s="1704">
        <f t="shared" si="9"/>
        <v>0</v>
      </c>
      <c r="E252" s="1704">
        <f t="shared" si="9"/>
        <v>198112</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1420</v>
      </c>
      <c r="B253" s="585">
        <v>4901</v>
      </c>
      <c r="C253" s="586">
        <v>0</v>
      </c>
      <c r="D253" s="469"/>
      <c r="E253" s="468"/>
      <c r="F253" s="468"/>
      <c r="G253" s="468"/>
      <c r="H253" s="468"/>
      <c r="I253" s="468"/>
      <c r="J253" s="468"/>
      <c r="K253" s="468"/>
    </row>
    <row r="254" spans="1:11" ht="12.75" customHeight="1" thickTop="1" thickBot="1" x14ac:dyDescent="0.25">
      <c r="A254" s="1500" t="s">
        <v>1462</v>
      </c>
      <c r="B254" s="587">
        <v>4902</v>
      </c>
      <c r="C254" s="588">
        <v>0</v>
      </c>
      <c r="D254" s="589">
        <v>0</v>
      </c>
      <c r="E254" s="469"/>
      <c r="F254" s="589">
        <v>0</v>
      </c>
      <c r="G254" s="589">
        <v>0</v>
      </c>
      <c r="H254" s="469"/>
      <c r="I254" s="468"/>
      <c r="J254" s="469"/>
      <c r="K254" s="469"/>
    </row>
    <row r="255" spans="1:11" ht="12.75" customHeight="1" thickTop="1" thickBot="1" x14ac:dyDescent="0.25">
      <c r="A255" s="463" t="s">
        <v>1455</v>
      </c>
      <c r="B255" s="470">
        <v>4905</v>
      </c>
      <c r="C255" s="570">
        <v>808</v>
      </c>
      <c r="D255" s="468"/>
      <c r="E255" s="468"/>
      <c r="F255" s="575">
        <v>0</v>
      </c>
      <c r="G255" s="570">
        <v>0</v>
      </c>
      <c r="H255" s="468"/>
      <c r="I255" s="468"/>
      <c r="J255" s="468"/>
      <c r="K255" s="468"/>
    </row>
    <row r="256" spans="1:11" ht="12.75" customHeight="1" thickTop="1" thickBot="1" x14ac:dyDescent="0.25">
      <c r="A256" s="463" t="s">
        <v>1456</v>
      </c>
      <c r="B256" s="470">
        <v>4909</v>
      </c>
      <c r="C256" s="573">
        <v>13217</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420</v>
      </c>
      <c r="B258" s="470">
        <v>4930</v>
      </c>
      <c r="C258" s="573">
        <v>0</v>
      </c>
      <c r="D258" s="573">
        <v>0</v>
      </c>
      <c r="E258" s="468"/>
      <c r="F258" s="573">
        <v>0</v>
      </c>
      <c r="G258" s="573">
        <v>0</v>
      </c>
      <c r="H258" s="468"/>
      <c r="I258" s="468"/>
      <c r="J258" s="468"/>
      <c r="K258" s="468"/>
    </row>
    <row r="259" spans="1:11" ht="12.75" customHeight="1" thickTop="1" thickBot="1" x14ac:dyDescent="0.25">
      <c r="A259" s="463" t="s">
        <v>757</v>
      </c>
      <c r="B259" s="470">
        <v>4932</v>
      </c>
      <c r="C259" s="573">
        <v>89619</v>
      </c>
      <c r="D259" s="573">
        <v>0</v>
      </c>
      <c r="E259" s="468"/>
      <c r="F259" s="573">
        <v>0</v>
      </c>
      <c r="G259" s="573">
        <v>0</v>
      </c>
      <c r="H259" s="468"/>
      <c r="I259" s="468"/>
      <c r="J259" s="468"/>
      <c r="K259" s="468"/>
    </row>
    <row r="260" spans="1:11" ht="12.75" customHeight="1" thickTop="1" thickBot="1" x14ac:dyDescent="0.25">
      <c r="A260" s="463" t="s">
        <v>889</v>
      </c>
      <c r="B260" s="470">
        <v>4960</v>
      </c>
      <c r="C260" s="572">
        <v>0</v>
      </c>
      <c r="D260" s="573">
        <v>0</v>
      </c>
      <c r="E260" s="468"/>
      <c r="F260" s="573">
        <v>0</v>
      </c>
      <c r="G260" s="573">
        <v>0</v>
      </c>
      <c r="H260" s="468"/>
      <c r="I260" s="468"/>
      <c r="J260" s="468"/>
      <c r="K260" s="468"/>
    </row>
    <row r="261" spans="1:11" ht="12.75" customHeight="1" thickTop="1" thickBot="1" x14ac:dyDescent="0.25">
      <c r="A261" s="1927" t="s">
        <v>1933</v>
      </c>
      <c r="B261" s="470">
        <v>4981</v>
      </c>
      <c r="C261" s="572">
        <v>0</v>
      </c>
      <c r="D261" s="573">
        <v>0</v>
      </c>
      <c r="E261" s="468"/>
      <c r="F261" s="573">
        <v>0</v>
      </c>
      <c r="G261" s="573">
        <v>0</v>
      </c>
      <c r="H261" s="468"/>
      <c r="I261" s="468"/>
      <c r="J261" s="468"/>
      <c r="K261" s="468"/>
    </row>
    <row r="262" spans="1:11" ht="12.75" customHeight="1" thickTop="1" thickBot="1" x14ac:dyDescent="0.25">
      <c r="A262" s="1928" t="s">
        <v>1934</v>
      </c>
      <c r="B262" s="470">
        <v>4982</v>
      </c>
      <c r="C262" s="572">
        <v>0</v>
      </c>
      <c r="D262" s="573">
        <v>0</v>
      </c>
      <c r="E262" s="468"/>
      <c r="F262" s="573">
        <v>0</v>
      </c>
      <c r="G262" s="573">
        <v>0</v>
      </c>
      <c r="H262" s="468"/>
      <c r="I262" s="468"/>
      <c r="J262" s="468"/>
      <c r="K262" s="468"/>
    </row>
    <row r="263" spans="1:11" ht="12.75" customHeight="1" thickTop="1" thickBot="1" x14ac:dyDescent="0.25">
      <c r="A263" s="463" t="s">
        <v>567</v>
      </c>
      <c r="B263" s="470">
        <v>4991</v>
      </c>
      <c r="C263" s="572">
        <v>57513</v>
      </c>
      <c r="D263" s="573">
        <v>0</v>
      </c>
      <c r="E263" s="468"/>
      <c r="F263" s="573">
        <v>0</v>
      </c>
      <c r="G263" s="573">
        <v>0</v>
      </c>
      <c r="H263" s="468"/>
      <c r="I263" s="468"/>
      <c r="J263" s="468"/>
      <c r="K263" s="468"/>
    </row>
    <row r="264" spans="1:11" ht="12.75" customHeight="1" thickTop="1" thickBot="1" x14ac:dyDescent="0.25">
      <c r="A264" s="463" t="s">
        <v>376</v>
      </c>
      <c r="B264" s="470">
        <v>4992</v>
      </c>
      <c r="C264" s="572">
        <v>150350</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1665</v>
      </c>
      <c r="B266" s="1724"/>
      <c r="C266" s="1712">
        <f t="shared" ref="C266:H266" si="10">SUM(C188,C198,C204,C209,C217,C221,C222,C252:C265)</f>
        <v>1141741</v>
      </c>
      <c r="D266" s="1712">
        <f t="shared" si="10"/>
        <v>0</v>
      </c>
      <c r="E266" s="1712">
        <f t="shared" si="10"/>
        <v>198112</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1085</v>
      </c>
      <c r="B267" s="1726" t="s">
        <v>859</v>
      </c>
      <c r="C267" s="1712">
        <f>SUM(C175,C181,C266)</f>
        <v>1141741</v>
      </c>
      <c r="D267" s="1712">
        <f>SUM(D175,D181,D266)</f>
        <v>0</v>
      </c>
      <c r="E267" s="1712">
        <f>SUM(E175,E266)</f>
        <v>198112</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32770776</v>
      </c>
      <c r="D268" s="1712">
        <f t="shared" si="12"/>
        <v>4413383</v>
      </c>
      <c r="E268" s="1712">
        <f t="shared" si="12"/>
        <v>5975676</v>
      </c>
      <c r="F268" s="1712">
        <f t="shared" si="12"/>
        <v>2641724</v>
      </c>
      <c r="G268" s="1712">
        <f t="shared" si="12"/>
        <v>2122221</v>
      </c>
      <c r="H268" s="1712">
        <f t="shared" si="12"/>
        <v>593182</v>
      </c>
      <c r="I268" s="1712">
        <f t="shared" si="12"/>
        <v>464884</v>
      </c>
      <c r="J268" s="1712">
        <f t="shared" si="12"/>
        <v>1694786</v>
      </c>
      <c r="K268" s="1699">
        <f t="shared" si="12"/>
        <v>454345</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1" right="0.2" top="0.61" bottom="0.3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5" sqref="A5:F5"/>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243" t="s">
        <v>1798</v>
      </c>
      <c r="B1" s="599"/>
      <c r="C1" s="600" t="s">
        <v>774</v>
      </c>
      <c r="D1" s="600" t="s">
        <v>1077</v>
      </c>
      <c r="E1" s="600" t="s">
        <v>1078</v>
      </c>
      <c r="F1" s="600" t="s">
        <v>1079</v>
      </c>
      <c r="G1" s="600" t="s">
        <v>1080</v>
      </c>
      <c r="H1" s="600" t="s">
        <v>1081</v>
      </c>
      <c r="I1" s="600" t="s">
        <v>1082</v>
      </c>
      <c r="J1" s="600" t="s">
        <v>1083</v>
      </c>
      <c r="K1" s="600" t="s">
        <v>252</v>
      </c>
      <c r="L1" s="601"/>
    </row>
    <row r="2" spans="1:14" s="605" customFormat="1" ht="28.5" customHeight="1" x14ac:dyDescent="0.2">
      <c r="A2" s="2277"/>
      <c r="B2" s="602" t="s">
        <v>45</v>
      </c>
      <c r="C2" s="603" t="s">
        <v>194</v>
      </c>
      <c r="D2" s="604" t="s">
        <v>49</v>
      </c>
      <c r="E2" s="604" t="s">
        <v>1099</v>
      </c>
      <c r="F2" s="604" t="s">
        <v>1093</v>
      </c>
      <c r="G2" s="603" t="s">
        <v>1094</v>
      </c>
      <c r="H2" s="603" t="s">
        <v>1095</v>
      </c>
      <c r="I2" s="604" t="s">
        <v>290</v>
      </c>
      <c r="J2" s="604" t="s">
        <v>291</v>
      </c>
      <c r="K2" s="603" t="s">
        <v>156</v>
      </c>
      <c r="L2" s="603" t="s">
        <v>30</v>
      </c>
      <c r="M2" s="257"/>
      <c r="N2" s="257"/>
    </row>
    <row r="3" spans="1:14" s="343" customFormat="1" ht="16.7" customHeight="1" x14ac:dyDescent="0.2">
      <c r="A3" s="2283" t="s">
        <v>296</v>
      </c>
      <c r="B3" s="2284"/>
      <c r="C3" s="1545"/>
      <c r="D3" s="1545"/>
      <c r="E3" s="1545"/>
      <c r="F3" s="1545"/>
      <c r="G3" s="1545"/>
      <c r="H3" s="1545"/>
      <c r="I3" s="1545"/>
      <c r="J3" s="1545"/>
      <c r="K3" s="1546"/>
      <c r="L3" s="1547"/>
      <c r="M3" s="606"/>
      <c r="N3" s="606"/>
    </row>
    <row r="4" spans="1:14" s="259" customFormat="1" ht="15.75" customHeight="1" x14ac:dyDescent="0.2">
      <c r="A4" s="1603" t="s">
        <v>44</v>
      </c>
      <c r="B4" s="1604" t="s">
        <v>569</v>
      </c>
      <c r="C4" s="607"/>
      <c r="D4" s="607"/>
      <c r="E4" s="607"/>
      <c r="F4" s="607"/>
      <c r="G4" s="607"/>
      <c r="H4" s="607"/>
      <c r="I4" s="608"/>
      <c r="J4" s="607"/>
      <c r="K4" s="609"/>
      <c r="L4" s="607"/>
      <c r="M4" s="610"/>
      <c r="N4" s="610"/>
    </row>
    <row r="5" spans="1:14" x14ac:dyDescent="0.2">
      <c r="A5" s="1501" t="s">
        <v>960</v>
      </c>
      <c r="B5" s="611">
        <v>1100</v>
      </c>
      <c r="C5" s="466">
        <v>12889820</v>
      </c>
      <c r="D5" s="466">
        <v>2689170</v>
      </c>
      <c r="E5" s="466">
        <v>43791</v>
      </c>
      <c r="F5" s="466">
        <v>464632</v>
      </c>
      <c r="G5" s="466">
        <v>4600</v>
      </c>
      <c r="H5" s="466">
        <v>0</v>
      </c>
      <c r="I5" s="467">
        <v>0</v>
      </c>
      <c r="J5" s="467">
        <v>0</v>
      </c>
      <c r="K5" s="1668">
        <f>SUM(C5:J5)</f>
        <v>16092013</v>
      </c>
      <c r="L5" s="471">
        <v>17321045</v>
      </c>
    </row>
    <row r="6" spans="1:14" x14ac:dyDescent="0.2">
      <c r="A6" s="1501" t="s">
        <v>1432</v>
      </c>
      <c r="B6" s="611" t="s">
        <v>1430</v>
      </c>
      <c r="C6" s="475"/>
      <c r="D6" s="475"/>
      <c r="E6" s="466">
        <v>0</v>
      </c>
      <c r="F6" s="475"/>
      <c r="G6" s="475"/>
      <c r="H6" s="475"/>
      <c r="I6" s="475"/>
      <c r="J6" s="475"/>
      <c r="K6" s="1668">
        <f>SUM(C6,E6)</f>
        <v>0</v>
      </c>
      <c r="L6" s="471">
        <v>0</v>
      </c>
    </row>
    <row r="7" spans="1:14" x14ac:dyDescent="0.2">
      <c r="A7" s="1501" t="s">
        <v>163</v>
      </c>
      <c r="B7" s="611" t="s">
        <v>966</v>
      </c>
      <c r="C7" s="467">
        <v>87310</v>
      </c>
      <c r="D7" s="467">
        <v>10975</v>
      </c>
      <c r="E7" s="467">
        <v>0</v>
      </c>
      <c r="F7" s="467">
        <v>0</v>
      </c>
      <c r="G7" s="467">
        <v>0</v>
      </c>
      <c r="H7" s="467">
        <v>0</v>
      </c>
      <c r="I7" s="467">
        <v>0</v>
      </c>
      <c r="J7" s="467">
        <v>0</v>
      </c>
      <c r="K7" s="1668">
        <f t="shared" ref="K7:K32" si="0">SUM(C7:J7)</f>
        <v>98285</v>
      </c>
      <c r="L7" s="471">
        <v>133825</v>
      </c>
    </row>
    <row r="8" spans="1:14" x14ac:dyDescent="0.2">
      <c r="A8" s="1501" t="s">
        <v>164</v>
      </c>
      <c r="B8" s="611">
        <v>1200</v>
      </c>
      <c r="C8" s="466">
        <v>3309252</v>
      </c>
      <c r="D8" s="466">
        <v>380238</v>
      </c>
      <c r="E8" s="466">
        <v>11841</v>
      </c>
      <c r="F8" s="466">
        <v>14763</v>
      </c>
      <c r="G8" s="466">
        <v>3001</v>
      </c>
      <c r="H8" s="466">
        <v>0</v>
      </c>
      <c r="I8" s="467">
        <v>0</v>
      </c>
      <c r="J8" s="467">
        <v>0</v>
      </c>
      <c r="K8" s="1668">
        <f t="shared" si="0"/>
        <v>3719095</v>
      </c>
      <c r="L8" s="471">
        <v>4047509</v>
      </c>
    </row>
    <row r="9" spans="1:14" x14ac:dyDescent="0.2">
      <c r="A9" s="1501" t="s">
        <v>720</v>
      </c>
      <c r="B9" s="611" t="s">
        <v>967</v>
      </c>
      <c r="C9" s="467">
        <v>0</v>
      </c>
      <c r="D9" s="467">
        <v>0</v>
      </c>
      <c r="E9" s="467">
        <v>0</v>
      </c>
      <c r="F9" s="467">
        <v>0</v>
      </c>
      <c r="G9" s="467">
        <v>0</v>
      </c>
      <c r="H9" s="467">
        <v>0</v>
      </c>
      <c r="I9" s="467">
        <v>0</v>
      </c>
      <c r="J9" s="467">
        <v>0</v>
      </c>
      <c r="K9" s="1668">
        <f t="shared" si="0"/>
        <v>0</v>
      </c>
      <c r="L9" s="471">
        <v>0</v>
      </c>
    </row>
    <row r="10" spans="1:14" x14ac:dyDescent="0.2">
      <c r="A10" s="1501" t="s">
        <v>721</v>
      </c>
      <c r="B10" s="611">
        <v>1250</v>
      </c>
      <c r="C10" s="466">
        <v>209015</v>
      </c>
      <c r="D10" s="466">
        <v>6460</v>
      </c>
      <c r="E10" s="466">
        <v>14056</v>
      </c>
      <c r="F10" s="466">
        <v>36806</v>
      </c>
      <c r="G10" s="466">
        <v>0</v>
      </c>
      <c r="H10" s="466">
        <v>0</v>
      </c>
      <c r="I10" s="467">
        <v>0</v>
      </c>
      <c r="J10" s="467">
        <v>0</v>
      </c>
      <c r="K10" s="1668">
        <f t="shared" si="0"/>
        <v>266337</v>
      </c>
      <c r="L10" s="471">
        <v>333916</v>
      </c>
    </row>
    <row r="11" spans="1:14" x14ac:dyDescent="0.2">
      <c r="A11" s="1501" t="s">
        <v>1129</v>
      </c>
      <c r="B11" s="611" t="s">
        <v>161</v>
      </c>
      <c r="C11" s="467">
        <v>0</v>
      </c>
      <c r="D11" s="467">
        <v>0</v>
      </c>
      <c r="E11" s="467">
        <v>0</v>
      </c>
      <c r="F11" s="467">
        <v>0</v>
      </c>
      <c r="G11" s="467">
        <v>0</v>
      </c>
      <c r="H11" s="467">
        <v>0</v>
      </c>
      <c r="I11" s="467">
        <v>0</v>
      </c>
      <c r="J11" s="467">
        <v>0</v>
      </c>
      <c r="K11" s="1668">
        <f t="shared" si="0"/>
        <v>0</v>
      </c>
      <c r="L11" s="471">
        <v>0</v>
      </c>
    </row>
    <row r="12" spans="1:14" x14ac:dyDescent="0.2">
      <c r="A12" s="1501" t="s">
        <v>961</v>
      </c>
      <c r="B12" s="611">
        <v>1300</v>
      </c>
      <c r="C12" s="466">
        <v>0</v>
      </c>
      <c r="D12" s="466">
        <v>0</v>
      </c>
      <c r="E12" s="466">
        <v>0</v>
      </c>
      <c r="F12" s="466">
        <v>0</v>
      </c>
      <c r="G12" s="466">
        <v>0</v>
      </c>
      <c r="H12" s="466">
        <v>0</v>
      </c>
      <c r="I12" s="467">
        <v>0</v>
      </c>
      <c r="J12" s="467">
        <v>0</v>
      </c>
      <c r="K12" s="1668">
        <f t="shared" si="0"/>
        <v>0</v>
      </c>
      <c r="L12" s="471">
        <v>0</v>
      </c>
    </row>
    <row r="13" spans="1:14" x14ac:dyDescent="0.2">
      <c r="A13" s="1501" t="s">
        <v>722</v>
      </c>
      <c r="B13" s="611">
        <v>1400</v>
      </c>
      <c r="C13" s="466">
        <v>0</v>
      </c>
      <c r="D13" s="466">
        <v>0</v>
      </c>
      <c r="E13" s="466">
        <v>0</v>
      </c>
      <c r="F13" s="466">
        <v>17851</v>
      </c>
      <c r="G13" s="466">
        <v>0</v>
      </c>
      <c r="H13" s="466">
        <v>0</v>
      </c>
      <c r="I13" s="467">
        <v>0</v>
      </c>
      <c r="J13" s="467">
        <v>0</v>
      </c>
      <c r="K13" s="1668">
        <f t="shared" si="0"/>
        <v>17851</v>
      </c>
      <c r="L13" s="471">
        <v>16074</v>
      </c>
    </row>
    <row r="14" spans="1:14" x14ac:dyDescent="0.2">
      <c r="A14" s="1501" t="s">
        <v>962</v>
      </c>
      <c r="B14" s="611">
        <v>1500</v>
      </c>
      <c r="C14" s="466">
        <v>915989</v>
      </c>
      <c r="D14" s="466">
        <v>32592</v>
      </c>
      <c r="E14" s="466">
        <v>146359</v>
      </c>
      <c r="F14" s="466">
        <v>93844</v>
      </c>
      <c r="G14" s="466">
        <v>5931</v>
      </c>
      <c r="H14" s="466">
        <v>0</v>
      </c>
      <c r="I14" s="467">
        <v>0</v>
      </c>
      <c r="J14" s="467">
        <v>0</v>
      </c>
      <c r="K14" s="1668">
        <f t="shared" si="0"/>
        <v>1194715</v>
      </c>
      <c r="L14" s="471">
        <v>1213357</v>
      </c>
    </row>
    <row r="15" spans="1:14" x14ac:dyDescent="0.2">
      <c r="A15" s="1501" t="s">
        <v>963</v>
      </c>
      <c r="B15" s="611">
        <v>1600</v>
      </c>
      <c r="C15" s="467">
        <v>0</v>
      </c>
      <c r="D15" s="466">
        <v>0</v>
      </c>
      <c r="E15" s="466">
        <v>0</v>
      </c>
      <c r="F15" s="466">
        <v>0</v>
      </c>
      <c r="G15" s="466">
        <v>0</v>
      </c>
      <c r="H15" s="466">
        <v>0</v>
      </c>
      <c r="I15" s="467">
        <v>0</v>
      </c>
      <c r="J15" s="467">
        <v>0</v>
      </c>
      <c r="K15" s="1668">
        <f t="shared" si="0"/>
        <v>0</v>
      </c>
      <c r="L15" s="471">
        <v>11565</v>
      </c>
    </row>
    <row r="16" spans="1:14" x14ac:dyDescent="0.2">
      <c r="A16" s="1501" t="s">
        <v>986</v>
      </c>
      <c r="B16" s="611" t="s">
        <v>423</v>
      </c>
      <c r="C16" s="467">
        <v>14940</v>
      </c>
      <c r="D16" s="466">
        <v>224</v>
      </c>
      <c r="E16" s="466">
        <v>0</v>
      </c>
      <c r="F16" s="466">
        <v>5389</v>
      </c>
      <c r="G16" s="466">
        <v>0</v>
      </c>
      <c r="H16" s="466">
        <v>0</v>
      </c>
      <c r="I16" s="467">
        <v>0</v>
      </c>
      <c r="J16" s="467">
        <v>0</v>
      </c>
      <c r="K16" s="1668">
        <f t="shared" si="0"/>
        <v>20553</v>
      </c>
      <c r="L16" s="471">
        <v>21171</v>
      </c>
    </row>
    <row r="17" spans="1:12" x14ac:dyDescent="0.2">
      <c r="A17" s="1501" t="s">
        <v>723</v>
      </c>
      <c r="B17" s="611" t="s">
        <v>162</v>
      </c>
      <c r="C17" s="467">
        <v>118143</v>
      </c>
      <c r="D17" s="467">
        <v>27191</v>
      </c>
      <c r="E17" s="467">
        <v>10782</v>
      </c>
      <c r="F17" s="467">
        <v>243</v>
      </c>
      <c r="G17" s="467">
        <v>0</v>
      </c>
      <c r="H17" s="467">
        <v>0</v>
      </c>
      <c r="I17" s="467">
        <v>0</v>
      </c>
      <c r="J17" s="467">
        <v>0</v>
      </c>
      <c r="K17" s="1668">
        <f t="shared" si="0"/>
        <v>156359</v>
      </c>
      <c r="L17" s="471">
        <v>226911</v>
      </c>
    </row>
    <row r="18" spans="1:12" x14ac:dyDescent="0.2">
      <c r="A18" s="1501" t="s">
        <v>1086</v>
      </c>
      <c r="B18" s="611">
        <v>1800</v>
      </c>
      <c r="C18" s="467">
        <v>321959</v>
      </c>
      <c r="D18" s="467">
        <v>60825</v>
      </c>
      <c r="E18" s="467">
        <v>5619</v>
      </c>
      <c r="F18" s="466">
        <v>0</v>
      </c>
      <c r="G18" s="466">
        <v>0</v>
      </c>
      <c r="H18" s="466">
        <v>0</v>
      </c>
      <c r="I18" s="467">
        <v>0</v>
      </c>
      <c r="J18" s="467">
        <v>0</v>
      </c>
      <c r="K18" s="1668">
        <f t="shared" si="0"/>
        <v>388403</v>
      </c>
      <c r="L18" s="471">
        <v>465987</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737</v>
      </c>
      <c r="B20" s="599" t="s">
        <v>724</v>
      </c>
      <c r="C20" s="475"/>
      <c r="D20" s="475"/>
      <c r="E20" s="475"/>
      <c r="F20" s="475"/>
      <c r="G20" s="475"/>
      <c r="H20" s="467">
        <v>0</v>
      </c>
      <c r="I20" s="613"/>
      <c r="J20" s="474"/>
      <c r="K20" s="1668">
        <f t="shared" si="0"/>
        <v>0</v>
      </c>
      <c r="L20" s="471">
        <v>0</v>
      </c>
    </row>
    <row r="21" spans="1:12" x14ac:dyDescent="0.2">
      <c r="A21" s="1502" t="s">
        <v>738</v>
      </c>
      <c r="B21" s="599" t="s">
        <v>725</v>
      </c>
      <c r="C21" s="475"/>
      <c r="D21" s="475"/>
      <c r="E21" s="475"/>
      <c r="F21" s="475"/>
      <c r="G21" s="475"/>
      <c r="H21" s="473">
        <v>0</v>
      </c>
      <c r="I21" s="613"/>
      <c r="J21" s="475"/>
      <c r="K21" s="1668">
        <f t="shared" si="0"/>
        <v>0</v>
      </c>
      <c r="L21" s="471">
        <v>0</v>
      </c>
    </row>
    <row r="22" spans="1:12" x14ac:dyDescent="0.2">
      <c r="A22" s="1502" t="s">
        <v>739</v>
      </c>
      <c r="B22" s="599" t="s">
        <v>726</v>
      </c>
      <c r="C22" s="475"/>
      <c r="D22" s="475"/>
      <c r="E22" s="475"/>
      <c r="F22" s="475"/>
      <c r="G22" s="475"/>
      <c r="H22" s="473">
        <v>275059</v>
      </c>
      <c r="I22" s="613"/>
      <c r="J22" s="475"/>
      <c r="K22" s="1668">
        <f t="shared" si="0"/>
        <v>275059</v>
      </c>
      <c r="L22" s="471">
        <v>325000</v>
      </c>
    </row>
    <row r="23" spans="1:12" x14ac:dyDescent="0.2">
      <c r="A23" s="1502" t="s">
        <v>740</v>
      </c>
      <c r="B23" s="599" t="s">
        <v>727</v>
      </c>
      <c r="C23" s="475"/>
      <c r="D23" s="475"/>
      <c r="E23" s="475"/>
      <c r="F23" s="475"/>
      <c r="G23" s="475"/>
      <c r="H23" s="473">
        <v>0</v>
      </c>
      <c r="I23" s="613"/>
      <c r="J23" s="475"/>
      <c r="K23" s="1668">
        <f t="shared" si="0"/>
        <v>0</v>
      </c>
      <c r="L23" s="471">
        <v>0</v>
      </c>
    </row>
    <row r="24" spans="1:12" ht="12.75" customHeight="1" x14ac:dyDescent="0.2">
      <c r="A24" s="1502" t="s">
        <v>741</v>
      </c>
      <c r="B24" s="599" t="s">
        <v>728</v>
      </c>
      <c r="C24" s="475"/>
      <c r="D24" s="475"/>
      <c r="E24" s="475"/>
      <c r="F24" s="475"/>
      <c r="G24" s="475"/>
      <c r="H24" s="473">
        <v>0</v>
      </c>
      <c r="I24" s="613"/>
      <c r="J24" s="475"/>
      <c r="K24" s="1668">
        <f t="shared" si="0"/>
        <v>0</v>
      </c>
      <c r="L24" s="471">
        <v>0</v>
      </c>
    </row>
    <row r="25" spans="1:12" ht="12.75" customHeight="1" x14ac:dyDescent="0.2">
      <c r="A25" s="1502" t="s">
        <v>801</v>
      </c>
      <c r="B25" s="599" t="s">
        <v>729</v>
      </c>
      <c r="C25" s="475"/>
      <c r="D25" s="475"/>
      <c r="E25" s="475"/>
      <c r="F25" s="475"/>
      <c r="G25" s="475"/>
      <c r="H25" s="473">
        <v>0</v>
      </c>
      <c r="I25" s="613"/>
      <c r="J25" s="475"/>
      <c r="K25" s="1668">
        <f t="shared" si="0"/>
        <v>0</v>
      </c>
      <c r="L25" s="471">
        <v>0</v>
      </c>
    </row>
    <row r="26" spans="1:12" x14ac:dyDescent="0.2">
      <c r="A26" s="1502" t="s">
        <v>621</v>
      </c>
      <c r="B26" s="599" t="s">
        <v>730</v>
      </c>
      <c r="C26" s="475"/>
      <c r="D26" s="475"/>
      <c r="E26" s="475"/>
      <c r="F26" s="475"/>
      <c r="G26" s="475"/>
      <c r="H26" s="473">
        <v>0</v>
      </c>
      <c r="I26" s="613"/>
      <c r="J26" s="475"/>
      <c r="K26" s="1668">
        <f t="shared" si="0"/>
        <v>0</v>
      </c>
      <c r="L26" s="471">
        <v>0</v>
      </c>
    </row>
    <row r="27" spans="1:12" x14ac:dyDescent="0.2">
      <c r="A27" s="1502" t="s">
        <v>622</v>
      </c>
      <c r="B27" s="599" t="s">
        <v>731</v>
      </c>
      <c r="C27" s="475"/>
      <c r="D27" s="475"/>
      <c r="E27" s="475"/>
      <c r="F27" s="475"/>
      <c r="G27" s="475"/>
      <c r="H27" s="473">
        <v>0</v>
      </c>
      <c r="I27" s="613"/>
      <c r="J27" s="475"/>
      <c r="K27" s="1668">
        <f t="shared" si="0"/>
        <v>0</v>
      </c>
      <c r="L27" s="471">
        <v>0</v>
      </c>
    </row>
    <row r="28" spans="1:12" x14ac:dyDescent="0.2">
      <c r="A28" s="1502" t="s">
        <v>150</v>
      </c>
      <c r="B28" s="599" t="s">
        <v>732</v>
      </c>
      <c r="C28" s="475"/>
      <c r="D28" s="475"/>
      <c r="E28" s="475"/>
      <c r="F28" s="475"/>
      <c r="G28" s="475"/>
      <c r="H28" s="473">
        <v>0</v>
      </c>
      <c r="I28" s="613"/>
      <c r="J28" s="475"/>
      <c r="K28" s="1668">
        <f t="shared" si="0"/>
        <v>0</v>
      </c>
      <c r="L28" s="471">
        <v>0</v>
      </c>
    </row>
    <row r="29" spans="1:12" x14ac:dyDescent="0.2">
      <c r="A29" s="1502" t="s">
        <v>151</v>
      </c>
      <c r="B29" s="599" t="s">
        <v>733</v>
      </c>
      <c r="C29" s="475"/>
      <c r="D29" s="475"/>
      <c r="E29" s="475"/>
      <c r="F29" s="475"/>
      <c r="G29" s="475"/>
      <c r="H29" s="473">
        <v>0</v>
      </c>
      <c r="I29" s="613"/>
      <c r="J29" s="475"/>
      <c r="K29" s="1668">
        <f t="shared" si="0"/>
        <v>0</v>
      </c>
      <c r="L29" s="471">
        <v>0</v>
      </c>
    </row>
    <row r="30" spans="1:12" x14ac:dyDescent="0.2">
      <c r="A30" s="1502" t="s">
        <v>152</v>
      </c>
      <c r="B30" s="599" t="s">
        <v>734</v>
      </c>
      <c r="C30" s="475"/>
      <c r="D30" s="475"/>
      <c r="E30" s="475"/>
      <c r="F30" s="475"/>
      <c r="G30" s="475"/>
      <c r="H30" s="473">
        <v>0</v>
      </c>
      <c r="I30" s="613"/>
      <c r="J30" s="475"/>
      <c r="K30" s="1668">
        <f t="shared" si="0"/>
        <v>0</v>
      </c>
      <c r="L30" s="471">
        <v>0</v>
      </c>
    </row>
    <row r="31" spans="1:12" x14ac:dyDescent="0.2">
      <c r="A31" s="1502" t="s">
        <v>153</v>
      </c>
      <c r="B31" s="599" t="s">
        <v>735</v>
      </c>
      <c r="C31" s="475"/>
      <c r="D31" s="475"/>
      <c r="E31" s="475"/>
      <c r="F31" s="475"/>
      <c r="G31" s="475"/>
      <c r="H31" s="473">
        <v>0</v>
      </c>
      <c r="I31" s="613"/>
      <c r="J31" s="475"/>
      <c r="K31" s="1668">
        <f t="shared" si="0"/>
        <v>0</v>
      </c>
      <c r="L31" s="471">
        <v>0</v>
      </c>
    </row>
    <row r="32" spans="1:12" x14ac:dyDescent="0.2">
      <c r="A32" s="1503" t="s">
        <v>1128</v>
      </c>
      <c r="B32" s="611" t="s">
        <v>736</v>
      </c>
      <c r="C32" s="475"/>
      <c r="D32" s="475"/>
      <c r="E32" s="475"/>
      <c r="F32" s="475"/>
      <c r="G32" s="475"/>
      <c r="H32" s="473">
        <v>0</v>
      </c>
      <c r="I32" s="613"/>
      <c r="J32" s="478"/>
      <c r="K32" s="1668">
        <f t="shared" si="0"/>
        <v>0</v>
      </c>
      <c r="L32" s="471">
        <v>0</v>
      </c>
    </row>
    <row r="33" spans="1:14" ht="12.75" customHeight="1" thickBot="1" x14ac:dyDescent="0.25">
      <c r="A33" s="1665" t="s">
        <v>1667</v>
      </c>
      <c r="B33" s="1666" t="s">
        <v>569</v>
      </c>
      <c r="C33" s="1667">
        <f>SUM(C5:C32)</f>
        <v>17866428</v>
      </c>
      <c r="D33" s="1667">
        <f t="shared" ref="D33:L33" si="1">SUM(D5:D32)</f>
        <v>3207675</v>
      </c>
      <c r="E33" s="1667">
        <f t="shared" si="1"/>
        <v>232448</v>
      </c>
      <c r="F33" s="1667">
        <f t="shared" si="1"/>
        <v>633528</v>
      </c>
      <c r="G33" s="1667">
        <f t="shared" si="1"/>
        <v>13532</v>
      </c>
      <c r="H33" s="1667">
        <f t="shared" si="1"/>
        <v>275059</v>
      </c>
      <c r="I33" s="1667">
        <f t="shared" si="1"/>
        <v>0</v>
      </c>
      <c r="J33" s="1667">
        <f t="shared" si="1"/>
        <v>0</v>
      </c>
      <c r="K33" s="1667">
        <f t="shared" si="1"/>
        <v>22228670</v>
      </c>
      <c r="L33" s="1667">
        <f t="shared" si="1"/>
        <v>24116360</v>
      </c>
    </row>
    <row r="34" spans="1:14" s="617" customFormat="1" ht="15.75" customHeight="1" thickTop="1" x14ac:dyDescent="0.2">
      <c r="A34" s="1605" t="s">
        <v>46</v>
      </c>
      <c r="B34" s="1606" t="s">
        <v>568</v>
      </c>
      <c r="C34" s="615"/>
      <c r="D34" s="615"/>
      <c r="E34" s="615"/>
      <c r="F34" s="615"/>
      <c r="G34" s="615"/>
      <c r="H34" s="615"/>
      <c r="I34" s="613"/>
      <c r="J34" s="613"/>
      <c r="K34" s="613"/>
      <c r="L34" s="613"/>
      <c r="M34" s="616"/>
      <c r="N34" s="616"/>
    </row>
    <row r="35" spans="1:14" s="617" customFormat="1" ht="15.75" customHeight="1" x14ac:dyDescent="0.2">
      <c r="A35" s="618" t="s">
        <v>590</v>
      </c>
      <c r="B35" s="619"/>
      <c r="C35" s="620"/>
      <c r="D35" s="620"/>
      <c r="E35" s="620"/>
      <c r="F35" s="620"/>
      <c r="G35" s="620"/>
      <c r="H35" s="620"/>
      <c r="I35" s="613"/>
      <c r="J35" s="613"/>
      <c r="K35" s="613"/>
      <c r="L35" s="613"/>
      <c r="M35" s="616"/>
      <c r="N35" s="616"/>
    </row>
    <row r="36" spans="1:14" x14ac:dyDescent="0.2">
      <c r="A36" s="1501" t="s">
        <v>1088</v>
      </c>
      <c r="B36" s="611">
        <v>2110</v>
      </c>
      <c r="C36" s="479">
        <v>141230</v>
      </c>
      <c r="D36" s="479">
        <v>27478</v>
      </c>
      <c r="E36" s="479">
        <v>0</v>
      </c>
      <c r="F36" s="479">
        <v>0</v>
      </c>
      <c r="G36" s="479">
        <v>0</v>
      </c>
      <c r="H36" s="479">
        <v>0</v>
      </c>
      <c r="I36" s="467">
        <v>0</v>
      </c>
      <c r="J36" s="467">
        <v>0</v>
      </c>
      <c r="K36" s="1668">
        <f t="shared" ref="K36:K41" si="2">SUM(C36:J36)</f>
        <v>168708</v>
      </c>
      <c r="L36" s="466">
        <v>161925</v>
      </c>
    </row>
    <row r="37" spans="1:14" x14ac:dyDescent="0.2">
      <c r="A37" s="1501" t="s">
        <v>1089</v>
      </c>
      <c r="B37" s="611">
        <v>2120</v>
      </c>
      <c r="C37" s="466">
        <v>675224</v>
      </c>
      <c r="D37" s="466">
        <v>163358</v>
      </c>
      <c r="E37" s="466">
        <v>0</v>
      </c>
      <c r="F37" s="466">
        <v>0</v>
      </c>
      <c r="G37" s="466">
        <v>0</v>
      </c>
      <c r="H37" s="466">
        <v>0</v>
      </c>
      <c r="I37" s="467">
        <v>0</v>
      </c>
      <c r="J37" s="467">
        <v>0</v>
      </c>
      <c r="K37" s="1668">
        <f t="shared" si="2"/>
        <v>838582</v>
      </c>
      <c r="L37" s="466">
        <v>839069</v>
      </c>
    </row>
    <row r="38" spans="1:14" x14ac:dyDescent="0.2">
      <c r="A38" s="1501" t="s">
        <v>198</v>
      </c>
      <c r="B38" s="611">
        <v>2130</v>
      </c>
      <c r="C38" s="466">
        <v>169503</v>
      </c>
      <c r="D38" s="466">
        <v>888</v>
      </c>
      <c r="E38" s="466">
        <v>219</v>
      </c>
      <c r="F38" s="466">
        <v>134</v>
      </c>
      <c r="G38" s="466">
        <v>0</v>
      </c>
      <c r="H38" s="466">
        <v>0</v>
      </c>
      <c r="I38" s="467">
        <v>0</v>
      </c>
      <c r="J38" s="467">
        <v>0</v>
      </c>
      <c r="K38" s="1668">
        <f t="shared" si="2"/>
        <v>170744</v>
      </c>
      <c r="L38" s="466">
        <v>189545</v>
      </c>
    </row>
    <row r="39" spans="1:14" x14ac:dyDescent="0.2">
      <c r="A39" s="1501" t="s">
        <v>199</v>
      </c>
      <c r="B39" s="611">
        <v>2140</v>
      </c>
      <c r="C39" s="466">
        <v>127885</v>
      </c>
      <c r="D39" s="466">
        <v>23010</v>
      </c>
      <c r="E39" s="466">
        <v>0</v>
      </c>
      <c r="F39" s="466">
        <v>0</v>
      </c>
      <c r="G39" s="466">
        <v>0</v>
      </c>
      <c r="H39" s="466">
        <v>0</v>
      </c>
      <c r="I39" s="467">
        <v>0</v>
      </c>
      <c r="J39" s="467">
        <v>0</v>
      </c>
      <c r="K39" s="1668">
        <f t="shared" si="2"/>
        <v>150895</v>
      </c>
      <c r="L39" s="466">
        <v>185758</v>
      </c>
    </row>
    <row r="40" spans="1:14" x14ac:dyDescent="0.2">
      <c r="A40" s="1501" t="s">
        <v>200</v>
      </c>
      <c r="B40" s="611">
        <v>2150</v>
      </c>
      <c r="C40" s="466">
        <v>464217</v>
      </c>
      <c r="D40" s="466">
        <v>92119</v>
      </c>
      <c r="E40" s="466">
        <v>43511</v>
      </c>
      <c r="F40" s="466">
        <v>2920</v>
      </c>
      <c r="G40" s="466">
        <v>0</v>
      </c>
      <c r="H40" s="466">
        <v>0</v>
      </c>
      <c r="I40" s="467">
        <v>0</v>
      </c>
      <c r="J40" s="467">
        <v>0</v>
      </c>
      <c r="K40" s="1668">
        <f t="shared" si="2"/>
        <v>602767</v>
      </c>
      <c r="L40" s="466">
        <v>595789</v>
      </c>
    </row>
    <row r="41" spans="1:14" x14ac:dyDescent="0.2">
      <c r="A41" s="1501" t="s">
        <v>1668</v>
      </c>
      <c r="B41" s="611">
        <v>2190</v>
      </c>
      <c r="C41" s="466">
        <v>0</v>
      </c>
      <c r="D41" s="466">
        <v>0</v>
      </c>
      <c r="E41" s="466">
        <v>0</v>
      </c>
      <c r="F41" s="466">
        <v>27717</v>
      </c>
      <c r="G41" s="466">
        <v>0</v>
      </c>
      <c r="H41" s="466">
        <v>0</v>
      </c>
      <c r="I41" s="467">
        <v>0</v>
      </c>
      <c r="J41" s="467">
        <v>0</v>
      </c>
      <c r="K41" s="1668">
        <f t="shared" si="2"/>
        <v>27717</v>
      </c>
      <c r="L41" s="466">
        <v>40112</v>
      </c>
    </row>
    <row r="42" spans="1:14" ht="12.75" customHeight="1" thickBot="1" x14ac:dyDescent="0.25">
      <c r="A42" s="1665" t="s">
        <v>559</v>
      </c>
      <c r="B42" s="1666" t="s">
        <v>715</v>
      </c>
      <c r="C42" s="1667">
        <f>SUM(C36:C41)</f>
        <v>1578059</v>
      </c>
      <c r="D42" s="1667">
        <f t="shared" ref="D42:L42" si="3">SUM(D36:D41)</f>
        <v>306853</v>
      </c>
      <c r="E42" s="1667">
        <f t="shared" si="3"/>
        <v>43730</v>
      </c>
      <c r="F42" s="1667">
        <f t="shared" si="3"/>
        <v>30771</v>
      </c>
      <c r="G42" s="1667">
        <f t="shared" si="3"/>
        <v>0</v>
      </c>
      <c r="H42" s="1667">
        <f t="shared" si="3"/>
        <v>0</v>
      </c>
      <c r="I42" s="1667">
        <f t="shared" si="3"/>
        <v>0</v>
      </c>
      <c r="J42" s="1667">
        <f t="shared" si="3"/>
        <v>0</v>
      </c>
      <c r="K42" s="1667">
        <f t="shared" si="3"/>
        <v>1959413</v>
      </c>
      <c r="L42" s="1667">
        <f t="shared" si="3"/>
        <v>2012198</v>
      </c>
    </row>
    <row r="43" spans="1:14" ht="15.75" customHeight="1" thickTop="1" x14ac:dyDescent="0.2">
      <c r="A43" s="621" t="s">
        <v>591</v>
      </c>
      <c r="B43" s="622"/>
      <c r="C43" s="623"/>
      <c r="D43" s="623"/>
      <c r="E43" s="623"/>
      <c r="F43" s="623"/>
      <c r="G43" s="623"/>
      <c r="H43" s="623"/>
      <c r="I43" s="613"/>
      <c r="J43" s="613"/>
      <c r="K43" s="623"/>
      <c r="L43" s="623"/>
    </row>
    <row r="44" spans="1:14" x14ac:dyDescent="0.2">
      <c r="A44" s="1501" t="s">
        <v>813</v>
      </c>
      <c r="B44" s="611">
        <v>2210</v>
      </c>
      <c r="C44" s="479">
        <v>402824</v>
      </c>
      <c r="D44" s="479">
        <v>60798</v>
      </c>
      <c r="E44" s="479">
        <v>128506</v>
      </c>
      <c r="F44" s="479">
        <v>12951</v>
      </c>
      <c r="G44" s="479">
        <v>0</v>
      </c>
      <c r="H44" s="479">
        <v>0</v>
      </c>
      <c r="I44" s="467">
        <v>0</v>
      </c>
      <c r="J44" s="467">
        <v>0</v>
      </c>
      <c r="K44" s="1669">
        <f>SUM(C44:J44)</f>
        <v>605079</v>
      </c>
      <c r="L44" s="479">
        <v>649285</v>
      </c>
    </row>
    <row r="45" spans="1:14" x14ac:dyDescent="0.2">
      <c r="A45" s="1501" t="s">
        <v>814</v>
      </c>
      <c r="B45" s="611">
        <v>2220</v>
      </c>
      <c r="C45" s="466">
        <v>162900</v>
      </c>
      <c r="D45" s="466">
        <v>10619</v>
      </c>
      <c r="E45" s="466">
        <v>1540</v>
      </c>
      <c r="F45" s="466">
        <v>9818</v>
      </c>
      <c r="G45" s="466">
        <v>0</v>
      </c>
      <c r="H45" s="466">
        <v>0</v>
      </c>
      <c r="I45" s="467">
        <v>0</v>
      </c>
      <c r="J45" s="467">
        <v>0</v>
      </c>
      <c r="K45" s="1669">
        <f>SUM(C45:J45)</f>
        <v>184877</v>
      </c>
      <c r="L45" s="466">
        <v>103790</v>
      </c>
    </row>
    <row r="46" spans="1:14" x14ac:dyDescent="0.2">
      <c r="A46" s="1501" t="s">
        <v>815</v>
      </c>
      <c r="B46" s="611">
        <v>2230</v>
      </c>
      <c r="C46" s="466">
        <v>0</v>
      </c>
      <c r="D46" s="466">
        <v>0</v>
      </c>
      <c r="E46" s="466">
        <v>0</v>
      </c>
      <c r="F46" s="466">
        <v>35217</v>
      </c>
      <c r="G46" s="466">
        <v>0</v>
      </c>
      <c r="H46" s="466">
        <v>0</v>
      </c>
      <c r="I46" s="467">
        <v>0</v>
      </c>
      <c r="J46" s="467">
        <v>0</v>
      </c>
      <c r="K46" s="1669">
        <f>SUM(C46:J46)</f>
        <v>35217</v>
      </c>
      <c r="L46" s="466">
        <v>40000</v>
      </c>
    </row>
    <row r="47" spans="1:14" ht="12.75" customHeight="1" thickBot="1" x14ac:dyDescent="0.25">
      <c r="A47" s="1665" t="s">
        <v>560</v>
      </c>
      <c r="B47" s="1666" t="s">
        <v>32</v>
      </c>
      <c r="C47" s="1667">
        <f>SUM(C44:C46)</f>
        <v>565724</v>
      </c>
      <c r="D47" s="1667">
        <f t="shared" ref="D47:K47" si="4">SUM(D44:D46)</f>
        <v>71417</v>
      </c>
      <c r="E47" s="1667">
        <f t="shared" si="4"/>
        <v>130046</v>
      </c>
      <c r="F47" s="1667">
        <f t="shared" si="4"/>
        <v>57986</v>
      </c>
      <c r="G47" s="1667">
        <f t="shared" si="4"/>
        <v>0</v>
      </c>
      <c r="H47" s="1667">
        <f t="shared" si="4"/>
        <v>0</v>
      </c>
      <c r="I47" s="1667">
        <f t="shared" si="4"/>
        <v>0</v>
      </c>
      <c r="J47" s="1667">
        <f t="shared" si="4"/>
        <v>0</v>
      </c>
      <c r="K47" s="1667">
        <f t="shared" si="4"/>
        <v>825173</v>
      </c>
      <c r="L47" s="1667">
        <f>SUM(L44:L46)</f>
        <v>793075</v>
      </c>
    </row>
    <row r="48" spans="1:14" ht="15.75" customHeight="1" thickTop="1" x14ac:dyDescent="0.2">
      <c r="A48" s="621" t="s">
        <v>609</v>
      </c>
      <c r="B48" s="622"/>
      <c r="C48" s="623"/>
      <c r="D48" s="623"/>
      <c r="E48" s="623"/>
      <c r="F48" s="623"/>
      <c r="G48" s="623"/>
      <c r="H48" s="623"/>
      <c r="I48" s="613"/>
      <c r="J48" s="613"/>
      <c r="K48" s="623"/>
      <c r="L48" s="623"/>
    </row>
    <row r="49" spans="1:14" x14ac:dyDescent="0.2">
      <c r="A49" s="1501" t="s">
        <v>816</v>
      </c>
      <c r="B49" s="611">
        <v>2310</v>
      </c>
      <c r="C49" s="479">
        <v>0</v>
      </c>
      <c r="D49" s="479">
        <v>0</v>
      </c>
      <c r="E49" s="479">
        <v>31177</v>
      </c>
      <c r="F49" s="479">
        <v>254</v>
      </c>
      <c r="G49" s="479">
        <v>0</v>
      </c>
      <c r="H49" s="479">
        <v>0</v>
      </c>
      <c r="I49" s="467">
        <v>0</v>
      </c>
      <c r="J49" s="467">
        <v>0</v>
      </c>
      <c r="K49" s="1669">
        <f>SUM(C49:J49)</f>
        <v>31431</v>
      </c>
      <c r="L49" s="479">
        <v>30750</v>
      </c>
    </row>
    <row r="50" spans="1:14" x14ac:dyDescent="0.2">
      <c r="A50" s="1501" t="s">
        <v>817</v>
      </c>
      <c r="B50" s="611">
        <v>2320</v>
      </c>
      <c r="C50" s="467">
        <v>387549</v>
      </c>
      <c r="D50" s="466">
        <v>55517</v>
      </c>
      <c r="E50" s="466">
        <v>34609</v>
      </c>
      <c r="F50" s="466">
        <v>36530</v>
      </c>
      <c r="G50" s="466">
        <v>10512</v>
      </c>
      <c r="H50" s="466">
        <v>0</v>
      </c>
      <c r="I50" s="467">
        <v>0</v>
      </c>
      <c r="J50" s="467">
        <v>0</v>
      </c>
      <c r="K50" s="1669">
        <f>SUM(C50:J50)</f>
        <v>524717</v>
      </c>
      <c r="L50" s="466">
        <v>514185</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297</v>
      </c>
      <c r="B52" s="624" t="s">
        <v>365</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716</v>
      </c>
      <c r="B53" s="1666" t="s">
        <v>33</v>
      </c>
      <c r="C53" s="1667">
        <f>SUM(C49:C52)</f>
        <v>387549</v>
      </c>
      <c r="D53" s="1667">
        <f t="shared" ref="D53:L53" si="5">SUM(D49:D52)</f>
        <v>55517</v>
      </c>
      <c r="E53" s="1667">
        <f t="shared" si="5"/>
        <v>65786</v>
      </c>
      <c r="F53" s="1667">
        <f t="shared" si="5"/>
        <v>36784</v>
      </c>
      <c r="G53" s="1667">
        <f t="shared" si="5"/>
        <v>10512</v>
      </c>
      <c r="H53" s="1667">
        <f t="shared" si="5"/>
        <v>0</v>
      </c>
      <c r="I53" s="1667">
        <f t="shared" si="5"/>
        <v>0</v>
      </c>
      <c r="J53" s="1667">
        <f t="shared" si="5"/>
        <v>0</v>
      </c>
      <c r="K53" s="1667">
        <f t="shared" si="5"/>
        <v>556148</v>
      </c>
      <c r="L53" s="1667">
        <f t="shared" si="5"/>
        <v>544935</v>
      </c>
    </row>
    <row r="54" spans="1:14" ht="15.75" customHeight="1" thickTop="1" x14ac:dyDescent="0.2">
      <c r="A54" s="621" t="s">
        <v>610</v>
      </c>
      <c r="B54" s="622"/>
      <c r="C54" s="623"/>
      <c r="D54" s="623"/>
      <c r="E54" s="623"/>
      <c r="F54" s="623"/>
      <c r="G54" s="623"/>
      <c r="H54" s="623"/>
      <c r="I54" s="613"/>
      <c r="J54" s="613"/>
      <c r="K54" s="623"/>
      <c r="L54" s="623"/>
    </row>
    <row r="55" spans="1:14" x14ac:dyDescent="0.2">
      <c r="A55" s="1501" t="s">
        <v>1066</v>
      </c>
      <c r="B55" s="611">
        <v>2410</v>
      </c>
      <c r="C55" s="479">
        <v>1779485</v>
      </c>
      <c r="D55" s="479">
        <v>284141</v>
      </c>
      <c r="E55" s="479">
        <v>189325</v>
      </c>
      <c r="F55" s="479">
        <v>58192</v>
      </c>
      <c r="G55" s="479">
        <v>0</v>
      </c>
      <c r="H55" s="479">
        <v>0</v>
      </c>
      <c r="I55" s="467">
        <v>0</v>
      </c>
      <c r="J55" s="467">
        <v>0</v>
      </c>
      <c r="K55" s="1669">
        <f>SUM(C55:J55)</f>
        <v>2311143</v>
      </c>
      <c r="L55" s="479">
        <v>2516168</v>
      </c>
    </row>
    <row r="56" spans="1:14" ht="12.75" customHeight="1" x14ac:dyDescent="0.2">
      <c r="A56" s="1505" t="s">
        <v>375</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1779485</v>
      </c>
      <c r="D57" s="1671">
        <f t="shared" ref="D57:K57" si="6">SUM(D55:D56)</f>
        <v>284141</v>
      </c>
      <c r="E57" s="1671">
        <f t="shared" si="6"/>
        <v>189325</v>
      </c>
      <c r="F57" s="1671">
        <f t="shared" si="6"/>
        <v>58192</v>
      </c>
      <c r="G57" s="1671">
        <f t="shared" si="6"/>
        <v>0</v>
      </c>
      <c r="H57" s="1671">
        <f t="shared" si="6"/>
        <v>0</v>
      </c>
      <c r="I57" s="1671">
        <f t="shared" si="6"/>
        <v>0</v>
      </c>
      <c r="J57" s="1671">
        <f t="shared" si="6"/>
        <v>0</v>
      </c>
      <c r="K57" s="1671">
        <f t="shared" si="6"/>
        <v>2311143</v>
      </c>
      <c r="L57" s="1667">
        <f>SUM(L55:L56)</f>
        <v>2516168</v>
      </c>
      <c r="M57" s="606"/>
      <c r="N57" s="606"/>
    </row>
    <row r="58" spans="1:14" s="343" customFormat="1" ht="15.75" customHeight="1" thickTop="1" x14ac:dyDescent="0.2">
      <c r="A58" s="621" t="s">
        <v>611</v>
      </c>
      <c r="B58" s="622"/>
      <c r="C58" s="626"/>
      <c r="D58" s="623"/>
      <c r="E58" s="623"/>
      <c r="F58" s="623"/>
      <c r="G58" s="623"/>
      <c r="H58" s="623"/>
      <c r="I58" s="613"/>
      <c r="J58" s="613"/>
      <c r="K58" s="623"/>
      <c r="L58" s="623"/>
      <c r="M58" s="606"/>
      <c r="N58" s="606"/>
    </row>
    <row r="59" spans="1:14" s="343" customFormat="1" x14ac:dyDescent="0.2">
      <c r="A59" s="1501" t="s">
        <v>1067</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462</v>
      </c>
      <c r="B60" s="611">
        <v>2520</v>
      </c>
      <c r="C60" s="466">
        <v>179829</v>
      </c>
      <c r="D60" s="466">
        <v>23929</v>
      </c>
      <c r="E60" s="466">
        <v>37281</v>
      </c>
      <c r="F60" s="466">
        <v>0</v>
      </c>
      <c r="G60" s="466">
        <v>0</v>
      </c>
      <c r="H60" s="466">
        <v>0</v>
      </c>
      <c r="I60" s="467">
        <v>0</v>
      </c>
      <c r="J60" s="467">
        <v>0</v>
      </c>
      <c r="K60" s="1669">
        <f t="shared" si="7"/>
        <v>241039</v>
      </c>
      <c r="L60" s="466">
        <v>237917</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952</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607661</v>
      </c>
      <c r="D63" s="466">
        <v>11378</v>
      </c>
      <c r="E63" s="466">
        <v>18147</v>
      </c>
      <c r="F63" s="466">
        <v>555722</v>
      </c>
      <c r="G63" s="466">
        <v>0</v>
      </c>
      <c r="H63" s="466">
        <v>0</v>
      </c>
      <c r="I63" s="467">
        <v>0</v>
      </c>
      <c r="J63" s="467">
        <v>0</v>
      </c>
      <c r="K63" s="1669">
        <f t="shared" si="7"/>
        <v>1192908</v>
      </c>
      <c r="L63" s="466">
        <v>1389520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718</v>
      </c>
      <c r="B65" s="1666" t="s">
        <v>35</v>
      </c>
      <c r="C65" s="1667">
        <f>SUM(C59:C64)</f>
        <v>787490</v>
      </c>
      <c r="D65" s="1667">
        <f t="shared" ref="D65:L65" si="8">SUM(D59:D64)</f>
        <v>35307</v>
      </c>
      <c r="E65" s="1667">
        <f t="shared" si="8"/>
        <v>55428</v>
      </c>
      <c r="F65" s="1667">
        <f t="shared" si="8"/>
        <v>555722</v>
      </c>
      <c r="G65" s="1667">
        <f t="shared" si="8"/>
        <v>0</v>
      </c>
      <c r="H65" s="1667">
        <f t="shared" si="8"/>
        <v>0</v>
      </c>
      <c r="I65" s="1667">
        <f t="shared" si="8"/>
        <v>0</v>
      </c>
      <c r="J65" s="1667">
        <f t="shared" si="8"/>
        <v>0</v>
      </c>
      <c r="K65" s="1667">
        <f t="shared" si="8"/>
        <v>1433947</v>
      </c>
      <c r="L65" s="1667">
        <f t="shared" si="8"/>
        <v>1627437</v>
      </c>
      <c r="M65" s="606"/>
      <c r="N65" s="606"/>
    </row>
    <row r="66" spans="1:14" s="343" customFormat="1" ht="15.75" customHeight="1" thickTop="1" x14ac:dyDescent="0.2">
      <c r="A66" s="621" t="s">
        <v>612</v>
      </c>
      <c r="B66" s="628"/>
      <c r="C66" s="613"/>
      <c r="D66" s="613"/>
      <c r="E66" s="613"/>
      <c r="F66" s="613"/>
      <c r="G66" s="613"/>
      <c r="H66" s="613"/>
      <c r="I66" s="613"/>
      <c r="J66" s="613"/>
      <c r="K66" s="623"/>
      <c r="L66" s="623"/>
      <c r="M66" s="606"/>
      <c r="N66" s="606"/>
    </row>
    <row r="67" spans="1:14" s="343" customFormat="1" x14ac:dyDescent="0.2">
      <c r="A67" s="1501" t="s">
        <v>1059</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606</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1060</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402</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403</v>
      </c>
      <c r="B71" s="611">
        <v>2660</v>
      </c>
      <c r="C71" s="466">
        <v>0</v>
      </c>
      <c r="D71" s="466">
        <v>0</v>
      </c>
      <c r="E71" s="466">
        <v>23093</v>
      </c>
      <c r="F71" s="466">
        <v>0</v>
      </c>
      <c r="G71" s="466">
        <v>0</v>
      </c>
      <c r="H71" s="466">
        <v>0</v>
      </c>
      <c r="I71" s="467">
        <v>0</v>
      </c>
      <c r="J71" s="467">
        <v>0</v>
      </c>
      <c r="K71" s="1669">
        <f>SUM(C71:J71)</f>
        <v>23093</v>
      </c>
      <c r="L71" s="466">
        <v>45000</v>
      </c>
      <c r="M71" s="606"/>
      <c r="N71" s="606"/>
    </row>
    <row r="72" spans="1:14" s="343" customFormat="1" ht="12.75" customHeight="1" thickBot="1" x14ac:dyDescent="0.25">
      <c r="A72" s="1665" t="s">
        <v>37</v>
      </c>
      <c r="B72" s="1672" t="s">
        <v>36</v>
      </c>
      <c r="C72" s="1667">
        <f>SUM(C67:C71)</f>
        <v>0</v>
      </c>
      <c r="D72" s="1667">
        <f t="shared" ref="D72:K72" si="9">SUM(D67:D71)</f>
        <v>0</v>
      </c>
      <c r="E72" s="1667">
        <f t="shared" si="9"/>
        <v>23093</v>
      </c>
      <c r="F72" s="1667">
        <f t="shared" si="9"/>
        <v>0</v>
      </c>
      <c r="G72" s="1667">
        <f t="shared" si="9"/>
        <v>0</v>
      </c>
      <c r="H72" s="1667">
        <f t="shared" si="9"/>
        <v>0</v>
      </c>
      <c r="I72" s="1667">
        <f t="shared" si="9"/>
        <v>0</v>
      </c>
      <c r="J72" s="1667">
        <f t="shared" si="9"/>
        <v>0</v>
      </c>
      <c r="K72" s="1667">
        <f t="shared" si="9"/>
        <v>23093</v>
      </c>
      <c r="L72" s="1667">
        <f>SUM(L67:L71)</f>
        <v>45000</v>
      </c>
      <c r="M72" s="606"/>
      <c r="N72" s="606"/>
    </row>
    <row r="73" spans="1:14" s="343" customFormat="1" ht="14.25" thickTop="1" thickBot="1" x14ac:dyDescent="0.25">
      <c r="A73" s="1507" t="s">
        <v>979</v>
      </c>
      <c r="B73" s="629" t="s">
        <v>573</v>
      </c>
      <c r="C73" s="467">
        <v>229788</v>
      </c>
      <c r="D73" s="467">
        <v>10564</v>
      </c>
      <c r="E73" s="467">
        <v>761641</v>
      </c>
      <c r="F73" s="467">
        <v>19864</v>
      </c>
      <c r="G73" s="467">
        <v>629005</v>
      </c>
      <c r="H73" s="467">
        <v>0</v>
      </c>
      <c r="I73" s="467">
        <v>0</v>
      </c>
      <c r="J73" s="467">
        <v>0</v>
      </c>
      <c r="K73" s="1667">
        <f>SUM(C73:J73)</f>
        <v>1650862</v>
      </c>
      <c r="L73" s="573">
        <v>1550909</v>
      </c>
      <c r="M73" s="606"/>
      <c r="N73" s="606"/>
    </row>
    <row r="74" spans="1:14" ht="12.75" customHeight="1" thickTop="1" thickBot="1" x14ac:dyDescent="0.25">
      <c r="A74" s="1665" t="s">
        <v>810</v>
      </c>
      <c r="B74" s="1673">
        <v>2000</v>
      </c>
      <c r="C74" s="1674">
        <f>SUM(C42,C47,C53,C57,C65,C72,C73)</f>
        <v>5328095</v>
      </c>
      <c r="D74" s="1674">
        <f t="shared" ref="D74:K74" si="10">SUM(D42,D47,D53,D57,D65,D72,D73)</f>
        <v>763799</v>
      </c>
      <c r="E74" s="1674">
        <f t="shared" si="10"/>
        <v>1269049</v>
      </c>
      <c r="F74" s="1674">
        <f t="shared" si="10"/>
        <v>759319</v>
      </c>
      <c r="G74" s="1674">
        <f t="shared" si="10"/>
        <v>639517</v>
      </c>
      <c r="H74" s="1674">
        <f t="shared" si="10"/>
        <v>0</v>
      </c>
      <c r="I74" s="1674">
        <f t="shared" si="10"/>
        <v>0</v>
      </c>
      <c r="J74" s="1674">
        <f t="shared" si="10"/>
        <v>0</v>
      </c>
      <c r="K74" s="1674">
        <f t="shared" si="10"/>
        <v>8759779</v>
      </c>
      <c r="L74" s="1674">
        <f>SUM(L42,L47,L53,L57,L65,L72,L73)</f>
        <v>9089722</v>
      </c>
    </row>
    <row r="75" spans="1:14" s="259" customFormat="1" ht="15.75" customHeight="1" thickTop="1" thickBot="1" x14ac:dyDescent="0.25">
      <c r="A75" s="1607" t="s">
        <v>47</v>
      </c>
      <c r="B75" s="1608" t="s">
        <v>574</v>
      </c>
      <c r="C75" s="467">
        <v>0</v>
      </c>
      <c r="D75" s="467">
        <v>0</v>
      </c>
      <c r="E75" s="467">
        <v>2084</v>
      </c>
      <c r="F75" s="467">
        <v>0</v>
      </c>
      <c r="G75" s="467">
        <v>0</v>
      </c>
      <c r="H75" s="467">
        <v>0</v>
      </c>
      <c r="I75" s="467">
        <v>0</v>
      </c>
      <c r="J75" s="467">
        <v>0</v>
      </c>
      <c r="K75" s="1667">
        <f>SUM(C75:J75)</f>
        <v>2084</v>
      </c>
      <c r="L75" s="573">
        <v>45000</v>
      </c>
      <c r="M75" s="610"/>
      <c r="N75" s="610"/>
    </row>
    <row r="76" spans="1:14" s="630" customFormat="1" ht="15.75" customHeight="1" thickTop="1" x14ac:dyDescent="0.2">
      <c r="A76" s="1609" t="s">
        <v>364</v>
      </c>
      <c r="B76" s="1606" t="s">
        <v>859</v>
      </c>
      <c r="C76" s="615"/>
      <c r="D76" s="615"/>
      <c r="E76" s="613"/>
      <c r="F76" s="615"/>
      <c r="G76" s="615"/>
      <c r="H76" s="613"/>
      <c r="I76" s="613"/>
      <c r="J76" s="613"/>
      <c r="K76" s="613"/>
      <c r="L76" s="613"/>
      <c r="M76" s="184"/>
      <c r="N76" s="184"/>
    </row>
    <row r="77" spans="1:14" s="259" customFormat="1" ht="15.75" customHeight="1" x14ac:dyDescent="0.2">
      <c r="A77" s="618" t="s">
        <v>613</v>
      </c>
      <c r="B77" s="619"/>
      <c r="C77" s="613"/>
      <c r="D77" s="613"/>
      <c r="E77" s="620"/>
      <c r="F77" s="613"/>
      <c r="G77" s="613"/>
      <c r="H77" s="620"/>
      <c r="I77" s="613"/>
      <c r="J77" s="613"/>
      <c r="K77" s="620"/>
      <c r="L77" s="620"/>
      <c r="M77" s="610"/>
      <c r="N77" s="610"/>
    </row>
    <row r="78" spans="1:14" x14ac:dyDescent="0.2">
      <c r="A78" s="1501" t="s">
        <v>495</v>
      </c>
      <c r="B78" s="611">
        <v>4110</v>
      </c>
      <c r="C78" s="613"/>
      <c r="D78" s="613"/>
      <c r="E78" s="479">
        <v>0</v>
      </c>
      <c r="F78" s="613"/>
      <c r="G78" s="613"/>
      <c r="H78" s="631">
        <v>0</v>
      </c>
      <c r="I78" s="475"/>
      <c r="J78" s="475"/>
      <c r="K78" s="1668">
        <f t="shared" ref="K78:K83" si="11">SUM(C78:J78)</f>
        <v>0</v>
      </c>
      <c r="L78" s="479">
        <v>0</v>
      </c>
    </row>
    <row r="79" spans="1:14" x14ac:dyDescent="0.2">
      <c r="A79" s="1501" t="s">
        <v>303</v>
      </c>
      <c r="B79" s="611">
        <v>4120</v>
      </c>
      <c r="C79" s="613"/>
      <c r="D79" s="613"/>
      <c r="E79" s="466">
        <v>0</v>
      </c>
      <c r="F79" s="613"/>
      <c r="G79" s="613"/>
      <c r="H79" s="466">
        <v>0</v>
      </c>
      <c r="I79" s="475"/>
      <c r="J79" s="475"/>
      <c r="K79" s="1668">
        <f t="shared" si="11"/>
        <v>0</v>
      </c>
      <c r="L79" s="466">
        <v>0</v>
      </c>
    </row>
    <row r="80" spans="1:14" x14ac:dyDescent="0.2">
      <c r="A80" s="1501" t="s">
        <v>304</v>
      </c>
      <c r="B80" s="611">
        <v>4130</v>
      </c>
      <c r="C80" s="613"/>
      <c r="D80" s="613"/>
      <c r="E80" s="466">
        <v>0</v>
      </c>
      <c r="F80" s="613"/>
      <c r="G80" s="613"/>
      <c r="H80" s="466">
        <v>0</v>
      </c>
      <c r="I80" s="475"/>
      <c r="J80" s="475"/>
      <c r="K80" s="1668">
        <f t="shared" si="11"/>
        <v>0</v>
      </c>
      <c r="L80" s="466">
        <v>0</v>
      </c>
    </row>
    <row r="81" spans="1:12" x14ac:dyDescent="0.2">
      <c r="A81" s="1501" t="s">
        <v>696</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697</v>
      </c>
      <c r="B83" s="625">
        <v>4190</v>
      </c>
      <c r="C83" s="613"/>
      <c r="D83" s="613"/>
      <c r="E83" s="466">
        <v>0</v>
      </c>
      <c r="F83" s="613"/>
      <c r="G83" s="613"/>
      <c r="H83" s="466">
        <v>0</v>
      </c>
      <c r="I83" s="475"/>
      <c r="J83" s="475"/>
      <c r="K83" s="1668">
        <f t="shared" si="11"/>
        <v>0</v>
      </c>
      <c r="L83" s="466">
        <v>0</v>
      </c>
    </row>
    <row r="84" spans="1:12" ht="13.5" thickBot="1" x14ac:dyDescent="0.25">
      <c r="A84" s="1665" t="s">
        <v>1484</v>
      </c>
      <c r="B84" s="1675">
        <v>4100</v>
      </c>
      <c r="C84" s="613"/>
      <c r="D84" s="613"/>
      <c r="E84" s="1667">
        <f>SUM(E78:E83)</f>
        <v>0</v>
      </c>
      <c r="F84" s="613"/>
      <c r="G84" s="613"/>
      <c r="H84" s="1667">
        <f>SUM(H78:H83)</f>
        <v>0</v>
      </c>
      <c r="I84" s="475"/>
      <c r="J84" s="475"/>
      <c r="K84" s="1667">
        <f>SUM(K78:K83)</f>
        <v>0</v>
      </c>
      <c r="L84" s="1667">
        <f>SUM(L78:L83)</f>
        <v>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698</v>
      </c>
      <c r="B86" s="634">
        <v>4220</v>
      </c>
      <c r="C86" s="613"/>
      <c r="D86" s="613"/>
      <c r="E86" s="635"/>
      <c r="F86" s="613"/>
      <c r="G86" s="613"/>
      <c r="H86" s="467">
        <v>1317129</v>
      </c>
      <c r="I86" s="475"/>
      <c r="J86" s="475"/>
      <c r="K86" s="1674">
        <f t="shared" ref="K86:K98" si="12">H86</f>
        <v>1317129</v>
      </c>
      <c r="L86" s="527">
        <v>790000</v>
      </c>
    </row>
    <row r="87" spans="1:12" ht="14.25" thickTop="1" thickBot="1" x14ac:dyDescent="0.25">
      <c r="A87" s="1510" t="s">
        <v>699</v>
      </c>
      <c r="B87" s="636">
        <v>4230</v>
      </c>
      <c r="C87" s="613"/>
      <c r="D87" s="613"/>
      <c r="E87" s="635"/>
      <c r="F87" s="613"/>
      <c r="G87" s="613"/>
      <c r="H87" s="467">
        <v>0</v>
      </c>
      <c r="I87" s="475"/>
      <c r="J87" s="475"/>
      <c r="K87" s="1674">
        <f t="shared" si="12"/>
        <v>0</v>
      </c>
      <c r="L87" s="527">
        <v>0</v>
      </c>
    </row>
    <row r="88" spans="1:12" ht="12.75" customHeight="1" thickTop="1" thickBot="1" x14ac:dyDescent="0.25">
      <c r="A88" s="1510" t="s">
        <v>764</v>
      </c>
      <c r="B88" s="636">
        <v>4240</v>
      </c>
      <c r="C88" s="613"/>
      <c r="D88" s="613"/>
      <c r="E88" s="635"/>
      <c r="F88" s="613"/>
      <c r="G88" s="613"/>
      <c r="H88" s="467">
        <v>0</v>
      </c>
      <c r="I88" s="475"/>
      <c r="J88" s="475"/>
      <c r="K88" s="1674">
        <f t="shared" si="12"/>
        <v>0</v>
      </c>
      <c r="L88" s="527">
        <v>6500</v>
      </c>
    </row>
    <row r="89" spans="1:12" ht="12.75" customHeight="1" thickTop="1" thickBot="1" x14ac:dyDescent="0.25">
      <c r="A89" s="1510" t="s">
        <v>700</v>
      </c>
      <c r="B89" s="636">
        <v>4270</v>
      </c>
      <c r="C89" s="613"/>
      <c r="D89" s="613"/>
      <c r="E89" s="635"/>
      <c r="F89" s="613"/>
      <c r="G89" s="613"/>
      <c r="H89" s="467">
        <v>0</v>
      </c>
      <c r="I89" s="475"/>
      <c r="J89" s="475"/>
      <c r="K89" s="1674">
        <f t="shared" si="12"/>
        <v>0</v>
      </c>
      <c r="L89" s="527">
        <v>0</v>
      </c>
    </row>
    <row r="90" spans="1:12" ht="12.75" customHeight="1" thickTop="1" thickBot="1" x14ac:dyDescent="0.25">
      <c r="A90" s="1510" t="s">
        <v>685</v>
      </c>
      <c r="B90" s="636">
        <v>4280</v>
      </c>
      <c r="C90" s="613"/>
      <c r="D90" s="613"/>
      <c r="E90" s="635"/>
      <c r="F90" s="613"/>
      <c r="G90" s="613"/>
      <c r="H90" s="467">
        <v>0</v>
      </c>
      <c r="I90" s="475"/>
      <c r="J90" s="475"/>
      <c r="K90" s="1674">
        <f t="shared" si="12"/>
        <v>0</v>
      </c>
      <c r="L90" s="527">
        <v>0</v>
      </c>
    </row>
    <row r="91" spans="1:12" ht="12.75" customHeight="1" thickTop="1" thickBot="1" x14ac:dyDescent="0.25">
      <c r="A91" s="1510" t="s">
        <v>686</v>
      </c>
      <c r="B91" s="636">
        <v>4290</v>
      </c>
      <c r="C91" s="613"/>
      <c r="D91" s="613"/>
      <c r="E91" s="635"/>
      <c r="F91" s="613"/>
      <c r="G91" s="613"/>
      <c r="H91" s="467">
        <v>0</v>
      </c>
      <c r="I91" s="475"/>
      <c r="J91" s="475"/>
      <c r="K91" s="1674">
        <f t="shared" si="12"/>
        <v>0</v>
      </c>
      <c r="L91" s="527">
        <v>0</v>
      </c>
    </row>
    <row r="92" spans="1:12" ht="14.25" thickTop="1" thickBot="1" x14ac:dyDescent="0.25">
      <c r="A92" s="1677" t="s">
        <v>1559</v>
      </c>
      <c r="B92" s="1675">
        <v>4200</v>
      </c>
      <c r="C92" s="613"/>
      <c r="D92" s="613"/>
      <c r="E92" s="635"/>
      <c r="F92" s="613"/>
      <c r="G92" s="613"/>
      <c r="H92" s="1667">
        <f>SUM(H85:H91)</f>
        <v>1317129</v>
      </c>
      <c r="I92" s="475"/>
      <c r="J92" s="475"/>
      <c r="K92" s="1674">
        <f t="shared" si="12"/>
        <v>1317129</v>
      </c>
      <c r="L92" s="1667">
        <f>SUM(L85:L91)</f>
        <v>796500</v>
      </c>
    </row>
    <row r="93" spans="1:12" ht="14.25" thickTop="1" thickBot="1" x14ac:dyDescent="0.25">
      <c r="A93" s="1509" t="s">
        <v>687</v>
      </c>
      <c r="B93" s="637">
        <v>4310</v>
      </c>
      <c r="C93" s="613"/>
      <c r="D93" s="613"/>
      <c r="E93" s="635"/>
      <c r="F93" s="613"/>
      <c r="G93" s="613"/>
      <c r="H93" s="638">
        <v>0</v>
      </c>
      <c r="I93" s="475"/>
      <c r="J93" s="475"/>
      <c r="K93" s="1674">
        <f t="shared" si="12"/>
        <v>0</v>
      </c>
      <c r="L93" s="529">
        <v>0</v>
      </c>
    </row>
    <row r="94" spans="1:12" ht="12.75" customHeight="1" thickTop="1" thickBot="1" x14ac:dyDescent="0.25">
      <c r="A94" s="1510" t="s">
        <v>688</v>
      </c>
      <c r="B94" s="636">
        <v>4320</v>
      </c>
      <c r="C94" s="613"/>
      <c r="D94" s="613"/>
      <c r="E94" s="635"/>
      <c r="F94" s="613"/>
      <c r="G94" s="613"/>
      <c r="H94" s="467">
        <v>0</v>
      </c>
      <c r="I94" s="475"/>
      <c r="J94" s="475"/>
      <c r="K94" s="1674">
        <f t="shared" si="12"/>
        <v>0</v>
      </c>
      <c r="L94" s="527">
        <v>0</v>
      </c>
    </row>
    <row r="95" spans="1:12" ht="15" customHeight="1" thickTop="1" thickBot="1" x14ac:dyDescent="0.25">
      <c r="A95" s="1510" t="s">
        <v>1487</v>
      </c>
      <c r="B95" s="636">
        <v>4330</v>
      </c>
      <c r="C95" s="613"/>
      <c r="D95" s="613"/>
      <c r="E95" s="635"/>
      <c r="F95" s="613"/>
      <c r="G95" s="613"/>
      <c r="H95" s="467">
        <v>0</v>
      </c>
      <c r="I95" s="475"/>
      <c r="J95" s="475"/>
      <c r="K95" s="1674">
        <f t="shared" si="12"/>
        <v>0</v>
      </c>
      <c r="L95" s="527">
        <v>0</v>
      </c>
    </row>
    <row r="96" spans="1:12" ht="14.25" thickTop="1" thickBot="1" x14ac:dyDescent="0.25">
      <c r="A96" s="1510" t="s">
        <v>689</v>
      </c>
      <c r="B96" s="636">
        <v>4340</v>
      </c>
      <c r="C96" s="613"/>
      <c r="D96" s="613"/>
      <c r="E96" s="635"/>
      <c r="F96" s="613"/>
      <c r="G96" s="613"/>
      <c r="H96" s="467">
        <v>0</v>
      </c>
      <c r="I96" s="475"/>
      <c r="J96" s="475"/>
      <c r="K96" s="1674">
        <f t="shared" si="12"/>
        <v>0</v>
      </c>
      <c r="L96" s="527">
        <v>0</v>
      </c>
    </row>
    <row r="97" spans="1:14" ht="12.75" customHeight="1" thickTop="1" thickBot="1" x14ac:dyDescent="0.25">
      <c r="A97" s="1510" t="s">
        <v>762</v>
      </c>
      <c r="B97" s="636">
        <v>4370</v>
      </c>
      <c r="C97" s="613"/>
      <c r="D97" s="613"/>
      <c r="E97" s="635"/>
      <c r="F97" s="613"/>
      <c r="G97" s="613"/>
      <c r="H97" s="467">
        <v>0</v>
      </c>
      <c r="I97" s="475"/>
      <c r="J97" s="475"/>
      <c r="K97" s="1674">
        <f t="shared" si="12"/>
        <v>0</v>
      </c>
      <c r="L97" s="527">
        <v>0</v>
      </c>
    </row>
    <row r="98" spans="1:14" ht="14.25" thickTop="1" thickBot="1" x14ac:dyDescent="0.25">
      <c r="A98" s="1510" t="s">
        <v>763</v>
      </c>
      <c r="B98" s="636">
        <v>4380</v>
      </c>
      <c r="C98" s="613"/>
      <c r="D98" s="613"/>
      <c r="E98" s="639"/>
      <c r="F98" s="613"/>
      <c r="G98" s="613"/>
      <c r="H98" s="467">
        <v>0</v>
      </c>
      <c r="I98" s="475"/>
      <c r="J98" s="475"/>
      <c r="K98" s="1674">
        <f t="shared" si="12"/>
        <v>0</v>
      </c>
      <c r="L98" s="527">
        <v>0</v>
      </c>
    </row>
    <row r="99" spans="1:14" ht="14.25" thickTop="1" thickBot="1" x14ac:dyDescent="0.25">
      <c r="A99" s="1510" t="s">
        <v>366</v>
      </c>
      <c r="B99" s="636">
        <v>4390</v>
      </c>
      <c r="C99" s="613"/>
      <c r="D99" s="613"/>
      <c r="E99" s="529">
        <v>0</v>
      </c>
      <c r="F99" s="613"/>
      <c r="G99" s="613"/>
      <c r="H99" s="467">
        <v>12249</v>
      </c>
      <c r="I99" s="475"/>
      <c r="J99" s="475"/>
      <c r="K99" s="1674">
        <f>SUM(E99,H99)</f>
        <v>12249</v>
      </c>
      <c r="L99" s="527">
        <v>0</v>
      </c>
    </row>
    <row r="100" spans="1:14" ht="14.25" thickTop="1" thickBot="1" x14ac:dyDescent="0.25">
      <c r="A100" s="1677" t="s">
        <v>1485</v>
      </c>
      <c r="B100" s="1678">
        <v>4300</v>
      </c>
      <c r="C100" s="613"/>
      <c r="D100" s="613"/>
      <c r="E100" s="1674">
        <f>SUM(E93:E99)</f>
        <v>0</v>
      </c>
      <c r="F100" s="613"/>
      <c r="G100" s="613"/>
      <c r="H100" s="1674">
        <f>SUM(H93:H99)</f>
        <v>12249</v>
      </c>
      <c r="I100" s="475"/>
      <c r="J100" s="475"/>
      <c r="K100" s="1674">
        <f>SUM(K93:K99)</f>
        <v>12249</v>
      </c>
      <c r="L100" s="1674">
        <f>SUM(L93:L99)</f>
        <v>0</v>
      </c>
    </row>
    <row r="101" spans="1:14" ht="12.75" customHeight="1" thickTop="1" thickBot="1" x14ac:dyDescent="0.25">
      <c r="A101" s="1507" t="s">
        <v>1488</v>
      </c>
      <c r="B101" s="640" t="s">
        <v>930</v>
      </c>
      <c r="C101" s="613"/>
      <c r="D101" s="613"/>
      <c r="E101" s="528">
        <v>0</v>
      </c>
      <c r="F101" s="613"/>
      <c r="G101" s="613"/>
      <c r="H101" s="528">
        <v>0</v>
      </c>
      <c r="I101" s="475"/>
      <c r="J101" s="475"/>
      <c r="K101" s="1676">
        <f>SUM(C101:J101)</f>
        <v>0</v>
      </c>
      <c r="L101" s="527">
        <v>0</v>
      </c>
    </row>
    <row r="102" spans="1:14" ht="12.75" customHeight="1" thickTop="1" thickBot="1" x14ac:dyDescent="0.25">
      <c r="A102" s="1665" t="s">
        <v>1486</v>
      </c>
      <c r="B102" s="1675">
        <v>4000</v>
      </c>
      <c r="C102" s="613"/>
      <c r="D102" s="613"/>
      <c r="E102" s="1674">
        <f>SUM(E84,E92,E100,E101)</f>
        <v>0</v>
      </c>
      <c r="F102" s="613"/>
      <c r="G102" s="613"/>
      <c r="H102" s="1674">
        <f>SUM(H84,H92,H100,H101)</f>
        <v>1329378</v>
      </c>
      <c r="I102" s="475"/>
      <c r="J102" s="475"/>
      <c r="K102" s="1674">
        <f>SUM(K84,K92,K100,K101)</f>
        <v>1329378</v>
      </c>
      <c r="L102" s="1674">
        <f>SUM(L84,L92,L100,L101)</f>
        <v>796500</v>
      </c>
    </row>
    <row r="103" spans="1:14" s="630" customFormat="1" ht="15.75" customHeight="1" thickTop="1" x14ac:dyDescent="0.2">
      <c r="A103" s="1609" t="s">
        <v>512</v>
      </c>
      <c r="B103" s="1606" t="s">
        <v>491</v>
      </c>
      <c r="C103" s="613"/>
      <c r="D103" s="613"/>
      <c r="E103" s="613"/>
      <c r="F103" s="613"/>
      <c r="G103" s="613"/>
      <c r="H103" s="615"/>
      <c r="I103" s="468"/>
      <c r="J103" s="468"/>
      <c r="K103" s="615"/>
      <c r="L103" s="615"/>
      <c r="M103" s="184"/>
      <c r="N103" s="184"/>
    </row>
    <row r="104" spans="1:14" s="643" customFormat="1" ht="15.75" customHeight="1" x14ac:dyDescent="0.2">
      <c r="A104" s="641" t="s">
        <v>614</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1169</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588</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1101</v>
      </c>
      <c r="B110" s="1672" t="s">
        <v>717</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367</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637</v>
      </c>
      <c r="B112" s="1666" t="s">
        <v>491</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513</v>
      </c>
      <c r="B113" s="1610" t="s">
        <v>860</v>
      </c>
      <c r="C113" s="620"/>
      <c r="D113" s="620"/>
      <c r="E113" s="613"/>
      <c r="F113" s="613"/>
      <c r="G113" s="613"/>
      <c r="H113" s="620"/>
      <c r="I113" s="468"/>
      <c r="J113" s="468"/>
      <c r="K113" s="620"/>
      <c r="L113" s="528">
        <v>10000</v>
      </c>
      <c r="M113" s="610"/>
      <c r="N113" s="610"/>
    </row>
    <row r="114" spans="1:14" ht="12.75" customHeight="1" thickTop="1" thickBot="1" x14ac:dyDescent="0.25">
      <c r="A114" s="1665" t="s">
        <v>48</v>
      </c>
      <c r="B114" s="1679"/>
      <c r="C114" s="1667">
        <f>SUM(C33,C74,C75,C102,C112,C113)</f>
        <v>23194523</v>
      </c>
      <c r="D114" s="1667">
        <f t="shared" ref="D114:K114" si="13">SUM(D33,D74,D75,D102,D112,D113)</f>
        <v>3971474</v>
      </c>
      <c r="E114" s="1667">
        <f t="shared" si="13"/>
        <v>1503581</v>
      </c>
      <c r="F114" s="1667">
        <f t="shared" si="13"/>
        <v>1392847</v>
      </c>
      <c r="G114" s="1667">
        <f t="shared" si="13"/>
        <v>653049</v>
      </c>
      <c r="H114" s="1667">
        <f>SUM(H33,H74,H75,H102,H112,H113)</f>
        <v>1604437</v>
      </c>
      <c r="I114" s="1667">
        <f t="shared" si="13"/>
        <v>0</v>
      </c>
      <c r="J114" s="1667">
        <f t="shared" si="13"/>
        <v>0</v>
      </c>
      <c r="K114" s="1667">
        <f t="shared" si="13"/>
        <v>32319911</v>
      </c>
      <c r="L114" s="1667">
        <f>SUM(L33,L74,L75,L102,L112,L113)</f>
        <v>34057582</v>
      </c>
    </row>
    <row r="115" spans="1:14" ht="13.5" thickTop="1" x14ac:dyDescent="0.2">
      <c r="A115" s="2275" t="s">
        <v>995</v>
      </c>
      <c r="B115" s="2276"/>
      <c r="C115" s="615"/>
      <c r="D115" s="615"/>
      <c r="E115" s="615"/>
      <c r="F115" s="615"/>
      <c r="G115" s="615"/>
      <c r="H115" s="615"/>
      <c r="I115" s="615"/>
      <c r="J115" s="615"/>
      <c r="K115" s="1681">
        <f>'Revenues 9-14'!C268-'Expenditures 15-22'!K114</f>
        <v>450865</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80" t="s">
        <v>295</v>
      </c>
      <c r="B117" s="2281"/>
      <c r="C117" s="1623"/>
      <c r="D117" s="1624"/>
      <c r="E117" s="1624"/>
      <c r="F117" s="1624"/>
      <c r="G117" s="1624"/>
      <c r="H117" s="1624"/>
      <c r="I117" s="1624"/>
      <c r="J117" s="1624"/>
      <c r="K117" s="1624"/>
      <c r="L117" s="1625"/>
      <c r="M117" s="175"/>
      <c r="N117" s="175"/>
    </row>
    <row r="118" spans="1:14" ht="15.75" customHeight="1" x14ac:dyDescent="0.2">
      <c r="A118" s="1611" t="s">
        <v>1034</v>
      </c>
      <c r="B118" s="1612" t="s">
        <v>568</v>
      </c>
      <c r="C118" s="613"/>
      <c r="D118" s="613"/>
      <c r="E118" s="613"/>
      <c r="F118" s="613"/>
      <c r="G118" s="613"/>
      <c r="H118" s="613"/>
      <c r="I118" s="613"/>
      <c r="J118" s="613"/>
      <c r="K118" s="613"/>
      <c r="L118" s="613"/>
    </row>
    <row r="119" spans="1:14" ht="15.75" customHeight="1" x14ac:dyDescent="0.2">
      <c r="A119" s="649" t="s">
        <v>590</v>
      </c>
      <c r="B119" s="619"/>
      <c r="C119" s="620"/>
      <c r="D119" s="620"/>
      <c r="E119" s="620"/>
      <c r="F119" s="613"/>
      <c r="G119" s="613"/>
      <c r="H119" s="620"/>
      <c r="I119" s="613"/>
      <c r="J119" s="613"/>
      <c r="K119" s="620"/>
      <c r="L119" s="620"/>
    </row>
    <row r="120" spans="1:14" ht="12.75" customHeight="1" x14ac:dyDescent="0.2">
      <c r="A120" s="1505" t="s">
        <v>2056</v>
      </c>
      <c r="B120" s="625" t="s">
        <v>715</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611</v>
      </c>
      <c r="B121" s="619"/>
      <c r="C121" s="518"/>
      <c r="D121" s="518"/>
      <c r="E121" s="518"/>
      <c r="F121" s="518"/>
      <c r="G121" s="518"/>
      <c r="H121" s="518"/>
      <c r="I121" s="613"/>
      <c r="J121" s="613"/>
      <c r="K121" s="620"/>
      <c r="L121" s="518"/>
    </row>
    <row r="122" spans="1:14" ht="13.5" thickBot="1" x14ac:dyDescent="0.25">
      <c r="A122" s="1501" t="s">
        <v>1067</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1476795</v>
      </c>
      <c r="D124" s="466">
        <v>119871</v>
      </c>
      <c r="E124" s="466">
        <v>781270</v>
      </c>
      <c r="F124" s="466">
        <v>1209546</v>
      </c>
      <c r="G124" s="466">
        <v>393823</v>
      </c>
      <c r="H124" s="466">
        <v>0</v>
      </c>
      <c r="I124" s="467">
        <v>0</v>
      </c>
      <c r="J124" s="467">
        <v>0</v>
      </c>
      <c r="K124" s="1667">
        <f>SUM(C124:J124)</f>
        <v>3981305</v>
      </c>
      <c r="L124" s="466">
        <v>4506372</v>
      </c>
    </row>
    <row r="125" spans="1:14" ht="14.25" thickTop="1" thickBot="1" x14ac:dyDescent="0.25">
      <c r="A125" s="1501" t="s">
        <v>952</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718</v>
      </c>
      <c r="B127" s="1666" t="s">
        <v>35</v>
      </c>
      <c r="C127" s="1667">
        <f>SUM(C122:C126)</f>
        <v>1476795</v>
      </c>
      <c r="D127" s="1667">
        <f t="shared" ref="D127:L127" si="14">SUM(D122:D126)</f>
        <v>119871</v>
      </c>
      <c r="E127" s="1667">
        <f t="shared" si="14"/>
        <v>781270</v>
      </c>
      <c r="F127" s="1667">
        <f t="shared" si="14"/>
        <v>1209546</v>
      </c>
      <c r="G127" s="1667">
        <f t="shared" si="14"/>
        <v>393823</v>
      </c>
      <c r="H127" s="1667">
        <f t="shared" si="14"/>
        <v>0</v>
      </c>
      <c r="I127" s="1667">
        <f t="shared" si="14"/>
        <v>0</v>
      </c>
      <c r="J127" s="1667">
        <f t="shared" si="14"/>
        <v>0</v>
      </c>
      <c r="K127" s="1667">
        <f t="shared" si="14"/>
        <v>3981305</v>
      </c>
      <c r="L127" s="1667">
        <f t="shared" si="14"/>
        <v>4506372</v>
      </c>
    </row>
    <row r="128" spans="1:14" ht="12.75" customHeight="1" thickTop="1" x14ac:dyDescent="0.2">
      <c r="A128" s="1508" t="s">
        <v>979</v>
      </c>
      <c r="B128" s="652" t="s">
        <v>573</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810</v>
      </c>
      <c r="B129" s="1684" t="s">
        <v>568</v>
      </c>
      <c r="C129" s="1674">
        <f>SUM(C120,C127,C128)</f>
        <v>1476795</v>
      </c>
      <c r="D129" s="1674">
        <f t="shared" ref="D129:L129" si="15">SUM(D120,D127,D128)</f>
        <v>119871</v>
      </c>
      <c r="E129" s="1674">
        <f t="shared" si="15"/>
        <v>781270</v>
      </c>
      <c r="F129" s="1674">
        <f t="shared" si="15"/>
        <v>1209546</v>
      </c>
      <c r="G129" s="1674">
        <f t="shared" si="15"/>
        <v>393823</v>
      </c>
      <c r="H129" s="1674">
        <f t="shared" si="15"/>
        <v>0</v>
      </c>
      <c r="I129" s="1674">
        <f t="shared" si="15"/>
        <v>0</v>
      </c>
      <c r="J129" s="1674">
        <f t="shared" si="15"/>
        <v>0</v>
      </c>
      <c r="K129" s="1674">
        <f t="shared" si="15"/>
        <v>3981305</v>
      </c>
      <c r="L129" s="1674">
        <f t="shared" si="15"/>
        <v>4506372</v>
      </c>
    </row>
    <row r="130" spans="1:14" ht="15.75" customHeight="1" thickTop="1" thickBot="1" x14ac:dyDescent="0.25">
      <c r="A130" s="1607" t="s">
        <v>1035</v>
      </c>
      <c r="B130" s="1608" t="s">
        <v>574</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615</v>
      </c>
      <c r="B131" s="1606" t="s">
        <v>859</v>
      </c>
      <c r="C131" s="468"/>
      <c r="D131" s="468"/>
      <c r="E131" s="563"/>
      <c r="F131" s="468"/>
      <c r="G131" s="468"/>
      <c r="H131" s="563"/>
      <c r="I131" s="468"/>
      <c r="J131" s="468"/>
      <c r="K131" s="563"/>
      <c r="L131" s="563"/>
    </row>
    <row r="132" spans="1:14" s="384" customFormat="1" ht="13.5" customHeight="1" x14ac:dyDescent="0.2">
      <c r="A132" s="654" t="s">
        <v>613</v>
      </c>
      <c r="B132" s="655"/>
      <c r="C132" s="468"/>
      <c r="D132" s="468"/>
      <c r="E132" s="518"/>
      <c r="F132" s="468"/>
      <c r="G132" s="468"/>
      <c r="H132" s="518"/>
      <c r="I132" s="468"/>
      <c r="J132" s="468"/>
      <c r="K132" s="518"/>
      <c r="L132" s="518"/>
      <c r="M132" s="206"/>
      <c r="N132" s="206"/>
    </row>
    <row r="133" spans="1:14" s="384" customFormat="1" ht="13.5" customHeight="1" x14ac:dyDescent="0.2">
      <c r="A133" s="1487" t="s">
        <v>495</v>
      </c>
      <c r="B133" s="1838" t="s">
        <v>1841</v>
      </c>
      <c r="C133" s="468"/>
      <c r="D133" s="468"/>
      <c r="E133" s="638">
        <v>0</v>
      </c>
      <c r="F133" s="468"/>
      <c r="G133" s="468"/>
      <c r="H133" s="638">
        <v>0</v>
      </c>
      <c r="I133" s="468"/>
      <c r="J133" s="468"/>
      <c r="K133" s="1818">
        <f>SUM(E133,H133)</f>
        <v>0</v>
      </c>
      <c r="L133" s="638">
        <v>0</v>
      </c>
      <c r="M133" s="206"/>
      <c r="N133" s="206"/>
    </row>
    <row r="134" spans="1:14" x14ac:dyDescent="0.2">
      <c r="A134" s="1501" t="s">
        <v>303</v>
      </c>
      <c r="B134" s="611">
        <v>4120</v>
      </c>
      <c r="C134" s="613"/>
      <c r="D134" s="613"/>
      <c r="E134" s="476">
        <v>0</v>
      </c>
      <c r="F134" s="613"/>
      <c r="G134" s="613"/>
      <c r="H134" s="479">
        <v>0</v>
      </c>
      <c r="I134" s="475"/>
      <c r="J134" s="613"/>
      <c r="K134" s="1669">
        <f>SUM(E134,H134)</f>
        <v>0</v>
      </c>
      <c r="L134" s="479">
        <v>0</v>
      </c>
    </row>
    <row r="135" spans="1:14" x14ac:dyDescent="0.2">
      <c r="A135" s="1501" t="s">
        <v>696</v>
      </c>
      <c r="B135" s="611">
        <v>4140</v>
      </c>
      <c r="C135" s="613"/>
      <c r="D135" s="613"/>
      <c r="E135" s="467">
        <v>0</v>
      </c>
      <c r="F135" s="613"/>
      <c r="G135" s="613"/>
      <c r="H135" s="466">
        <v>0</v>
      </c>
      <c r="I135" s="475"/>
      <c r="J135" s="613"/>
      <c r="K135" s="1669">
        <f>SUM(E135,H135)</f>
        <v>0</v>
      </c>
      <c r="L135" s="466">
        <v>0</v>
      </c>
    </row>
    <row r="136" spans="1:14" x14ac:dyDescent="0.2">
      <c r="A136" s="1505" t="s">
        <v>697</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479</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930</v>
      </c>
      <c r="C138" s="613"/>
      <c r="D138" s="613"/>
      <c r="E138" s="573">
        <v>0</v>
      </c>
      <c r="F138" s="613"/>
      <c r="G138" s="613"/>
      <c r="H138" s="573">
        <v>0</v>
      </c>
      <c r="I138" s="475"/>
      <c r="J138" s="613"/>
      <c r="K138" s="1669">
        <f>SUM(E138,H138)</f>
        <v>0</v>
      </c>
      <c r="L138" s="573">
        <v>0</v>
      </c>
    </row>
    <row r="139" spans="1:14" ht="12.75" customHeight="1" thickTop="1" thickBot="1" x14ac:dyDescent="0.25">
      <c r="A139" s="1665" t="s">
        <v>1486</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1036</v>
      </c>
      <c r="B140" s="1610" t="s">
        <v>491</v>
      </c>
      <c r="C140" s="613"/>
      <c r="D140" s="613"/>
      <c r="E140" s="635"/>
      <c r="F140" s="635"/>
      <c r="G140" s="635"/>
      <c r="H140" s="633"/>
      <c r="I140" s="475"/>
      <c r="J140" s="635"/>
      <c r="K140" s="633"/>
      <c r="L140" s="633"/>
    </row>
    <row r="141" spans="1:14" ht="15.75" customHeight="1" x14ac:dyDescent="0.2">
      <c r="A141" s="650" t="s">
        <v>614</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1169</v>
      </c>
      <c r="B144" s="625" t="s">
        <v>616</v>
      </c>
      <c r="C144" s="613"/>
      <c r="D144" s="613"/>
      <c r="E144" s="613"/>
      <c r="F144" s="613"/>
      <c r="G144" s="613"/>
      <c r="H144" s="466">
        <v>0</v>
      </c>
      <c r="I144" s="468"/>
      <c r="J144" s="613"/>
      <c r="K144" s="1669">
        <f>SUM(H144)</f>
        <v>0</v>
      </c>
      <c r="L144" s="466">
        <v>0</v>
      </c>
    </row>
    <row r="145" spans="1:14" x14ac:dyDescent="0.2">
      <c r="A145" s="1501" t="s">
        <v>89</v>
      </c>
      <c r="B145" s="611" t="s">
        <v>588</v>
      </c>
      <c r="C145" s="613"/>
      <c r="D145" s="613"/>
      <c r="E145" s="613"/>
      <c r="F145" s="613"/>
      <c r="G145" s="613"/>
      <c r="H145" s="466">
        <v>0</v>
      </c>
      <c r="I145" s="468"/>
      <c r="J145" s="613"/>
      <c r="K145" s="1669">
        <f>SUM(H145)</f>
        <v>0</v>
      </c>
      <c r="L145" s="466">
        <v>0</v>
      </c>
    </row>
    <row r="146" spans="1:14" ht="12.75" customHeight="1" x14ac:dyDescent="0.2">
      <c r="A146" s="1501" t="s">
        <v>618</v>
      </c>
      <c r="B146" s="611" t="s">
        <v>617</v>
      </c>
      <c r="C146" s="613"/>
      <c r="D146" s="613"/>
      <c r="E146" s="613"/>
      <c r="F146" s="613"/>
      <c r="G146" s="613"/>
      <c r="H146" s="466">
        <v>0</v>
      </c>
      <c r="I146" s="468"/>
      <c r="J146" s="613"/>
      <c r="K146" s="1669">
        <f>SUM(H146)</f>
        <v>0</v>
      </c>
      <c r="L146" s="466">
        <v>0</v>
      </c>
    </row>
    <row r="147" spans="1:14" ht="12.75" customHeight="1" thickBot="1" x14ac:dyDescent="0.25">
      <c r="A147" s="1512" t="s">
        <v>625</v>
      </c>
      <c r="B147" s="656" t="s">
        <v>717</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1102</v>
      </c>
      <c r="B148" s="658" t="s">
        <v>38</v>
      </c>
      <c r="C148" s="613"/>
      <c r="D148" s="613"/>
      <c r="E148" s="613"/>
      <c r="F148" s="613"/>
      <c r="G148" s="613"/>
      <c r="H148" s="477">
        <v>0</v>
      </c>
      <c r="I148" s="468"/>
      <c r="J148" s="613"/>
      <c r="K148" s="1669">
        <f>SUM(H148)</f>
        <v>0</v>
      </c>
      <c r="L148" s="489">
        <v>0</v>
      </c>
    </row>
    <row r="149" spans="1:14" ht="12.75" customHeight="1" thickBot="1" x14ac:dyDescent="0.25">
      <c r="A149" s="1504" t="s">
        <v>637</v>
      </c>
      <c r="B149" s="614" t="s">
        <v>491</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1037</v>
      </c>
      <c r="B150" s="1610" t="s">
        <v>860</v>
      </c>
      <c r="C150" s="613"/>
      <c r="D150" s="613"/>
      <c r="E150" s="613"/>
      <c r="F150" s="613"/>
      <c r="G150" s="613"/>
      <c r="H150" s="659"/>
      <c r="I150" s="518"/>
      <c r="J150" s="613"/>
      <c r="K150" s="620"/>
      <c r="L150" s="570">
        <v>125000</v>
      </c>
    </row>
    <row r="151" spans="1:14" ht="12.75" customHeight="1" thickTop="1" thickBot="1" x14ac:dyDescent="0.25">
      <c r="A151" s="2292" t="s">
        <v>619</v>
      </c>
      <c r="B151" s="2272"/>
      <c r="C151" s="1667">
        <f>SUM(C129,C130,C139,C149,C150)</f>
        <v>1476795</v>
      </c>
      <c r="D151" s="1667">
        <f t="shared" ref="D151:K151" si="16">SUM(D129,D130,D139,D149,D150)</f>
        <v>119871</v>
      </c>
      <c r="E151" s="1667">
        <f t="shared" si="16"/>
        <v>781270</v>
      </c>
      <c r="F151" s="1667">
        <f t="shared" si="16"/>
        <v>1209546</v>
      </c>
      <c r="G151" s="1667">
        <f t="shared" si="16"/>
        <v>393823</v>
      </c>
      <c r="H151" s="1667">
        <f t="shared" si="16"/>
        <v>0</v>
      </c>
      <c r="I151" s="1667">
        <f t="shared" si="16"/>
        <v>0</v>
      </c>
      <c r="J151" s="1667">
        <f t="shared" si="16"/>
        <v>0</v>
      </c>
      <c r="K151" s="1667">
        <f t="shared" si="16"/>
        <v>3981305</v>
      </c>
      <c r="L151" s="1667">
        <f>SUM(L129,L130,L139,L149,L150)</f>
        <v>4631372</v>
      </c>
    </row>
    <row r="152" spans="1:14" ht="12.75" customHeight="1" thickTop="1" x14ac:dyDescent="0.2">
      <c r="A152" s="2295" t="s">
        <v>1177</v>
      </c>
      <c r="B152" s="2296"/>
      <c r="C152" s="615"/>
      <c r="D152" s="615"/>
      <c r="E152" s="615"/>
      <c r="F152" s="615"/>
      <c r="G152" s="615"/>
      <c r="H152" s="615"/>
      <c r="I152" s="615"/>
      <c r="J152" s="613"/>
      <c r="K152" s="1681">
        <f>'Revenues 9-14'!D268-'Expenditures 15-22'!K151</f>
        <v>432078</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80" t="s">
        <v>620</v>
      </c>
      <c r="B154" s="2282"/>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859</v>
      </c>
      <c r="C155" s="613"/>
      <c r="D155" s="613"/>
      <c r="E155" s="613"/>
      <c r="F155" s="613"/>
      <c r="G155" s="613"/>
      <c r="H155" s="1839"/>
      <c r="I155" s="613"/>
      <c r="J155" s="613"/>
      <c r="K155" s="1822"/>
      <c r="L155" s="1839"/>
      <c r="M155" s="616"/>
      <c r="N155" s="616"/>
    </row>
    <row r="156" spans="1:14" s="617" customFormat="1" ht="15.75" customHeight="1" thickTop="1" x14ac:dyDescent="0.2">
      <c r="A156" s="1819" t="s">
        <v>1842</v>
      </c>
      <c r="B156" s="1820"/>
      <c r="C156" s="613"/>
      <c r="D156" s="613"/>
      <c r="E156" s="613"/>
      <c r="F156" s="613"/>
      <c r="G156" s="613"/>
      <c r="H156" s="1840"/>
      <c r="I156" s="613"/>
      <c r="J156" s="613"/>
      <c r="K156" s="1821"/>
      <c r="L156" s="1840"/>
      <c r="M156" s="616"/>
      <c r="N156" s="616"/>
    </row>
    <row r="157" spans="1:14" s="617" customFormat="1" ht="12" x14ac:dyDescent="0.2">
      <c r="A157" s="1823" t="s">
        <v>495</v>
      </c>
      <c r="B157" s="1824" t="s">
        <v>1841</v>
      </c>
      <c r="C157" s="613"/>
      <c r="D157" s="613"/>
      <c r="E157" s="613"/>
      <c r="F157" s="613"/>
      <c r="G157" s="613"/>
      <c r="H157" s="638">
        <v>0</v>
      </c>
      <c r="I157" s="613"/>
      <c r="J157" s="613"/>
      <c r="K157" s="1668">
        <f>H157</f>
        <v>0</v>
      </c>
      <c r="L157" s="467">
        <v>0</v>
      </c>
      <c r="M157" s="616"/>
      <c r="N157" s="616"/>
    </row>
    <row r="158" spans="1:14" s="617" customFormat="1" ht="12" x14ac:dyDescent="0.2">
      <c r="A158" s="1823" t="s">
        <v>303</v>
      </c>
      <c r="B158" s="1824" t="s">
        <v>1843</v>
      </c>
      <c r="C158" s="613"/>
      <c r="D158" s="613"/>
      <c r="E158" s="613"/>
      <c r="F158" s="613"/>
      <c r="G158" s="613"/>
      <c r="H158" s="467">
        <v>0</v>
      </c>
      <c r="I158" s="613"/>
      <c r="J158" s="613"/>
      <c r="K158" s="1668">
        <f>H158</f>
        <v>0</v>
      </c>
      <c r="L158" s="467">
        <v>0</v>
      </c>
      <c r="M158" s="616"/>
      <c r="N158" s="616"/>
    </row>
    <row r="159" spans="1:14" s="617" customFormat="1" ht="12" x14ac:dyDescent="0.2">
      <c r="A159" s="1823" t="s">
        <v>1844</v>
      </c>
      <c r="B159" s="1824" t="s">
        <v>557</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1845</v>
      </c>
      <c r="B160" s="1826" t="s">
        <v>859</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491</v>
      </c>
      <c r="C161" s="613"/>
      <c r="D161" s="613"/>
      <c r="E161" s="613"/>
      <c r="F161" s="613"/>
      <c r="G161" s="613"/>
      <c r="H161" s="613"/>
      <c r="I161" s="613"/>
      <c r="J161" s="613"/>
      <c r="K161" s="613"/>
      <c r="L161" s="613"/>
      <c r="M161" s="610"/>
      <c r="N161" s="610"/>
    </row>
    <row r="162" spans="1:14" s="259" customFormat="1" ht="15.75" customHeight="1" x14ac:dyDescent="0.2">
      <c r="A162" s="650" t="s">
        <v>614</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1169</v>
      </c>
      <c r="B165" s="611" t="s">
        <v>616</v>
      </c>
      <c r="C165" s="613"/>
      <c r="D165" s="613"/>
      <c r="E165" s="613"/>
      <c r="F165" s="613"/>
      <c r="G165" s="613"/>
      <c r="H165" s="466">
        <v>0</v>
      </c>
      <c r="I165" s="613"/>
      <c r="J165" s="613"/>
      <c r="K165" s="1668">
        <f>SUM(C165:J165)</f>
        <v>0</v>
      </c>
      <c r="L165" s="466">
        <v>0</v>
      </c>
    </row>
    <row r="166" spans="1:14" x14ac:dyDescent="0.2">
      <c r="A166" s="1501" t="s">
        <v>89</v>
      </c>
      <c r="B166" s="625" t="s">
        <v>588</v>
      </c>
      <c r="C166" s="613"/>
      <c r="D166" s="613"/>
      <c r="E166" s="613"/>
      <c r="F166" s="613"/>
      <c r="G166" s="613"/>
      <c r="H166" s="466">
        <v>0</v>
      </c>
      <c r="I166" s="613"/>
      <c r="J166" s="613"/>
      <c r="K166" s="1668">
        <f>SUM(C166:J166)</f>
        <v>0</v>
      </c>
      <c r="L166" s="466">
        <v>0</v>
      </c>
    </row>
    <row r="167" spans="1:14" ht="12.75" customHeight="1" x14ac:dyDescent="0.2">
      <c r="A167" s="1501" t="s">
        <v>618</v>
      </c>
      <c r="B167" s="611" t="s">
        <v>617</v>
      </c>
      <c r="C167" s="613"/>
      <c r="D167" s="613"/>
      <c r="E167" s="613"/>
      <c r="F167" s="613"/>
      <c r="G167" s="613"/>
      <c r="H167" s="466">
        <v>0</v>
      </c>
      <c r="I167" s="613"/>
      <c r="J167" s="613"/>
      <c r="K167" s="1668">
        <f>SUM(C167:J167)</f>
        <v>0</v>
      </c>
      <c r="L167" s="466">
        <v>0</v>
      </c>
    </row>
    <row r="168" spans="1:14" ht="13.5" thickBot="1" x14ac:dyDescent="0.25">
      <c r="A168" s="1665" t="s">
        <v>275</v>
      </c>
      <c r="B168" s="1672" t="s">
        <v>717</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2465765</v>
      </c>
      <c r="I169" s="613"/>
      <c r="J169" s="613"/>
      <c r="K169" s="1668">
        <f>SUM(C169:H169)</f>
        <v>2465765</v>
      </c>
      <c r="L169" s="653">
        <v>2340162</v>
      </c>
    </row>
    <row r="170" spans="1:14" ht="33.75" customHeight="1" x14ac:dyDescent="0.2">
      <c r="A170" s="666" t="s">
        <v>1669</v>
      </c>
      <c r="B170" s="668" t="s">
        <v>31</v>
      </c>
      <c r="C170" s="613"/>
      <c r="D170" s="613"/>
      <c r="E170" s="613"/>
      <c r="F170" s="613"/>
      <c r="G170" s="613"/>
      <c r="H170" s="566">
        <v>3505000</v>
      </c>
      <c r="I170" s="613"/>
      <c r="J170" s="613"/>
      <c r="K170" s="1668">
        <f>SUM(C170:J170)</f>
        <v>3505000</v>
      </c>
      <c r="L170" s="566">
        <v>3710000</v>
      </c>
    </row>
    <row r="171" spans="1:14" ht="15.75" customHeight="1" x14ac:dyDescent="0.2">
      <c r="A171" s="618" t="s">
        <v>765</v>
      </c>
      <c r="B171" s="669" t="s">
        <v>84</v>
      </c>
      <c r="C171" s="613"/>
      <c r="D171" s="613"/>
      <c r="E171" s="466">
        <v>7139</v>
      </c>
      <c r="F171" s="613"/>
      <c r="G171" s="613"/>
      <c r="H171" s="566">
        <v>0</v>
      </c>
      <c r="I171" s="475"/>
      <c r="J171" s="613"/>
      <c r="K171" s="1668">
        <f>SUM(C171:J171)</f>
        <v>7139</v>
      </c>
      <c r="L171" s="566">
        <v>7000</v>
      </c>
    </row>
    <row r="172" spans="1:14" ht="12.75" customHeight="1" thickBot="1" x14ac:dyDescent="0.25">
      <c r="A172" s="1665" t="s">
        <v>637</v>
      </c>
      <c r="B172" s="1666" t="s">
        <v>491</v>
      </c>
      <c r="C172" s="613"/>
      <c r="D172" s="613"/>
      <c r="E172" s="1674">
        <f>SUM(E168,E169,E170,E171)</f>
        <v>7139</v>
      </c>
      <c r="F172" s="613"/>
      <c r="G172" s="613"/>
      <c r="H172" s="1674">
        <f>SUM(H168,H169,H170,H171)</f>
        <v>5970765</v>
      </c>
      <c r="I172" s="635"/>
      <c r="J172" s="613"/>
      <c r="K172" s="1674">
        <f>SUM(K168,K169,K170,K171)</f>
        <v>5977904</v>
      </c>
      <c r="L172" s="1674">
        <f>SUM(L168,L169,L170,L171)</f>
        <v>6057162</v>
      </c>
    </row>
    <row r="173" spans="1:14" ht="15.75" customHeight="1" thickTop="1" thickBot="1" x14ac:dyDescent="0.25">
      <c r="A173" s="1616" t="s">
        <v>85</v>
      </c>
      <c r="B173" s="1608" t="s">
        <v>860</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7139</v>
      </c>
      <c r="F174" s="613"/>
      <c r="G174" s="613"/>
      <c r="H174" s="1674">
        <f>SUM(H160,H172,H173)</f>
        <v>5970765</v>
      </c>
      <c r="I174" s="635"/>
      <c r="J174" s="613"/>
      <c r="K174" s="1674">
        <f>SUM(K160,K172,K173)</f>
        <v>5977904</v>
      </c>
      <c r="L174" s="1674">
        <f>SUM(L160,L172,L173)</f>
        <v>6057162</v>
      </c>
    </row>
    <row r="175" spans="1:14" ht="13.5" thickTop="1" x14ac:dyDescent="0.2">
      <c r="A175" s="2275" t="s">
        <v>995</v>
      </c>
      <c r="B175" s="2276"/>
      <c r="C175" s="613"/>
      <c r="D175" s="613"/>
      <c r="E175" s="613"/>
      <c r="F175" s="613"/>
      <c r="G175" s="613"/>
      <c r="H175" s="615"/>
      <c r="I175" s="613"/>
      <c r="J175" s="613"/>
      <c r="K175" s="1681">
        <f>'Revenues 9-14'!E268-'Expenditures 15-22'!K174</f>
        <v>-2228</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936</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937</v>
      </c>
      <c r="B178" s="1618"/>
      <c r="C178" s="613"/>
      <c r="D178" s="613"/>
      <c r="E178" s="613"/>
      <c r="F178" s="613"/>
      <c r="G178" s="613"/>
      <c r="H178" s="613"/>
      <c r="I178" s="613"/>
      <c r="J178" s="613"/>
      <c r="K178" s="613"/>
      <c r="L178" s="613"/>
      <c r="M178" s="662"/>
      <c r="N178" s="662"/>
    </row>
    <row r="179" spans="1:14" s="671" customFormat="1" ht="15.75" customHeight="1" x14ac:dyDescent="0.2">
      <c r="A179" s="672" t="s">
        <v>590</v>
      </c>
      <c r="B179" s="619"/>
      <c r="C179" s="620"/>
      <c r="D179" s="620"/>
      <c r="E179" s="620"/>
      <c r="F179" s="613"/>
      <c r="G179" s="613"/>
      <c r="H179" s="620"/>
      <c r="I179" s="613"/>
      <c r="J179" s="613"/>
      <c r="K179" s="620"/>
      <c r="L179" s="620"/>
      <c r="M179" s="662"/>
      <c r="N179" s="662"/>
    </row>
    <row r="180" spans="1:14" ht="12.75" customHeight="1" x14ac:dyDescent="0.2">
      <c r="A180" s="1501" t="s">
        <v>2056</v>
      </c>
      <c r="B180" s="611" t="s">
        <v>715</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611</v>
      </c>
      <c r="B181" s="673"/>
      <c r="C181" s="567"/>
      <c r="D181" s="567"/>
      <c r="E181" s="567"/>
      <c r="F181" s="567"/>
      <c r="G181" s="567"/>
      <c r="H181" s="567"/>
      <c r="I181" s="468"/>
      <c r="J181" s="468"/>
      <c r="K181" s="567"/>
      <c r="L181" s="567"/>
    </row>
    <row r="182" spans="1:14" ht="12.75" customHeight="1" x14ac:dyDescent="0.2">
      <c r="A182" s="1501" t="s">
        <v>952</v>
      </c>
      <c r="B182" s="611">
        <v>2550</v>
      </c>
      <c r="C182" s="466">
        <v>1325907</v>
      </c>
      <c r="D182" s="466">
        <v>41639</v>
      </c>
      <c r="E182" s="466">
        <v>202534</v>
      </c>
      <c r="F182" s="466">
        <v>375013</v>
      </c>
      <c r="G182" s="466">
        <v>378483</v>
      </c>
      <c r="H182" s="466">
        <v>0</v>
      </c>
      <c r="I182" s="467">
        <v>0</v>
      </c>
      <c r="J182" s="467">
        <v>0</v>
      </c>
      <c r="K182" s="1668">
        <f>SUM(C182:J182)</f>
        <v>2323576</v>
      </c>
      <c r="L182" s="466">
        <v>3147809</v>
      </c>
    </row>
    <row r="183" spans="1:14" ht="12.75" customHeight="1" thickBot="1" x14ac:dyDescent="0.25">
      <c r="A183" s="1506" t="s">
        <v>979</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810</v>
      </c>
      <c r="B184" s="1666" t="s">
        <v>568</v>
      </c>
      <c r="C184" s="1674">
        <f>SUM(C180,C182,C183)</f>
        <v>1325907</v>
      </c>
      <c r="D184" s="1674">
        <f t="shared" ref="D184:J184" si="17">SUM(D180,D182,D183)</f>
        <v>41639</v>
      </c>
      <c r="E184" s="1674">
        <f t="shared" si="17"/>
        <v>202534</v>
      </c>
      <c r="F184" s="1674">
        <f t="shared" si="17"/>
        <v>375013</v>
      </c>
      <c r="G184" s="1674">
        <f t="shared" si="17"/>
        <v>378483</v>
      </c>
      <c r="H184" s="1674">
        <f t="shared" si="17"/>
        <v>0</v>
      </c>
      <c r="I184" s="1674">
        <f t="shared" si="17"/>
        <v>0</v>
      </c>
      <c r="J184" s="1674">
        <f t="shared" si="17"/>
        <v>0</v>
      </c>
      <c r="K184" s="1674">
        <f>SUM(K180,K182,K183)</f>
        <v>2323576</v>
      </c>
      <c r="L184" s="1674">
        <f>SUM(L180, L182:L183)</f>
        <v>3147809</v>
      </c>
    </row>
    <row r="185" spans="1:14" ht="15.75" customHeight="1" thickTop="1" thickBot="1" x14ac:dyDescent="0.25">
      <c r="A185" s="1619" t="s">
        <v>938</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859</v>
      </c>
      <c r="C186" s="613"/>
      <c r="D186" s="613"/>
      <c r="E186" s="613"/>
      <c r="F186" s="613"/>
      <c r="G186" s="613"/>
      <c r="H186" s="613"/>
      <c r="I186" s="613"/>
      <c r="J186" s="613"/>
      <c r="K186" s="613"/>
      <c r="L186" s="613"/>
      <c r="M186" s="662"/>
      <c r="N186" s="662"/>
    </row>
    <row r="187" spans="1:14" s="671" customFormat="1" ht="15.75" customHeight="1" x14ac:dyDescent="0.2">
      <c r="A187" s="618" t="s">
        <v>1130</v>
      </c>
      <c r="B187" s="619"/>
      <c r="C187" s="613"/>
      <c r="D187" s="613"/>
      <c r="E187" s="613"/>
      <c r="F187" s="613"/>
      <c r="G187" s="613"/>
      <c r="H187" s="613"/>
      <c r="I187" s="613"/>
      <c r="J187" s="613"/>
      <c r="K187" s="613"/>
      <c r="L187" s="613"/>
      <c r="M187" s="662"/>
      <c r="N187" s="662"/>
    </row>
    <row r="188" spans="1:14" x14ac:dyDescent="0.2">
      <c r="A188" s="1501" t="s">
        <v>495</v>
      </c>
      <c r="B188" s="611">
        <v>4110</v>
      </c>
      <c r="C188" s="613"/>
      <c r="D188" s="613"/>
      <c r="E188" s="466">
        <v>0</v>
      </c>
      <c r="F188" s="613"/>
      <c r="G188" s="613"/>
      <c r="H188" s="466">
        <v>0</v>
      </c>
      <c r="I188" s="475"/>
      <c r="J188" s="613"/>
      <c r="K188" s="1668">
        <f t="shared" ref="K188:K193" si="18">SUM(E188,H188)</f>
        <v>0</v>
      </c>
      <c r="L188" s="466">
        <v>0</v>
      </c>
    </row>
    <row r="189" spans="1:14" x14ac:dyDescent="0.2">
      <c r="A189" s="1501" t="s">
        <v>303</v>
      </c>
      <c r="B189" s="611">
        <v>4120</v>
      </c>
      <c r="C189" s="613"/>
      <c r="D189" s="613"/>
      <c r="E189" s="466">
        <v>0</v>
      </c>
      <c r="F189" s="613"/>
      <c r="G189" s="613"/>
      <c r="H189" s="466">
        <v>0</v>
      </c>
      <c r="I189" s="475"/>
      <c r="J189" s="613"/>
      <c r="K189" s="1668">
        <f t="shared" si="18"/>
        <v>0</v>
      </c>
      <c r="L189" s="466">
        <v>0</v>
      </c>
    </row>
    <row r="190" spans="1:14" x14ac:dyDescent="0.2">
      <c r="A190" s="1501" t="s">
        <v>304</v>
      </c>
      <c r="B190" s="625">
        <v>4130</v>
      </c>
      <c r="C190" s="613"/>
      <c r="D190" s="613"/>
      <c r="E190" s="466">
        <v>0</v>
      </c>
      <c r="F190" s="613"/>
      <c r="G190" s="613"/>
      <c r="H190" s="466">
        <v>0</v>
      </c>
      <c r="I190" s="475"/>
      <c r="J190" s="613"/>
      <c r="K190" s="1668">
        <f t="shared" si="18"/>
        <v>0</v>
      </c>
      <c r="L190" s="466">
        <v>0</v>
      </c>
    </row>
    <row r="191" spans="1:14" x14ac:dyDescent="0.2">
      <c r="A191" s="1501" t="s">
        <v>696</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697</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1139</v>
      </c>
      <c r="B194" s="1666" t="s">
        <v>558</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930</v>
      </c>
      <c r="C195" s="613"/>
      <c r="D195" s="613"/>
      <c r="E195" s="653">
        <v>0</v>
      </c>
      <c r="F195" s="613"/>
      <c r="G195" s="613"/>
      <c r="H195" s="653">
        <v>0</v>
      </c>
      <c r="I195" s="475"/>
      <c r="J195" s="613"/>
      <c r="K195" s="1682">
        <f>SUM(E195,H195)</f>
        <v>0</v>
      </c>
      <c r="L195" s="653">
        <v>0</v>
      </c>
    </row>
    <row r="196" spans="1:14" ht="12.75" customHeight="1" thickBot="1" x14ac:dyDescent="0.25">
      <c r="A196" s="1665" t="s">
        <v>1486</v>
      </c>
      <c r="B196" s="1666" t="s">
        <v>859</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939</v>
      </c>
      <c r="B197" s="1606" t="s">
        <v>491</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1169</v>
      </c>
      <c r="B201" s="625" t="s">
        <v>616</v>
      </c>
      <c r="C201" s="613"/>
      <c r="D201" s="613"/>
      <c r="E201" s="613"/>
      <c r="F201" s="613"/>
      <c r="G201" s="613"/>
      <c r="H201" s="466">
        <v>0</v>
      </c>
      <c r="I201" s="613"/>
      <c r="J201" s="613"/>
      <c r="K201" s="1668">
        <f>SUM(H201)</f>
        <v>0</v>
      </c>
      <c r="L201" s="466">
        <v>0</v>
      </c>
    </row>
    <row r="202" spans="1:14" x14ac:dyDescent="0.2">
      <c r="A202" s="1501" t="s">
        <v>89</v>
      </c>
      <c r="B202" s="611" t="s">
        <v>588</v>
      </c>
      <c r="C202" s="613"/>
      <c r="D202" s="613"/>
      <c r="E202" s="613"/>
      <c r="F202" s="613"/>
      <c r="G202" s="613"/>
      <c r="H202" s="466">
        <v>0</v>
      </c>
      <c r="I202" s="613"/>
      <c r="J202" s="613"/>
      <c r="K202" s="1668">
        <f>SUM(H202)</f>
        <v>0</v>
      </c>
      <c r="L202" s="466">
        <v>0</v>
      </c>
    </row>
    <row r="203" spans="1:14" x14ac:dyDescent="0.2">
      <c r="A203" s="1513" t="s">
        <v>618</v>
      </c>
      <c r="B203" s="611" t="s">
        <v>617</v>
      </c>
      <c r="C203" s="613"/>
      <c r="D203" s="613"/>
      <c r="E203" s="613"/>
      <c r="F203" s="613"/>
      <c r="G203" s="613"/>
      <c r="H203" s="471">
        <v>0</v>
      </c>
      <c r="I203" s="613"/>
      <c r="J203" s="613"/>
      <c r="K203" s="1668">
        <f>SUM(H203)</f>
        <v>0</v>
      </c>
      <c r="L203" s="471">
        <v>0</v>
      </c>
    </row>
    <row r="204" spans="1:14" ht="13.5" thickBot="1" x14ac:dyDescent="0.25">
      <c r="A204" s="1665" t="s">
        <v>275</v>
      </c>
      <c r="B204" s="1666" t="s">
        <v>717</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1670</v>
      </c>
      <c r="B206" s="669" t="s">
        <v>31</v>
      </c>
      <c r="C206" s="613"/>
      <c r="D206" s="613"/>
      <c r="E206" s="613"/>
      <c r="F206" s="613"/>
      <c r="G206" s="613"/>
      <c r="H206" s="466">
        <v>0</v>
      </c>
      <c r="I206" s="613"/>
      <c r="J206" s="613"/>
      <c r="K206" s="1668">
        <f>SUM(H206)</f>
        <v>0</v>
      </c>
      <c r="L206" s="466">
        <v>0</v>
      </c>
    </row>
    <row r="207" spans="1:14" ht="15.75" customHeight="1" x14ac:dyDescent="0.2">
      <c r="A207" s="618" t="s">
        <v>765</v>
      </c>
      <c r="B207" s="669" t="s">
        <v>84</v>
      </c>
      <c r="C207" s="613"/>
      <c r="D207" s="613"/>
      <c r="E207" s="613"/>
      <c r="F207" s="613"/>
      <c r="G207" s="613"/>
      <c r="H207" s="467">
        <v>0</v>
      </c>
      <c r="I207" s="613"/>
      <c r="J207" s="613"/>
      <c r="K207" s="1668">
        <f>H207</f>
        <v>0</v>
      </c>
      <c r="L207" s="466">
        <v>0</v>
      </c>
    </row>
    <row r="208" spans="1:14" ht="12.75" customHeight="1" thickBot="1" x14ac:dyDescent="0.25">
      <c r="A208" s="1683" t="s">
        <v>637</v>
      </c>
      <c r="B208" s="1684" t="s">
        <v>491</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871</v>
      </c>
      <c r="B209" s="1610" t="s">
        <v>860</v>
      </c>
      <c r="C209" s="620"/>
      <c r="D209" s="620"/>
      <c r="E209" s="620"/>
      <c r="F209" s="620"/>
      <c r="G209" s="620"/>
      <c r="H209" s="620"/>
      <c r="I209" s="613"/>
      <c r="J209" s="613"/>
      <c r="K209" s="620"/>
      <c r="L209" s="573">
        <v>0</v>
      </c>
    </row>
    <row r="210" spans="1:14" ht="12.75" customHeight="1" thickTop="1" thickBot="1" x14ac:dyDescent="0.25">
      <c r="A210" s="1689" t="s">
        <v>276</v>
      </c>
      <c r="B210" s="1690"/>
      <c r="C210" s="1667">
        <f>SUM(C184,C185)</f>
        <v>1325907</v>
      </c>
      <c r="D210" s="1667">
        <f>SUM(D184,D185)</f>
        <v>41639</v>
      </c>
      <c r="E210" s="1667">
        <f>SUM(E184,E185,E196)</f>
        <v>202534</v>
      </c>
      <c r="F210" s="1667">
        <f>SUM(F184,F185)</f>
        <v>375013</v>
      </c>
      <c r="G210" s="1667">
        <f>SUM(G184,G185)</f>
        <v>378483</v>
      </c>
      <c r="H210" s="1667">
        <f>SUM(H184,H185,H196,H208,H209)</f>
        <v>0</v>
      </c>
      <c r="I210" s="1667">
        <f>SUM(I184,I185)</f>
        <v>0</v>
      </c>
      <c r="J210" s="1667">
        <f>SUM(J184,J185)</f>
        <v>0</v>
      </c>
      <c r="K210" s="1668">
        <f>SUM(K184,K185,K196,K208,K209)</f>
        <v>2323576</v>
      </c>
      <c r="L210" s="1667">
        <f>SUM(L184,L185,L196,L208,L209)</f>
        <v>3147809</v>
      </c>
    </row>
    <row r="211" spans="1:14" ht="13.5" thickTop="1" x14ac:dyDescent="0.2">
      <c r="A211" s="2275" t="s">
        <v>995</v>
      </c>
      <c r="B211" s="2276"/>
      <c r="C211" s="615"/>
      <c r="D211" s="615"/>
      <c r="E211" s="615"/>
      <c r="F211" s="615"/>
      <c r="G211" s="615"/>
      <c r="H211" s="615"/>
      <c r="I211" s="613"/>
      <c r="J211" s="613"/>
      <c r="K211" s="1681">
        <f>'Revenues 9-14'!F268-'Expenditures 15-22'!K210</f>
        <v>318148</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97" t="s">
        <v>964</v>
      </c>
      <c r="B213" s="2298"/>
      <c r="C213" s="1548"/>
      <c r="D213" s="1549"/>
      <c r="E213" s="1549"/>
      <c r="F213" s="1549"/>
      <c r="G213" s="1549"/>
      <c r="H213" s="1549"/>
      <c r="I213" s="1549"/>
      <c r="J213" s="1549"/>
      <c r="K213" s="1549"/>
      <c r="L213" s="1550"/>
      <c r="M213" s="606"/>
      <c r="N213" s="606"/>
    </row>
    <row r="214" spans="1:14" s="671" customFormat="1" ht="15.75" customHeight="1" x14ac:dyDescent="0.2">
      <c r="A214" s="1620" t="s">
        <v>872</v>
      </c>
      <c r="B214" s="1612" t="s">
        <v>569</v>
      </c>
      <c r="C214" s="613"/>
      <c r="D214" s="620"/>
      <c r="E214" s="613"/>
      <c r="F214" s="613"/>
      <c r="G214" s="613"/>
      <c r="H214" s="613"/>
      <c r="I214" s="613"/>
      <c r="J214" s="613"/>
      <c r="K214" s="620"/>
      <c r="L214" s="620"/>
      <c r="M214" s="662"/>
      <c r="N214" s="662"/>
    </row>
    <row r="215" spans="1:14" x14ac:dyDescent="0.2">
      <c r="A215" s="1501" t="s">
        <v>960</v>
      </c>
      <c r="B215" s="611">
        <v>1100</v>
      </c>
      <c r="C215" s="613"/>
      <c r="D215" s="466">
        <v>214113</v>
      </c>
      <c r="E215" s="613"/>
      <c r="F215" s="613"/>
      <c r="G215" s="613"/>
      <c r="H215" s="613"/>
      <c r="I215" s="613"/>
      <c r="J215" s="613"/>
      <c r="K215" s="1668">
        <f>D215</f>
        <v>214113</v>
      </c>
      <c r="L215" s="466">
        <v>390012</v>
      </c>
    </row>
    <row r="216" spans="1:14" x14ac:dyDescent="0.2">
      <c r="A216" s="1501" t="s">
        <v>163</v>
      </c>
      <c r="B216" s="611" t="s">
        <v>966</v>
      </c>
      <c r="C216" s="613"/>
      <c r="D216" s="467">
        <v>6201</v>
      </c>
      <c r="E216" s="613"/>
      <c r="F216" s="613"/>
      <c r="G216" s="613"/>
      <c r="H216" s="613"/>
      <c r="I216" s="613"/>
      <c r="J216" s="613"/>
      <c r="K216" s="1668">
        <f t="shared" ref="K216:K228" si="19">D216</f>
        <v>6201</v>
      </c>
      <c r="L216" s="466">
        <v>8248</v>
      </c>
    </row>
    <row r="217" spans="1:14" x14ac:dyDescent="0.2">
      <c r="A217" s="1501" t="s">
        <v>164</v>
      </c>
      <c r="B217" s="611">
        <v>1200</v>
      </c>
      <c r="C217" s="613"/>
      <c r="D217" s="466">
        <v>266091</v>
      </c>
      <c r="E217" s="613"/>
      <c r="F217" s="613"/>
      <c r="G217" s="613"/>
      <c r="H217" s="613"/>
      <c r="I217" s="613"/>
      <c r="J217" s="613"/>
      <c r="K217" s="1668">
        <f t="shared" si="19"/>
        <v>266091</v>
      </c>
      <c r="L217" s="466">
        <v>328254</v>
      </c>
    </row>
    <row r="218" spans="1:14" x14ac:dyDescent="0.2">
      <c r="A218" s="1501" t="s">
        <v>277</v>
      </c>
      <c r="B218" s="611" t="s">
        <v>967</v>
      </c>
      <c r="C218" s="613"/>
      <c r="D218" s="467">
        <v>0</v>
      </c>
      <c r="E218" s="613"/>
      <c r="F218" s="613"/>
      <c r="G218" s="613"/>
      <c r="H218" s="613"/>
      <c r="I218" s="613"/>
      <c r="J218" s="613"/>
      <c r="K218" s="1668">
        <f t="shared" si="19"/>
        <v>0</v>
      </c>
      <c r="L218" s="466">
        <v>0</v>
      </c>
    </row>
    <row r="219" spans="1:14" x14ac:dyDescent="0.2">
      <c r="A219" s="1501" t="s">
        <v>278</v>
      </c>
      <c r="B219" s="611">
        <v>1250</v>
      </c>
      <c r="C219" s="613"/>
      <c r="D219" s="466">
        <v>34070</v>
      </c>
      <c r="E219" s="613"/>
      <c r="F219" s="613"/>
      <c r="G219" s="613"/>
      <c r="H219" s="613"/>
      <c r="I219" s="613"/>
      <c r="J219" s="613"/>
      <c r="K219" s="1668">
        <f t="shared" si="19"/>
        <v>34070</v>
      </c>
      <c r="L219" s="466">
        <v>31843</v>
      </c>
    </row>
    <row r="220" spans="1:14" x14ac:dyDescent="0.2">
      <c r="A220" s="1501" t="s">
        <v>279</v>
      </c>
      <c r="B220" s="611" t="s">
        <v>161</v>
      </c>
      <c r="C220" s="613"/>
      <c r="D220" s="467">
        <v>0</v>
      </c>
      <c r="E220" s="613"/>
      <c r="F220" s="613"/>
      <c r="G220" s="613"/>
      <c r="H220" s="613"/>
      <c r="I220" s="613"/>
      <c r="J220" s="613"/>
      <c r="K220" s="1668">
        <f t="shared" si="19"/>
        <v>0</v>
      </c>
      <c r="L220" s="466">
        <v>0</v>
      </c>
    </row>
    <row r="221" spans="1:14" x14ac:dyDescent="0.2">
      <c r="A221" s="1501" t="s">
        <v>961</v>
      </c>
      <c r="B221" s="611">
        <v>1300</v>
      </c>
      <c r="C221" s="613"/>
      <c r="D221" s="466">
        <v>0</v>
      </c>
      <c r="E221" s="613"/>
      <c r="F221" s="613"/>
      <c r="G221" s="613"/>
      <c r="H221" s="613"/>
      <c r="I221" s="613"/>
      <c r="J221" s="613"/>
      <c r="K221" s="1668">
        <f t="shared" si="19"/>
        <v>0</v>
      </c>
      <c r="L221" s="466">
        <v>0</v>
      </c>
    </row>
    <row r="222" spans="1:14" x14ac:dyDescent="0.2">
      <c r="A222" s="1501" t="s">
        <v>722</v>
      </c>
      <c r="B222" s="611">
        <v>1400</v>
      </c>
      <c r="C222" s="613"/>
      <c r="D222" s="466">
        <v>0</v>
      </c>
      <c r="E222" s="613"/>
      <c r="F222" s="613"/>
      <c r="G222" s="613"/>
      <c r="H222" s="613"/>
      <c r="I222" s="613"/>
      <c r="J222" s="613"/>
      <c r="K222" s="1668">
        <f t="shared" si="19"/>
        <v>0</v>
      </c>
      <c r="L222" s="466">
        <v>0</v>
      </c>
    </row>
    <row r="223" spans="1:14" x14ac:dyDescent="0.2">
      <c r="A223" s="1501" t="s">
        <v>962</v>
      </c>
      <c r="B223" s="611">
        <v>1500</v>
      </c>
      <c r="C223" s="613"/>
      <c r="D223" s="466">
        <v>29125</v>
      </c>
      <c r="E223" s="613"/>
      <c r="F223" s="613"/>
      <c r="G223" s="613"/>
      <c r="H223" s="613"/>
      <c r="I223" s="613"/>
      <c r="J223" s="613"/>
      <c r="K223" s="1668">
        <f t="shared" si="19"/>
        <v>29125</v>
      </c>
      <c r="L223" s="466">
        <v>108179</v>
      </c>
    </row>
    <row r="224" spans="1:14" x14ac:dyDescent="0.2">
      <c r="A224" s="1501" t="s">
        <v>963</v>
      </c>
      <c r="B224" s="611">
        <v>1600</v>
      </c>
      <c r="C224" s="613"/>
      <c r="D224" s="466">
        <v>0</v>
      </c>
      <c r="E224" s="613"/>
      <c r="F224" s="613"/>
      <c r="G224" s="613"/>
      <c r="H224" s="613"/>
      <c r="I224" s="613"/>
      <c r="J224" s="613"/>
      <c r="K224" s="1668">
        <f t="shared" si="19"/>
        <v>0</v>
      </c>
      <c r="L224" s="466">
        <v>0</v>
      </c>
    </row>
    <row r="225" spans="1:12" x14ac:dyDescent="0.2">
      <c r="A225" s="1501" t="s">
        <v>986</v>
      </c>
      <c r="B225" s="611">
        <v>1650</v>
      </c>
      <c r="C225" s="613"/>
      <c r="D225" s="466">
        <v>212</v>
      </c>
      <c r="E225" s="613"/>
      <c r="F225" s="613"/>
      <c r="G225" s="613"/>
      <c r="H225" s="613"/>
      <c r="I225" s="613"/>
      <c r="J225" s="613"/>
      <c r="K225" s="1668">
        <f t="shared" si="19"/>
        <v>212</v>
      </c>
      <c r="L225" s="466">
        <v>291</v>
      </c>
    </row>
    <row r="226" spans="1:12" x14ac:dyDescent="0.2">
      <c r="A226" s="1501" t="s">
        <v>723</v>
      </c>
      <c r="B226" s="611" t="s">
        <v>162</v>
      </c>
      <c r="C226" s="613"/>
      <c r="D226" s="467">
        <v>1617</v>
      </c>
      <c r="E226" s="613"/>
      <c r="F226" s="613"/>
      <c r="G226" s="613"/>
      <c r="H226" s="613"/>
      <c r="I226" s="613"/>
      <c r="J226" s="613"/>
      <c r="K226" s="1668">
        <f t="shared" si="19"/>
        <v>1617</v>
      </c>
      <c r="L226" s="466">
        <v>2014</v>
      </c>
    </row>
    <row r="227" spans="1:12" x14ac:dyDescent="0.2">
      <c r="A227" s="1501" t="s">
        <v>1086</v>
      </c>
      <c r="B227" s="611">
        <v>1800</v>
      </c>
      <c r="C227" s="613"/>
      <c r="D227" s="466">
        <v>4552</v>
      </c>
      <c r="E227" s="613"/>
      <c r="F227" s="613"/>
      <c r="G227" s="613"/>
      <c r="H227" s="613"/>
      <c r="I227" s="613"/>
      <c r="J227" s="613"/>
      <c r="K227" s="1668">
        <f t="shared" si="19"/>
        <v>4552</v>
      </c>
      <c r="L227" s="466">
        <v>6291</v>
      </c>
    </row>
    <row r="228" spans="1:12" x14ac:dyDescent="0.2">
      <c r="A228" s="1501" t="s">
        <v>1087</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714</v>
      </c>
      <c r="B229" s="1672" t="s">
        <v>569</v>
      </c>
      <c r="C229" s="613"/>
      <c r="D229" s="1667">
        <f>SUM(D215:D228)</f>
        <v>555981</v>
      </c>
      <c r="E229" s="613"/>
      <c r="F229" s="613"/>
      <c r="G229" s="613"/>
      <c r="H229" s="613"/>
      <c r="I229" s="613"/>
      <c r="J229" s="613"/>
      <c r="K229" s="1667">
        <f>SUM(K215:K228)</f>
        <v>555981</v>
      </c>
      <c r="L229" s="1667">
        <f>SUM(L215:L228)</f>
        <v>875132</v>
      </c>
    </row>
    <row r="230" spans="1:12" ht="15.75" customHeight="1" thickTop="1" x14ac:dyDescent="0.2">
      <c r="A230" s="1609" t="s">
        <v>873</v>
      </c>
      <c r="B230" s="1610" t="s">
        <v>568</v>
      </c>
      <c r="C230" s="613"/>
      <c r="D230" s="613"/>
      <c r="E230" s="613"/>
      <c r="F230" s="613"/>
      <c r="G230" s="613"/>
      <c r="H230" s="613"/>
      <c r="I230" s="613"/>
      <c r="J230" s="613"/>
      <c r="K230" s="613"/>
      <c r="L230" s="613"/>
    </row>
    <row r="231" spans="1:12" ht="15.75" customHeight="1" x14ac:dyDescent="0.2">
      <c r="A231" s="650" t="s">
        <v>590</v>
      </c>
      <c r="B231" s="619"/>
      <c r="C231" s="613"/>
      <c r="D231" s="613"/>
      <c r="E231" s="613"/>
      <c r="F231" s="613"/>
      <c r="G231" s="613"/>
      <c r="H231" s="613"/>
      <c r="I231" s="613"/>
      <c r="J231" s="613"/>
      <c r="K231" s="613"/>
      <c r="L231" s="613"/>
    </row>
    <row r="232" spans="1:12" x14ac:dyDescent="0.2">
      <c r="A232" s="1501" t="s">
        <v>1088</v>
      </c>
      <c r="B232" s="611">
        <v>2110</v>
      </c>
      <c r="C232" s="613"/>
      <c r="D232" s="466">
        <v>1923</v>
      </c>
      <c r="E232" s="613"/>
      <c r="F232" s="613"/>
      <c r="G232" s="613"/>
      <c r="H232" s="613"/>
      <c r="I232" s="613"/>
      <c r="J232" s="613"/>
      <c r="K232" s="1668">
        <f t="shared" ref="K232:K237" si="20">D232</f>
        <v>1923</v>
      </c>
      <c r="L232" s="466">
        <v>1408</v>
      </c>
    </row>
    <row r="233" spans="1:12" x14ac:dyDescent="0.2">
      <c r="A233" s="1501" t="s">
        <v>1089</v>
      </c>
      <c r="B233" s="611">
        <v>2120</v>
      </c>
      <c r="C233" s="613"/>
      <c r="D233" s="466">
        <v>9137</v>
      </c>
      <c r="E233" s="613"/>
      <c r="F233" s="613"/>
      <c r="G233" s="613"/>
      <c r="H233" s="613"/>
      <c r="I233" s="613"/>
      <c r="J233" s="613"/>
      <c r="K233" s="1668">
        <f t="shared" si="20"/>
        <v>9137</v>
      </c>
      <c r="L233" s="466">
        <v>6960</v>
      </c>
    </row>
    <row r="234" spans="1:12" x14ac:dyDescent="0.2">
      <c r="A234" s="1501" t="s">
        <v>198</v>
      </c>
      <c r="B234" s="611">
        <v>2130</v>
      </c>
      <c r="C234" s="613"/>
      <c r="D234" s="466">
        <v>25524</v>
      </c>
      <c r="E234" s="613"/>
      <c r="F234" s="613"/>
      <c r="G234" s="613"/>
      <c r="H234" s="613"/>
      <c r="I234" s="613"/>
      <c r="J234" s="613"/>
      <c r="K234" s="1668">
        <f t="shared" si="20"/>
        <v>25524</v>
      </c>
      <c r="L234" s="466">
        <v>28511</v>
      </c>
    </row>
    <row r="235" spans="1:12" x14ac:dyDescent="0.2">
      <c r="A235" s="1501" t="s">
        <v>199</v>
      </c>
      <c r="B235" s="611">
        <v>2140</v>
      </c>
      <c r="C235" s="613"/>
      <c r="D235" s="466">
        <v>1831</v>
      </c>
      <c r="E235" s="613"/>
      <c r="F235" s="613"/>
      <c r="G235" s="613"/>
      <c r="H235" s="613"/>
      <c r="I235" s="613"/>
      <c r="J235" s="613"/>
      <c r="K235" s="1668">
        <f t="shared" si="20"/>
        <v>1831</v>
      </c>
      <c r="L235" s="466">
        <v>1481</v>
      </c>
    </row>
    <row r="236" spans="1:12" x14ac:dyDescent="0.2">
      <c r="A236" s="1501" t="s">
        <v>200</v>
      </c>
      <c r="B236" s="611">
        <v>2150</v>
      </c>
      <c r="C236" s="613"/>
      <c r="D236" s="466">
        <v>7232</v>
      </c>
      <c r="E236" s="613"/>
      <c r="F236" s="613"/>
      <c r="G236" s="613"/>
      <c r="H236" s="613"/>
      <c r="I236" s="613"/>
      <c r="J236" s="613"/>
      <c r="K236" s="1668">
        <f t="shared" si="20"/>
        <v>7232</v>
      </c>
      <c r="L236" s="466">
        <v>2441</v>
      </c>
    </row>
    <row r="237" spans="1:12" x14ac:dyDescent="0.2">
      <c r="A237" s="1501" t="s">
        <v>165</v>
      </c>
      <c r="B237" s="611">
        <v>2190</v>
      </c>
      <c r="C237" s="613"/>
      <c r="D237" s="466">
        <v>0</v>
      </c>
      <c r="E237" s="613"/>
      <c r="F237" s="613"/>
      <c r="G237" s="613"/>
      <c r="H237" s="613"/>
      <c r="I237" s="613"/>
      <c r="J237" s="613"/>
      <c r="K237" s="1668">
        <f t="shared" si="20"/>
        <v>0</v>
      </c>
      <c r="L237" s="466">
        <v>21578</v>
      </c>
    </row>
    <row r="238" spans="1:12" ht="12.75" customHeight="1" thickBot="1" x14ac:dyDescent="0.25">
      <c r="A238" s="1665" t="s">
        <v>559</v>
      </c>
      <c r="B238" s="1672" t="s">
        <v>715</v>
      </c>
      <c r="C238" s="613"/>
      <c r="D238" s="1667">
        <f>SUM(D232:D237)</f>
        <v>45647</v>
      </c>
      <c r="E238" s="613"/>
      <c r="F238" s="613"/>
      <c r="G238" s="613"/>
      <c r="H238" s="613"/>
      <c r="I238" s="613"/>
      <c r="J238" s="613"/>
      <c r="K238" s="1667">
        <f>SUM(K232:K237)</f>
        <v>45647</v>
      </c>
      <c r="L238" s="1667">
        <f>SUM(L232:L237)</f>
        <v>62379</v>
      </c>
    </row>
    <row r="239" spans="1:12" ht="15.75" customHeight="1" thickTop="1" x14ac:dyDescent="0.2">
      <c r="A239" s="621" t="s">
        <v>591</v>
      </c>
      <c r="B239" s="628"/>
      <c r="C239" s="613"/>
      <c r="D239" s="623"/>
      <c r="E239" s="613"/>
      <c r="F239" s="613"/>
      <c r="G239" s="613"/>
      <c r="H239" s="613"/>
      <c r="I239" s="613"/>
      <c r="J239" s="613"/>
      <c r="K239" s="623"/>
      <c r="L239" s="623"/>
    </row>
    <row r="240" spans="1:12" x14ac:dyDescent="0.2">
      <c r="A240" s="1501" t="s">
        <v>813</v>
      </c>
      <c r="B240" s="611">
        <v>2210</v>
      </c>
      <c r="C240" s="613"/>
      <c r="D240" s="479">
        <v>5598</v>
      </c>
      <c r="E240" s="613"/>
      <c r="F240" s="613"/>
      <c r="G240" s="613"/>
      <c r="H240" s="613"/>
      <c r="I240" s="613"/>
      <c r="J240" s="613"/>
      <c r="K240" s="1669">
        <f>D240</f>
        <v>5598</v>
      </c>
      <c r="L240" s="479">
        <v>4761</v>
      </c>
    </row>
    <row r="241" spans="1:12" x14ac:dyDescent="0.2">
      <c r="A241" s="1501" t="s">
        <v>814</v>
      </c>
      <c r="B241" s="611">
        <v>2220</v>
      </c>
      <c r="C241" s="613"/>
      <c r="D241" s="466">
        <v>18067</v>
      </c>
      <c r="E241" s="613"/>
      <c r="F241" s="613"/>
      <c r="G241" s="613"/>
      <c r="H241" s="613"/>
      <c r="I241" s="613"/>
      <c r="J241" s="613"/>
      <c r="K241" s="1669">
        <f>D241</f>
        <v>18067</v>
      </c>
      <c r="L241" s="466">
        <v>10623</v>
      </c>
    </row>
    <row r="242" spans="1:12" x14ac:dyDescent="0.2">
      <c r="A242" s="1501" t="s">
        <v>815</v>
      </c>
      <c r="B242" s="611">
        <v>2230</v>
      </c>
      <c r="C242" s="613"/>
      <c r="D242" s="466">
        <v>0</v>
      </c>
      <c r="E242" s="613"/>
      <c r="F242" s="613"/>
      <c r="G242" s="613"/>
      <c r="H242" s="613"/>
      <c r="I242" s="613"/>
      <c r="J242" s="613"/>
      <c r="K242" s="1669">
        <f>D242</f>
        <v>0</v>
      </c>
      <c r="L242" s="466">
        <v>0</v>
      </c>
    </row>
    <row r="243" spans="1:12" ht="12.75" customHeight="1" thickBot="1" x14ac:dyDescent="0.25">
      <c r="A243" s="1691" t="s">
        <v>560</v>
      </c>
      <c r="B243" s="1692">
        <v>2200</v>
      </c>
      <c r="C243" s="613"/>
      <c r="D243" s="1667">
        <f>SUM(D240:D242)</f>
        <v>23665</v>
      </c>
      <c r="E243" s="613"/>
      <c r="F243" s="613"/>
      <c r="G243" s="613"/>
      <c r="H243" s="613"/>
      <c r="I243" s="613"/>
      <c r="J243" s="613"/>
      <c r="K243" s="1667">
        <f>SUM(K240:K242)</f>
        <v>23665</v>
      </c>
      <c r="L243" s="1667">
        <f>SUM(L240:L242)</f>
        <v>15384</v>
      </c>
    </row>
    <row r="244" spans="1:12" ht="15.75" customHeight="1" thickTop="1" x14ac:dyDescent="0.2">
      <c r="A244" s="621" t="s">
        <v>609</v>
      </c>
      <c r="B244" s="679"/>
      <c r="C244" s="613"/>
      <c r="D244" s="623"/>
      <c r="E244" s="613"/>
      <c r="F244" s="613"/>
      <c r="G244" s="613"/>
      <c r="H244" s="613"/>
      <c r="I244" s="613"/>
      <c r="J244" s="613"/>
      <c r="K244" s="623"/>
      <c r="L244" s="623"/>
    </row>
    <row r="245" spans="1:12" x14ac:dyDescent="0.2">
      <c r="A245" s="1501" t="s">
        <v>816</v>
      </c>
      <c r="B245" s="611">
        <v>2310</v>
      </c>
      <c r="C245" s="613"/>
      <c r="D245" s="479">
        <v>0</v>
      </c>
      <c r="E245" s="613"/>
      <c r="F245" s="613"/>
      <c r="G245" s="613"/>
      <c r="H245" s="613"/>
      <c r="I245" s="613"/>
      <c r="J245" s="613"/>
      <c r="K245" s="1669">
        <f>D245</f>
        <v>0</v>
      </c>
      <c r="L245" s="479">
        <v>459</v>
      </c>
    </row>
    <row r="246" spans="1:12" x14ac:dyDescent="0.2">
      <c r="A246" s="1501" t="s">
        <v>817</v>
      </c>
      <c r="B246" s="611">
        <v>2320</v>
      </c>
      <c r="C246" s="613"/>
      <c r="D246" s="466">
        <v>16063</v>
      </c>
      <c r="E246" s="613"/>
      <c r="F246" s="613"/>
      <c r="G246" s="613"/>
      <c r="H246" s="613"/>
      <c r="I246" s="613"/>
      <c r="J246" s="613"/>
      <c r="K246" s="1669">
        <f t="shared" ref="K246:K256" si="21">D246</f>
        <v>16063</v>
      </c>
      <c r="L246" s="466">
        <v>16180</v>
      </c>
    </row>
    <row r="247" spans="1:12" x14ac:dyDescent="0.2">
      <c r="A247" s="1501" t="s">
        <v>818</v>
      </c>
      <c r="B247" s="611">
        <v>2330</v>
      </c>
      <c r="C247" s="613"/>
      <c r="D247" s="466">
        <v>0</v>
      </c>
      <c r="E247" s="613"/>
      <c r="F247" s="613"/>
      <c r="G247" s="613"/>
      <c r="H247" s="613"/>
      <c r="I247" s="613"/>
      <c r="J247" s="613"/>
      <c r="K247" s="1669">
        <f t="shared" si="21"/>
        <v>0</v>
      </c>
      <c r="L247" s="466">
        <v>0</v>
      </c>
    </row>
    <row r="248" spans="1:12" x14ac:dyDescent="0.2">
      <c r="A248" s="1502" t="s">
        <v>298</v>
      </c>
      <c r="B248" s="599" t="s">
        <v>280</v>
      </c>
      <c r="C248" s="613"/>
      <c r="D248" s="473">
        <v>0</v>
      </c>
      <c r="E248" s="613"/>
      <c r="F248" s="613"/>
      <c r="G248" s="613"/>
      <c r="H248" s="613"/>
      <c r="I248" s="613"/>
      <c r="J248" s="613"/>
      <c r="K248" s="1669">
        <f t="shared" si="21"/>
        <v>0</v>
      </c>
      <c r="L248" s="466">
        <v>0</v>
      </c>
    </row>
    <row r="249" spans="1:12" x14ac:dyDescent="0.2">
      <c r="A249" s="1503" t="s">
        <v>1801</v>
      </c>
      <c r="B249" s="680" t="s">
        <v>281</v>
      </c>
      <c r="C249" s="613"/>
      <c r="D249" s="473">
        <v>0</v>
      </c>
      <c r="E249" s="613"/>
      <c r="F249" s="613"/>
      <c r="G249" s="613"/>
      <c r="H249" s="613"/>
      <c r="I249" s="613"/>
      <c r="J249" s="613"/>
      <c r="K249" s="1669">
        <f t="shared" si="21"/>
        <v>0</v>
      </c>
      <c r="L249" s="466">
        <v>0</v>
      </c>
    </row>
    <row r="250" spans="1:12" x14ac:dyDescent="0.2">
      <c r="A250" s="1502" t="s">
        <v>1802</v>
      </c>
      <c r="B250" s="599" t="s">
        <v>282</v>
      </c>
      <c r="C250" s="613"/>
      <c r="D250" s="473">
        <v>0</v>
      </c>
      <c r="E250" s="613"/>
      <c r="F250" s="613"/>
      <c r="G250" s="613"/>
      <c r="H250" s="613"/>
      <c r="I250" s="613"/>
      <c r="J250" s="613"/>
      <c r="K250" s="1669">
        <f t="shared" si="21"/>
        <v>0</v>
      </c>
      <c r="L250" s="466">
        <v>0</v>
      </c>
    </row>
    <row r="251" spans="1:12" x14ac:dyDescent="0.2">
      <c r="A251" s="1502" t="s">
        <v>238</v>
      </c>
      <c r="B251" s="599" t="s">
        <v>283</v>
      </c>
      <c r="C251" s="613"/>
      <c r="D251" s="473">
        <v>0</v>
      </c>
      <c r="E251" s="613"/>
      <c r="F251" s="613"/>
      <c r="G251" s="613"/>
      <c r="H251" s="613"/>
      <c r="I251" s="613"/>
      <c r="J251" s="613"/>
      <c r="K251" s="1669">
        <f t="shared" si="21"/>
        <v>0</v>
      </c>
      <c r="L251" s="466">
        <v>0</v>
      </c>
    </row>
    <row r="252" spans="1:12" x14ac:dyDescent="0.2">
      <c r="A252" s="1502" t="s">
        <v>701</v>
      </c>
      <c r="B252" s="599" t="s">
        <v>284</v>
      </c>
      <c r="C252" s="613"/>
      <c r="D252" s="473">
        <v>0</v>
      </c>
      <c r="E252" s="613"/>
      <c r="F252" s="613"/>
      <c r="G252" s="613"/>
      <c r="H252" s="613"/>
      <c r="I252" s="613"/>
      <c r="J252" s="613"/>
      <c r="K252" s="1669">
        <f t="shared" si="21"/>
        <v>0</v>
      </c>
      <c r="L252" s="466">
        <v>0</v>
      </c>
    </row>
    <row r="253" spans="1:12" x14ac:dyDescent="0.2">
      <c r="A253" s="1502" t="s">
        <v>239</v>
      </c>
      <c r="B253" s="599" t="s">
        <v>285</v>
      </c>
      <c r="C253" s="613"/>
      <c r="D253" s="473">
        <v>0</v>
      </c>
      <c r="E253" s="613"/>
      <c r="F253" s="613"/>
      <c r="G253" s="613"/>
      <c r="H253" s="613"/>
      <c r="I253" s="613"/>
      <c r="J253" s="613"/>
      <c r="K253" s="1669">
        <f t="shared" si="21"/>
        <v>0</v>
      </c>
      <c r="L253" s="466">
        <v>0</v>
      </c>
    </row>
    <row r="254" spans="1:12" ht="22.5" x14ac:dyDescent="0.2">
      <c r="A254" s="1502" t="s">
        <v>1028</v>
      </c>
      <c r="B254" s="680" t="s">
        <v>286</v>
      </c>
      <c r="C254" s="613"/>
      <c r="D254" s="473">
        <v>13468</v>
      </c>
      <c r="E254" s="613"/>
      <c r="F254" s="613"/>
      <c r="G254" s="613"/>
      <c r="H254" s="613"/>
      <c r="I254" s="613"/>
      <c r="J254" s="613"/>
      <c r="K254" s="1669">
        <f t="shared" si="21"/>
        <v>13468</v>
      </c>
      <c r="L254" s="466">
        <v>3175</v>
      </c>
    </row>
    <row r="255" spans="1:12" x14ac:dyDescent="0.2">
      <c r="A255" s="1502" t="s">
        <v>1029</v>
      </c>
      <c r="B255" s="599" t="s">
        <v>287</v>
      </c>
      <c r="C255" s="613"/>
      <c r="D255" s="473">
        <v>0</v>
      </c>
      <c r="E255" s="613"/>
      <c r="F255" s="613"/>
      <c r="G255" s="613"/>
      <c r="H255" s="613"/>
      <c r="I255" s="613"/>
      <c r="J255" s="613"/>
      <c r="K255" s="1669">
        <f t="shared" si="21"/>
        <v>0</v>
      </c>
      <c r="L255" s="466">
        <v>0</v>
      </c>
    </row>
    <row r="256" spans="1:12" x14ac:dyDescent="0.2">
      <c r="A256" s="1502" t="s">
        <v>970</v>
      </c>
      <c r="B256" s="611" t="s">
        <v>288</v>
      </c>
      <c r="C256" s="613"/>
      <c r="D256" s="473">
        <v>0</v>
      </c>
      <c r="E256" s="613"/>
      <c r="F256" s="613"/>
      <c r="G256" s="613"/>
      <c r="H256" s="613"/>
      <c r="I256" s="613"/>
      <c r="J256" s="613"/>
      <c r="K256" s="1669">
        <f t="shared" si="21"/>
        <v>0</v>
      </c>
      <c r="L256" s="466">
        <v>0</v>
      </c>
    </row>
    <row r="257" spans="1:14" ht="12.75" customHeight="1" thickBot="1" x14ac:dyDescent="0.25">
      <c r="A257" s="1665" t="s">
        <v>716</v>
      </c>
      <c r="B257" s="1693">
        <v>2300</v>
      </c>
      <c r="C257" s="613"/>
      <c r="D257" s="1667">
        <f>SUM(D245:D256)</f>
        <v>29531</v>
      </c>
      <c r="E257" s="613"/>
      <c r="F257" s="613"/>
      <c r="G257" s="613"/>
      <c r="H257" s="613"/>
      <c r="I257" s="613"/>
      <c r="J257" s="613"/>
      <c r="K257" s="1667">
        <f>SUM(K245:K256)</f>
        <v>29531</v>
      </c>
      <c r="L257" s="1667">
        <f>SUM(L245:L256)</f>
        <v>19814</v>
      </c>
    </row>
    <row r="258" spans="1:14" ht="15.75" customHeight="1" thickTop="1" x14ac:dyDescent="0.2">
      <c r="A258" s="621" t="s">
        <v>610</v>
      </c>
      <c r="B258" s="681"/>
      <c r="C258" s="613"/>
      <c r="D258" s="623"/>
      <c r="E258" s="613"/>
      <c r="F258" s="613"/>
      <c r="G258" s="613"/>
      <c r="H258" s="613"/>
      <c r="I258" s="613"/>
      <c r="J258" s="613"/>
      <c r="K258" s="623"/>
      <c r="L258" s="623"/>
    </row>
    <row r="259" spans="1:14" x14ac:dyDescent="0.2">
      <c r="A259" s="1501" t="s">
        <v>1066</v>
      </c>
      <c r="B259" s="682">
        <v>2410</v>
      </c>
      <c r="C259" s="613"/>
      <c r="D259" s="479">
        <v>90322</v>
      </c>
      <c r="E259" s="613"/>
      <c r="F259" s="613"/>
      <c r="G259" s="613"/>
      <c r="H259" s="613"/>
      <c r="I259" s="613"/>
      <c r="J259" s="613"/>
      <c r="K259" s="1669">
        <f>D259</f>
        <v>90322</v>
      </c>
      <c r="L259" s="479">
        <v>127659</v>
      </c>
    </row>
    <row r="260" spans="1:14" s="594" customFormat="1" x14ac:dyDescent="0.2">
      <c r="A260" s="1519" t="s">
        <v>1800</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90322</v>
      </c>
      <c r="E261" s="613"/>
      <c r="F261" s="613"/>
      <c r="G261" s="613"/>
      <c r="H261" s="613"/>
      <c r="I261" s="613"/>
      <c r="J261" s="613"/>
      <c r="K261" s="1667">
        <f>SUM(K259:K260)</f>
        <v>90322</v>
      </c>
      <c r="L261" s="1667">
        <f>SUM(L259:L260)</f>
        <v>127659</v>
      </c>
    </row>
    <row r="262" spans="1:14" ht="15.75" customHeight="1" thickTop="1" x14ac:dyDescent="0.2">
      <c r="A262" s="621" t="s">
        <v>611</v>
      </c>
      <c r="B262" s="681"/>
      <c r="C262" s="613"/>
      <c r="D262" s="613"/>
      <c r="E262" s="613"/>
      <c r="F262" s="613"/>
      <c r="G262" s="613"/>
      <c r="H262" s="613"/>
      <c r="I262" s="613"/>
      <c r="J262" s="613"/>
      <c r="K262" s="623"/>
      <c r="L262" s="623"/>
    </row>
    <row r="263" spans="1:14" x14ac:dyDescent="0.2">
      <c r="A263" s="1501" t="s">
        <v>1067</v>
      </c>
      <c r="B263" s="682">
        <v>2510</v>
      </c>
      <c r="C263" s="613"/>
      <c r="D263" s="466">
        <v>0</v>
      </c>
      <c r="E263" s="613"/>
      <c r="F263" s="613"/>
      <c r="G263" s="613"/>
      <c r="H263" s="613"/>
      <c r="I263" s="613"/>
      <c r="J263" s="613"/>
      <c r="K263" s="1669">
        <f>D263</f>
        <v>0</v>
      </c>
      <c r="L263" s="479">
        <v>0</v>
      </c>
    </row>
    <row r="264" spans="1:14" x14ac:dyDescent="0.2">
      <c r="A264" s="1501" t="s">
        <v>462</v>
      </c>
      <c r="B264" s="682">
        <v>2520</v>
      </c>
      <c r="C264" s="613"/>
      <c r="D264" s="466">
        <v>27031</v>
      </c>
      <c r="E264" s="613"/>
      <c r="F264" s="613"/>
      <c r="G264" s="613"/>
      <c r="H264" s="613"/>
      <c r="I264" s="613"/>
      <c r="J264" s="613"/>
      <c r="K264" s="1669">
        <f t="shared" ref="K264:K269" si="22">D264</f>
        <v>27031</v>
      </c>
      <c r="L264" s="466">
        <v>41274</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217237</v>
      </c>
      <c r="E266" s="613"/>
      <c r="F266" s="613"/>
      <c r="G266" s="613"/>
      <c r="H266" s="613"/>
      <c r="I266" s="613"/>
      <c r="J266" s="613"/>
      <c r="K266" s="1669">
        <f t="shared" si="22"/>
        <v>217237</v>
      </c>
      <c r="L266" s="466">
        <v>339483</v>
      </c>
    </row>
    <row r="267" spans="1:14" x14ac:dyDescent="0.2">
      <c r="A267" s="1501" t="s">
        <v>952</v>
      </c>
      <c r="B267" s="611">
        <v>2550</v>
      </c>
      <c r="C267" s="613"/>
      <c r="D267" s="466">
        <v>199510</v>
      </c>
      <c r="E267" s="613"/>
      <c r="F267" s="613"/>
      <c r="G267" s="613"/>
      <c r="H267" s="613"/>
      <c r="I267" s="613"/>
      <c r="J267" s="613"/>
      <c r="K267" s="1669">
        <f t="shared" si="22"/>
        <v>199510</v>
      </c>
      <c r="L267" s="466">
        <v>385353</v>
      </c>
    </row>
    <row r="268" spans="1:14" x14ac:dyDescent="0.2">
      <c r="A268" s="1501" t="s">
        <v>100</v>
      </c>
      <c r="B268" s="611">
        <v>2560</v>
      </c>
      <c r="C268" s="613"/>
      <c r="D268" s="466">
        <v>88096</v>
      </c>
      <c r="E268" s="613"/>
      <c r="F268" s="613"/>
      <c r="G268" s="613"/>
      <c r="H268" s="613"/>
      <c r="I268" s="613"/>
      <c r="J268" s="613"/>
      <c r="K268" s="1669">
        <f t="shared" si="22"/>
        <v>88096</v>
      </c>
      <c r="L268" s="466">
        <v>139116</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718</v>
      </c>
      <c r="B270" s="1672" t="s">
        <v>35</v>
      </c>
      <c r="C270" s="613"/>
      <c r="D270" s="1667">
        <f>SUM(D263:D269)</f>
        <v>531874</v>
      </c>
      <c r="E270" s="613"/>
      <c r="F270" s="613"/>
      <c r="G270" s="613"/>
      <c r="H270" s="613"/>
      <c r="I270" s="613"/>
      <c r="J270" s="613"/>
      <c r="K270" s="1667">
        <f>SUM(K263:K269)</f>
        <v>531874</v>
      </c>
      <c r="L270" s="1667">
        <f>SUM(L263:L269)</f>
        <v>905226</v>
      </c>
    </row>
    <row r="271" spans="1:14" ht="15.75" customHeight="1" thickTop="1" x14ac:dyDescent="0.2">
      <c r="A271" s="666" t="s">
        <v>612</v>
      </c>
      <c r="B271" s="622"/>
      <c r="C271" s="613"/>
      <c r="D271" s="623"/>
      <c r="E271" s="613"/>
      <c r="F271" s="613"/>
      <c r="G271" s="613"/>
      <c r="H271" s="613"/>
      <c r="I271" s="613"/>
      <c r="J271" s="613"/>
      <c r="K271" s="623"/>
      <c r="L271" s="623"/>
    </row>
    <row r="272" spans="1:14" x14ac:dyDescent="0.2">
      <c r="A272" s="1501" t="s">
        <v>1059</v>
      </c>
      <c r="B272" s="611">
        <v>2610</v>
      </c>
      <c r="C272" s="613"/>
      <c r="D272" s="479">
        <v>0</v>
      </c>
      <c r="E272" s="613"/>
      <c r="F272" s="613"/>
      <c r="G272" s="613"/>
      <c r="H272" s="613"/>
      <c r="I272" s="613"/>
      <c r="J272" s="613"/>
      <c r="K272" s="1669">
        <f>D272</f>
        <v>0</v>
      </c>
      <c r="L272" s="479">
        <v>0</v>
      </c>
    </row>
    <row r="273" spans="1:12" x14ac:dyDescent="0.2">
      <c r="A273" s="1501" t="s">
        <v>606</v>
      </c>
      <c r="B273" s="625">
        <v>2620</v>
      </c>
      <c r="C273" s="613"/>
      <c r="D273" s="466">
        <v>0</v>
      </c>
      <c r="E273" s="613"/>
      <c r="F273" s="613"/>
      <c r="G273" s="613"/>
      <c r="H273" s="613"/>
      <c r="I273" s="613"/>
      <c r="J273" s="613"/>
      <c r="K273" s="1669">
        <f>D273</f>
        <v>0</v>
      </c>
      <c r="L273" s="466">
        <v>0</v>
      </c>
    </row>
    <row r="274" spans="1:12" ht="12" customHeight="1" x14ac:dyDescent="0.2">
      <c r="A274" s="1501" t="s">
        <v>1060</v>
      </c>
      <c r="B274" s="611">
        <v>2630</v>
      </c>
      <c r="C274" s="613"/>
      <c r="D274" s="466">
        <v>0</v>
      </c>
      <c r="E274" s="613"/>
      <c r="F274" s="613"/>
      <c r="G274" s="613"/>
      <c r="H274" s="613"/>
      <c r="I274" s="613"/>
      <c r="J274" s="613"/>
      <c r="K274" s="1669">
        <f>D274</f>
        <v>0</v>
      </c>
      <c r="L274" s="466">
        <v>0</v>
      </c>
    </row>
    <row r="275" spans="1:12" x14ac:dyDescent="0.2">
      <c r="A275" s="1501" t="s">
        <v>402</v>
      </c>
      <c r="B275" s="611">
        <v>2640</v>
      </c>
      <c r="C275" s="613"/>
      <c r="D275" s="466">
        <v>0</v>
      </c>
      <c r="E275" s="613"/>
      <c r="F275" s="613"/>
      <c r="G275" s="613"/>
      <c r="H275" s="613"/>
      <c r="I275" s="613"/>
      <c r="J275" s="613"/>
      <c r="K275" s="1669">
        <f>D275</f>
        <v>0</v>
      </c>
      <c r="L275" s="466">
        <v>0</v>
      </c>
    </row>
    <row r="276" spans="1:12" x14ac:dyDescent="0.2">
      <c r="A276" s="1501" t="s">
        <v>403</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979</v>
      </c>
      <c r="B278" s="652" t="s">
        <v>573</v>
      </c>
      <c r="C278" s="613"/>
      <c r="D278" s="653">
        <v>35879</v>
      </c>
      <c r="E278" s="613"/>
      <c r="F278" s="613"/>
      <c r="G278" s="613"/>
      <c r="H278" s="613"/>
      <c r="I278" s="613"/>
      <c r="J278" s="613"/>
      <c r="K278" s="1682">
        <f>D278</f>
        <v>35879</v>
      </c>
      <c r="L278" s="653">
        <v>36681</v>
      </c>
    </row>
    <row r="279" spans="1:12" ht="12.75" customHeight="1" thickBot="1" x14ac:dyDescent="0.25">
      <c r="A279" s="1695" t="s">
        <v>810</v>
      </c>
      <c r="B279" s="1678">
        <v>2000</v>
      </c>
      <c r="C279" s="613"/>
      <c r="D279" s="1674">
        <f>SUM(D238,D243,D257,D261,D270,D277,D278)</f>
        <v>756918</v>
      </c>
      <c r="E279" s="613"/>
      <c r="F279" s="613"/>
      <c r="G279" s="613"/>
      <c r="H279" s="613"/>
      <c r="I279" s="613"/>
      <c r="J279" s="613"/>
      <c r="K279" s="1674">
        <f>SUM(K238,K243,K257,K261,K270,K277,K278)</f>
        <v>756918</v>
      </c>
      <c r="L279" s="1674">
        <f>SUM(L238,L243,L257,L261,L270,L277,L278)</f>
        <v>1167143</v>
      </c>
    </row>
    <row r="280" spans="1:12" ht="15.75" customHeight="1" thickTop="1" thickBot="1" x14ac:dyDescent="0.25">
      <c r="A280" s="1621" t="s">
        <v>874</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859</v>
      </c>
      <c r="C281" s="613"/>
      <c r="D281" s="563"/>
      <c r="E281" s="613"/>
      <c r="F281" s="613"/>
      <c r="G281" s="613"/>
      <c r="H281" s="613"/>
      <c r="I281" s="613"/>
      <c r="J281" s="613"/>
      <c r="K281" s="613"/>
      <c r="L281" s="613"/>
    </row>
    <row r="282" spans="1:12" ht="15.75" customHeight="1" x14ac:dyDescent="0.2">
      <c r="A282" s="1827" t="s">
        <v>495</v>
      </c>
      <c r="B282" s="687" t="s">
        <v>1841</v>
      </c>
      <c r="C282" s="613"/>
      <c r="D282" s="467">
        <v>0</v>
      </c>
      <c r="E282" s="613"/>
      <c r="F282" s="613"/>
      <c r="G282" s="613"/>
      <c r="H282" s="613"/>
      <c r="I282" s="613"/>
      <c r="J282" s="613"/>
      <c r="K282" s="1668">
        <f>D282</f>
        <v>0</v>
      </c>
      <c r="L282" s="467">
        <v>0</v>
      </c>
    </row>
    <row r="283" spans="1:12" x14ac:dyDescent="0.2">
      <c r="A283" s="1501" t="s">
        <v>303</v>
      </c>
      <c r="B283" s="611">
        <v>4120</v>
      </c>
      <c r="C283" s="613"/>
      <c r="D283" s="466">
        <v>0</v>
      </c>
      <c r="E283" s="613"/>
      <c r="F283" s="613"/>
      <c r="G283" s="613"/>
      <c r="H283" s="613"/>
      <c r="I283" s="613"/>
      <c r="J283" s="613"/>
      <c r="K283" s="1668">
        <f>D283</f>
        <v>0</v>
      </c>
      <c r="L283" s="466">
        <v>0</v>
      </c>
    </row>
    <row r="284" spans="1:12" x14ac:dyDescent="0.2">
      <c r="A284" s="1501" t="s">
        <v>696</v>
      </c>
      <c r="B284" s="611">
        <v>4140</v>
      </c>
      <c r="C284" s="613"/>
      <c r="D284" s="467">
        <v>0</v>
      </c>
      <c r="E284" s="613"/>
      <c r="F284" s="613"/>
      <c r="G284" s="613"/>
      <c r="H284" s="613"/>
      <c r="I284" s="613"/>
      <c r="J284" s="613"/>
      <c r="K284" s="1668">
        <f>D284</f>
        <v>0</v>
      </c>
      <c r="L284" s="466">
        <v>0</v>
      </c>
    </row>
    <row r="285" spans="1:12" ht="12.75" customHeight="1" thickBot="1" x14ac:dyDescent="0.25">
      <c r="A285" s="1665" t="s">
        <v>1486</v>
      </c>
      <c r="B285" s="1666" t="s">
        <v>859</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875</v>
      </c>
      <c r="B286" s="1606" t="s">
        <v>491</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1169</v>
      </c>
      <c r="B290" s="625" t="s">
        <v>616</v>
      </c>
      <c r="C290" s="613"/>
      <c r="D290" s="613"/>
      <c r="E290" s="613"/>
      <c r="F290" s="613"/>
      <c r="G290" s="613"/>
      <c r="H290" s="466">
        <v>0</v>
      </c>
      <c r="I290" s="613"/>
      <c r="J290" s="613"/>
      <c r="K290" s="1668">
        <f>H290</f>
        <v>0</v>
      </c>
      <c r="L290" s="466">
        <v>0</v>
      </c>
    </row>
    <row r="291" spans="1:14" x14ac:dyDescent="0.2">
      <c r="A291" s="1501" t="s">
        <v>89</v>
      </c>
      <c r="B291" s="611" t="s">
        <v>588</v>
      </c>
      <c r="C291" s="613"/>
      <c r="D291" s="613"/>
      <c r="E291" s="613"/>
      <c r="F291" s="613"/>
      <c r="G291" s="613"/>
      <c r="H291" s="466">
        <v>0</v>
      </c>
      <c r="I291" s="613"/>
      <c r="J291" s="613"/>
      <c r="K291" s="1668">
        <f>H291</f>
        <v>0</v>
      </c>
      <c r="L291" s="466">
        <v>0</v>
      </c>
    </row>
    <row r="292" spans="1:14" x14ac:dyDescent="0.2">
      <c r="A292" s="1501" t="s">
        <v>761</v>
      </c>
      <c r="B292" s="611" t="s">
        <v>617</v>
      </c>
      <c r="C292" s="613"/>
      <c r="D292" s="613"/>
      <c r="E292" s="613"/>
      <c r="F292" s="613"/>
      <c r="G292" s="613"/>
      <c r="H292" s="466">
        <v>0</v>
      </c>
      <c r="I292" s="613"/>
      <c r="J292" s="613"/>
      <c r="K292" s="1668">
        <f>H292</f>
        <v>0</v>
      </c>
      <c r="L292" s="466">
        <v>0</v>
      </c>
    </row>
    <row r="293" spans="1:14" ht="12.75" customHeight="1" thickBot="1" x14ac:dyDescent="0.25">
      <c r="A293" s="1665" t="s">
        <v>483</v>
      </c>
      <c r="B293" s="1666" t="s">
        <v>491</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876</v>
      </c>
      <c r="B294" s="1610" t="s">
        <v>860</v>
      </c>
      <c r="C294" s="613"/>
      <c r="D294" s="620"/>
      <c r="E294" s="613"/>
      <c r="F294" s="613"/>
      <c r="G294" s="613"/>
      <c r="H294" s="683"/>
      <c r="I294" s="613"/>
      <c r="J294" s="613"/>
      <c r="K294" s="683"/>
      <c r="L294" s="575">
        <v>0</v>
      </c>
    </row>
    <row r="295" spans="1:14" ht="12.75" customHeight="1" thickTop="1" thickBot="1" x14ac:dyDescent="0.25">
      <c r="A295" s="2293" t="s">
        <v>504</v>
      </c>
      <c r="B295" s="2294"/>
      <c r="C295" s="613"/>
      <c r="D295" s="1667">
        <f>SUM(D229,D279,D280,D285)</f>
        <v>1312899</v>
      </c>
      <c r="E295" s="613"/>
      <c r="F295" s="613"/>
      <c r="G295" s="613"/>
      <c r="H295" s="1667">
        <f>H293</f>
        <v>0</v>
      </c>
      <c r="I295" s="613"/>
      <c r="J295" s="613"/>
      <c r="K295" s="1667">
        <f>SUM(K229,K279,K280,K285,K293,K294)</f>
        <v>1312899</v>
      </c>
      <c r="L295" s="1667">
        <f>SUM(L229,L279,L280,L285,L293,L294)</f>
        <v>2042275</v>
      </c>
    </row>
    <row r="296" spans="1:14" ht="13.5" thickTop="1" x14ac:dyDescent="0.2">
      <c r="A296" s="2275" t="s">
        <v>995</v>
      </c>
      <c r="B296" s="2276"/>
      <c r="C296" s="613"/>
      <c r="D296" s="615"/>
      <c r="E296" s="613"/>
      <c r="F296" s="613"/>
      <c r="G296" s="613"/>
      <c r="H296" s="684"/>
      <c r="I296" s="613"/>
      <c r="J296" s="613"/>
      <c r="K296" s="1681">
        <f>'Revenues 9-14'!G268-'Expenditures 15-22'!K295</f>
        <v>809322</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85" t="s">
        <v>143</v>
      </c>
      <c r="B298" s="2279"/>
      <c r="C298" s="1548"/>
      <c r="D298" s="1549"/>
      <c r="E298" s="1549"/>
      <c r="F298" s="1549"/>
      <c r="G298" s="1549"/>
      <c r="H298" s="1549"/>
      <c r="I298" s="1549"/>
      <c r="J298" s="1549"/>
      <c r="K298" s="1549"/>
      <c r="L298" s="1550"/>
    </row>
    <row r="299" spans="1:14" ht="15.75" customHeight="1" x14ac:dyDescent="0.2">
      <c r="A299" s="1609" t="s">
        <v>144</v>
      </c>
      <c r="B299" s="1612" t="s">
        <v>568</v>
      </c>
      <c r="C299" s="613"/>
      <c r="D299" s="613"/>
      <c r="E299" s="613"/>
      <c r="F299" s="613"/>
      <c r="G299" s="613"/>
      <c r="H299" s="613"/>
      <c r="I299" s="613"/>
      <c r="J299" s="613"/>
      <c r="K299" s="613"/>
      <c r="L299" s="613"/>
    </row>
    <row r="300" spans="1:14" ht="15.75" customHeight="1" x14ac:dyDescent="0.2">
      <c r="A300" s="685" t="s">
        <v>611</v>
      </c>
      <c r="B300" s="628"/>
      <c r="C300" s="620"/>
      <c r="D300" s="620"/>
      <c r="E300" s="620"/>
      <c r="F300" s="620"/>
      <c r="G300" s="620"/>
      <c r="H300" s="620"/>
      <c r="I300" s="613"/>
      <c r="J300" s="613"/>
      <c r="K300" s="620"/>
      <c r="L300" s="620"/>
    </row>
    <row r="301" spans="1:14" x14ac:dyDescent="0.2">
      <c r="A301" s="1514" t="s">
        <v>607</v>
      </c>
      <c r="B301" s="686">
        <v>2530</v>
      </c>
      <c r="C301" s="466">
        <v>0</v>
      </c>
      <c r="D301" s="466">
        <v>0</v>
      </c>
      <c r="E301" s="466">
        <v>0</v>
      </c>
      <c r="F301" s="466">
        <v>0</v>
      </c>
      <c r="G301" s="466">
        <v>6117414</v>
      </c>
      <c r="H301" s="466">
        <v>0</v>
      </c>
      <c r="I301" s="467">
        <v>0</v>
      </c>
      <c r="J301" s="467">
        <v>0</v>
      </c>
      <c r="K301" s="1668">
        <f>SUM(C301:J301)</f>
        <v>6117414</v>
      </c>
      <c r="L301" s="467">
        <v>9319937</v>
      </c>
    </row>
    <row r="302" spans="1:14" ht="13.5" customHeight="1" x14ac:dyDescent="0.2">
      <c r="A302" s="1514" t="s">
        <v>979</v>
      </c>
      <c r="B302" s="611" t="s">
        <v>573</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810</v>
      </c>
      <c r="B303" s="1666" t="s">
        <v>568</v>
      </c>
      <c r="C303" s="1674">
        <f>SUM(C301:C302)</f>
        <v>0</v>
      </c>
      <c r="D303" s="1674">
        <f t="shared" ref="D303:L303" si="23">SUM(D301:D302)</f>
        <v>0</v>
      </c>
      <c r="E303" s="1674">
        <f t="shared" si="23"/>
        <v>0</v>
      </c>
      <c r="F303" s="1674">
        <f t="shared" si="23"/>
        <v>0</v>
      </c>
      <c r="G303" s="1674">
        <f t="shared" si="23"/>
        <v>6117414</v>
      </c>
      <c r="H303" s="1674">
        <f t="shared" si="23"/>
        <v>0</v>
      </c>
      <c r="I303" s="1674">
        <f t="shared" si="23"/>
        <v>0</v>
      </c>
      <c r="J303" s="1674">
        <f t="shared" si="23"/>
        <v>0</v>
      </c>
      <c r="K303" s="1674">
        <f t="shared" si="23"/>
        <v>6117414</v>
      </c>
      <c r="L303" s="1674">
        <f t="shared" si="23"/>
        <v>9319937</v>
      </c>
    </row>
    <row r="304" spans="1:14" ht="15.75" customHeight="1" thickTop="1" x14ac:dyDescent="0.2">
      <c r="A304" s="1609" t="s">
        <v>145</v>
      </c>
      <c r="B304" s="1610" t="s">
        <v>859</v>
      </c>
      <c r="C304" s="613"/>
      <c r="D304" s="613"/>
      <c r="E304" s="613"/>
      <c r="F304" s="613"/>
      <c r="G304" s="613"/>
      <c r="H304" s="613"/>
      <c r="I304" s="613"/>
      <c r="J304" s="613"/>
      <c r="K304" s="613"/>
      <c r="L304" s="613"/>
    </row>
    <row r="305" spans="1:14" ht="15.75" customHeight="1" x14ac:dyDescent="0.2">
      <c r="A305" s="650" t="s">
        <v>896</v>
      </c>
      <c r="B305" s="619"/>
      <c r="C305" s="613"/>
      <c r="D305" s="613"/>
      <c r="E305" s="613"/>
      <c r="F305" s="613"/>
      <c r="G305" s="613"/>
      <c r="H305" s="613"/>
      <c r="I305" s="613"/>
      <c r="J305" s="613"/>
      <c r="K305" s="613"/>
      <c r="L305" s="613"/>
    </row>
    <row r="306" spans="1:14" x14ac:dyDescent="0.2">
      <c r="A306" s="1515" t="s">
        <v>1846</v>
      </c>
      <c r="B306" s="687" t="s">
        <v>1841</v>
      </c>
      <c r="C306" s="613"/>
      <c r="D306" s="613"/>
      <c r="E306" s="467">
        <v>0</v>
      </c>
      <c r="F306" s="613"/>
      <c r="G306" s="613"/>
      <c r="H306" s="467">
        <v>0</v>
      </c>
      <c r="I306" s="613"/>
      <c r="J306" s="613"/>
      <c r="K306" s="1668">
        <f>SUM(E306,H306)</f>
        <v>0</v>
      </c>
      <c r="L306" s="467">
        <v>0</v>
      </c>
    </row>
    <row r="307" spans="1:14" x14ac:dyDescent="0.2">
      <c r="A307" s="1501" t="s">
        <v>303</v>
      </c>
      <c r="B307" s="611">
        <v>4120</v>
      </c>
      <c r="C307" s="613"/>
      <c r="D307" s="613"/>
      <c r="E307" s="467">
        <v>0</v>
      </c>
      <c r="F307" s="613"/>
      <c r="G307" s="613"/>
      <c r="H307" s="467">
        <v>0</v>
      </c>
      <c r="I307" s="475"/>
      <c r="J307" s="613"/>
      <c r="K307" s="1668">
        <f>SUM(E307,H307)</f>
        <v>0</v>
      </c>
      <c r="L307" s="466">
        <v>0</v>
      </c>
    </row>
    <row r="308" spans="1:14" x14ac:dyDescent="0.2">
      <c r="A308" s="1501" t="s">
        <v>696</v>
      </c>
      <c r="B308" s="611">
        <v>4140</v>
      </c>
      <c r="C308" s="613"/>
      <c r="D308" s="613"/>
      <c r="E308" s="467">
        <v>0</v>
      </c>
      <c r="F308" s="613"/>
      <c r="G308" s="613"/>
      <c r="H308" s="467">
        <v>0</v>
      </c>
      <c r="I308" s="475"/>
      <c r="J308" s="613"/>
      <c r="K308" s="1668">
        <f>SUM(E308,H308)</f>
        <v>0</v>
      </c>
      <c r="L308" s="466">
        <v>0</v>
      </c>
    </row>
    <row r="309" spans="1:14" ht="12.75" customHeight="1" x14ac:dyDescent="0.2">
      <c r="A309" s="1505" t="s">
        <v>697</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1486</v>
      </c>
      <c r="B310" s="1672" t="s">
        <v>859</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894</v>
      </c>
      <c r="B311" s="1608" t="s">
        <v>860</v>
      </c>
      <c r="C311" s="620"/>
      <c r="D311" s="620"/>
      <c r="E311" s="620"/>
      <c r="F311" s="620"/>
      <c r="G311" s="620"/>
      <c r="H311" s="620"/>
      <c r="I311" s="620"/>
      <c r="J311" s="613"/>
      <c r="K311" s="620"/>
      <c r="L311" s="573">
        <v>0</v>
      </c>
    </row>
    <row r="312" spans="1:14" s="671" customFormat="1" ht="12.75" customHeight="1" thickTop="1" thickBot="1" x14ac:dyDescent="0.25">
      <c r="A312" s="2290" t="s">
        <v>276</v>
      </c>
      <c r="B312" s="2291"/>
      <c r="C312" s="1667">
        <f>SUM(C303)</f>
        <v>0</v>
      </c>
      <c r="D312" s="1667">
        <f>SUM(D303)</f>
        <v>0</v>
      </c>
      <c r="E312" s="1667">
        <f>SUM(E303,E310)</f>
        <v>0</v>
      </c>
      <c r="F312" s="1667">
        <f>SUM(F303)</f>
        <v>0</v>
      </c>
      <c r="G312" s="1667">
        <f>SUM(G303)</f>
        <v>6117414</v>
      </c>
      <c r="H312" s="1667">
        <f>SUM(H303,H310)</f>
        <v>0</v>
      </c>
      <c r="I312" s="1667">
        <f>SUM(I303)</f>
        <v>0</v>
      </c>
      <c r="J312" s="1667">
        <f>SUM(J303)</f>
        <v>0</v>
      </c>
      <c r="K312" s="1667">
        <f>SUM(K303,K310,K311)</f>
        <v>6117414</v>
      </c>
      <c r="L312" s="1667">
        <f>SUM(L303,L310,L311)</f>
        <v>9319937</v>
      </c>
      <c r="M312" s="662"/>
      <c r="N312" s="662"/>
    </row>
    <row r="313" spans="1:14" ht="13.5" thickTop="1" x14ac:dyDescent="0.2">
      <c r="A313" s="2286" t="s">
        <v>995</v>
      </c>
      <c r="B313" s="2287"/>
      <c r="C313" s="623"/>
      <c r="D313" s="623"/>
      <c r="E313" s="623"/>
      <c r="F313" s="623"/>
      <c r="G313" s="623"/>
      <c r="H313" s="623"/>
      <c r="I313" s="623"/>
      <c r="J313" s="623"/>
      <c r="K313" s="1682">
        <f>'Revenues 9-14'!H268-'Expenditures 15-22'!K312</f>
        <v>-5524232</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99" t="s">
        <v>149</v>
      </c>
      <c r="B315" s="2300"/>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301" t="s">
        <v>897</v>
      </c>
      <c r="B317" s="2300"/>
      <c r="C317" s="1553"/>
      <c r="D317" s="1554"/>
      <c r="E317" s="1554"/>
      <c r="F317" s="1554"/>
      <c r="G317" s="1554"/>
      <c r="H317" s="1554"/>
      <c r="I317" s="1554"/>
      <c r="J317" s="1554"/>
      <c r="K317" s="1554"/>
      <c r="L317" s="1555"/>
    </row>
    <row r="318" spans="1:14" s="671" customFormat="1" ht="15.75" customHeight="1" x14ac:dyDescent="0.2">
      <c r="A318" s="692" t="s">
        <v>609</v>
      </c>
      <c r="B318" s="693"/>
      <c r="C318" s="635"/>
      <c r="D318" s="635"/>
      <c r="E318" s="635"/>
      <c r="F318" s="635"/>
      <c r="G318" s="635"/>
      <c r="H318" s="635"/>
      <c r="I318" s="635"/>
      <c r="J318" s="635"/>
      <c r="K318" s="635"/>
      <c r="L318" s="635"/>
      <c r="M318" s="662"/>
      <c r="N318" s="662"/>
    </row>
    <row r="319" spans="1:14" s="671" customFormat="1" x14ac:dyDescent="0.2">
      <c r="A319" s="1516" t="s">
        <v>298</v>
      </c>
      <c r="B319" s="694" t="s">
        <v>280</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1801</v>
      </c>
      <c r="B320" s="695" t="s">
        <v>281</v>
      </c>
      <c r="C320" s="467">
        <v>0</v>
      </c>
      <c r="D320" s="467">
        <v>0</v>
      </c>
      <c r="E320" s="467">
        <v>209585</v>
      </c>
      <c r="F320" s="467">
        <v>0</v>
      </c>
      <c r="G320" s="467">
        <v>0</v>
      </c>
      <c r="H320" s="467">
        <v>0</v>
      </c>
      <c r="I320" s="467">
        <v>0</v>
      </c>
      <c r="J320" s="467">
        <v>0</v>
      </c>
      <c r="K320" s="1668">
        <f t="shared" ref="K320:K327" si="24">SUM(C320:J320)</f>
        <v>209585</v>
      </c>
      <c r="L320" s="467">
        <v>240000</v>
      </c>
      <c r="M320" s="662"/>
      <c r="N320" s="662"/>
    </row>
    <row r="321" spans="1:14" s="671" customFormat="1" x14ac:dyDescent="0.2">
      <c r="A321" s="1516" t="s">
        <v>299</v>
      </c>
      <c r="B321" s="694" t="s">
        <v>282</v>
      </c>
      <c r="C321" s="467">
        <v>0</v>
      </c>
      <c r="D321" s="467">
        <v>0</v>
      </c>
      <c r="E321" s="467">
        <v>0</v>
      </c>
      <c r="F321" s="467">
        <v>0</v>
      </c>
      <c r="G321" s="467">
        <v>0</v>
      </c>
      <c r="H321" s="467">
        <v>5695</v>
      </c>
      <c r="I321" s="467">
        <v>0</v>
      </c>
      <c r="J321" s="467">
        <v>0</v>
      </c>
      <c r="K321" s="1668">
        <f t="shared" si="24"/>
        <v>5695</v>
      </c>
      <c r="L321" s="467">
        <v>40000</v>
      </c>
      <c r="M321" s="662"/>
      <c r="N321" s="662"/>
    </row>
    <row r="322" spans="1:14" s="671" customFormat="1" x14ac:dyDescent="0.2">
      <c r="A322" s="1516" t="s">
        <v>238</v>
      </c>
      <c r="B322" s="694" t="s">
        <v>283</v>
      </c>
      <c r="C322" s="467">
        <v>0</v>
      </c>
      <c r="D322" s="467">
        <v>0</v>
      </c>
      <c r="E322" s="467">
        <v>207693</v>
      </c>
      <c r="F322" s="467">
        <v>0</v>
      </c>
      <c r="G322" s="467">
        <v>0</v>
      </c>
      <c r="H322" s="467">
        <v>0</v>
      </c>
      <c r="I322" s="467">
        <v>0</v>
      </c>
      <c r="J322" s="467">
        <v>0</v>
      </c>
      <c r="K322" s="1668">
        <f t="shared" si="24"/>
        <v>207693</v>
      </c>
      <c r="L322" s="467">
        <v>235000</v>
      </c>
      <c r="M322" s="662"/>
      <c r="N322" s="662"/>
    </row>
    <row r="323" spans="1:14" s="671" customFormat="1" x14ac:dyDescent="0.2">
      <c r="A323" s="1516" t="s">
        <v>701</v>
      </c>
      <c r="B323" s="694" t="s">
        <v>284</v>
      </c>
      <c r="C323" s="467">
        <v>0</v>
      </c>
      <c r="D323" s="467">
        <v>0</v>
      </c>
      <c r="E323" s="467">
        <v>412101</v>
      </c>
      <c r="F323" s="467">
        <v>0</v>
      </c>
      <c r="G323" s="467">
        <v>0</v>
      </c>
      <c r="H323" s="467">
        <v>0</v>
      </c>
      <c r="I323" s="467">
        <v>0</v>
      </c>
      <c r="J323" s="467">
        <v>0</v>
      </c>
      <c r="K323" s="1668">
        <f t="shared" si="24"/>
        <v>412101</v>
      </c>
      <c r="L323" s="467">
        <v>394800</v>
      </c>
      <c r="M323" s="662"/>
      <c r="N323" s="662"/>
    </row>
    <row r="324" spans="1:14" s="671" customFormat="1" x14ac:dyDescent="0.2">
      <c r="A324" s="1516" t="s">
        <v>239</v>
      </c>
      <c r="B324" s="694" t="s">
        <v>285</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1028</v>
      </c>
      <c r="B325" s="695" t="s">
        <v>286</v>
      </c>
      <c r="C325" s="467">
        <v>144019</v>
      </c>
      <c r="D325" s="467">
        <v>192</v>
      </c>
      <c r="E325" s="467">
        <v>0</v>
      </c>
      <c r="F325" s="467">
        <v>0</v>
      </c>
      <c r="G325" s="467">
        <v>0</v>
      </c>
      <c r="H325" s="467">
        <v>0</v>
      </c>
      <c r="I325" s="467">
        <v>0</v>
      </c>
      <c r="J325" s="467">
        <v>0</v>
      </c>
      <c r="K325" s="1668">
        <f t="shared" si="24"/>
        <v>144211</v>
      </c>
      <c r="L325" s="467">
        <v>171295</v>
      </c>
      <c r="M325" s="662"/>
      <c r="N325" s="662"/>
    </row>
    <row r="326" spans="1:14" s="671" customFormat="1" x14ac:dyDescent="0.2">
      <c r="A326" s="1516" t="s">
        <v>1029</v>
      </c>
      <c r="B326" s="694" t="s">
        <v>287</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970</v>
      </c>
      <c r="B327" s="694" t="s">
        <v>288</v>
      </c>
      <c r="C327" s="467">
        <v>0</v>
      </c>
      <c r="D327" s="467">
        <v>0</v>
      </c>
      <c r="E327" s="467">
        <v>27846</v>
      </c>
      <c r="F327" s="467">
        <v>0</v>
      </c>
      <c r="G327" s="467">
        <v>0</v>
      </c>
      <c r="H327" s="467">
        <v>0</v>
      </c>
      <c r="I327" s="467">
        <v>0</v>
      </c>
      <c r="J327" s="467">
        <v>0</v>
      </c>
      <c r="K327" s="1668">
        <f t="shared" si="24"/>
        <v>27846</v>
      </c>
      <c r="L327" s="467">
        <v>125000</v>
      </c>
      <c r="M327" s="662"/>
      <c r="N327" s="662"/>
    </row>
    <row r="328" spans="1:14" s="671" customFormat="1" x14ac:dyDescent="0.2">
      <c r="A328" s="1517" t="s">
        <v>471</v>
      </c>
      <c r="B328" s="687" t="s">
        <v>1131</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1132</v>
      </c>
      <c r="B329" s="687" t="s">
        <v>1133</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716</v>
      </c>
      <c r="B330" s="1666" t="s">
        <v>568</v>
      </c>
      <c r="C330" s="1667">
        <f>SUM(C319:C329)</f>
        <v>144019</v>
      </c>
      <c r="D330" s="1667">
        <f t="shared" ref="D330:J330" si="25">SUM(D319:D329)</f>
        <v>192</v>
      </c>
      <c r="E330" s="1667">
        <f t="shared" si="25"/>
        <v>857225</v>
      </c>
      <c r="F330" s="1667">
        <f t="shared" si="25"/>
        <v>0</v>
      </c>
      <c r="G330" s="1667">
        <f t="shared" si="25"/>
        <v>0</v>
      </c>
      <c r="H330" s="1667">
        <f t="shared" si="25"/>
        <v>5695</v>
      </c>
      <c r="I330" s="1667">
        <f t="shared" si="25"/>
        <v>0</v>
      </c>
      <c r="J330" s="1667">
        <f t="shared" si="25"/>
        <v>0</v>
      </c>
      <c r="K330" s="1667">
        <f>SUM(K319:K329)</f>
        <v>1007131</v>
      </c>
      <c r="L330" s="1667">
        <f>SUM(L319:L329)</f>
        <v>1206095</v>
      </c>
      <c r="M330" s="662"/>
      <c r="N330" s="662"/>
    </row>
    <row r="331" spans="1:14" s="671" customFormat="1" ht="12.75" customHeight="1" thickTop="1" x14ac:dyDescent="0.2">
      <c r="A331" s="1828" t="s">
        <v>1847</v>
      </c>
      <c r="B331" s="644" t="s">
        <v>859</v>
      </c>
      <c r="C331" s="1830"/>
      <c r="D331" s="1830"/>
      <c r="E331" s="1830"/>
      <c r="F331" s="1830"/>
      <c r="G331" s="1830"/>
      <c r="H331" s="1830"/>
      <c r="I331" s="1830"/>
      <c r="J331" s="1830"/>
      <c r="K331" s="1830"/>
      <c r="L331" s="1830"/>
      <c r="M331" s="662"/>
      <c r="N331" s="662"/>
    </row>
    <row r="332" spans="1:14" s="671" customFormat="1" ht="12.75" customHeight="1" x14ac:dyDescent="0.2">
      <c r="A332" s="1829" t="s">
        <v>495</v>
      </c>
      <c r="B332" s="1824" t="s">
        <v>1841</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303</v>
      </c>
      <c r="B333" s="1824" t="s">
        <v>1843</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1848</v>
      </c>
      <c r="B334" s="1824" t="s">
        <v>859</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898</v>
      </c>
      <c r="B335" s="1604" t="s">
        <v>491</v>
      </c>
      <c r="C335" s="613"/>
      <c r="D335" s="613"/>
      <c r="E335" s="613"/>
      <c r="F335" s="613"/>
      <c r="G335" s="613"/>
      <c r="H335" s="613"/>
      <c r="I335" s="613"/>
      <c r="J335" s="613"/>
      <c r="K335" s="613"/>
      <c r="L335" s="613"/>
    </row>
    <row r="336" spans="1:14" ht="15.75" customHeight="1" x14ac:dyDescent="0.2">
      <c r="A336" s="650" t="s">
        <v>614</v>
      </c>
      <c r="B336" s="619"/>
      <c r="C336" s="613"/>
      <c r="D336" s="613"/>
      <c r="E336" s="613"/>
      <c r="F336" s="613"/>
      <c r="G336" s="613"/>
      <c r="H336" s="620"/>
      <c r="I336" s="613"/>
      <c r="J336" s="613"/>
      <c r="K336" s="620"/>
      <c r="L336" s="620"/>
    </row>
    <row r="337" spans="1:14" x14ac:dyDescent="0.2">
      <c r="A337" s="1515" t="s">
        <v>87</v>
      </c>
      <c r="B337" s="687" t="s">
        <v>899</v>
      </c>
      <c r="C337" s="635"/>
      <c r="D337" s="635"/>
      <c r="E337" s="635"/>
      <c r="F337" s="635"/>
      <c r="G337" s="635"/>
      <c r="H337" s="476">
        <v>0</v>
      </c>
      <c r="I337" s="635"/>
      <c r="J337" s="635"/>
      <c r="K337" s="1668">
        <f>H337</f>
        <v>0</v>
      </c>
      <c r="L337" s="476">
        <v>0</v>
      </c>
    </row>
    <row r="338" spans="1:14" ht="12.75" customHeight="1" x14ac:dyDescent="0.2">
      <c r="A338" s="1515" t="s">
        <v>1169</v>
      </c>
      <c r="B338" s="687" t="s">
        <v>616</v>
      </c>
      <c r="C338" s="635"/>
      <c r="D338" s="635"/>
      <c r="E338" s="635"/>
      <c r="F338" s="635"/>
      <c r="G338" s="635"/>
      <c r="H338" s="476">
        <v>0</v>
      </c>
      <c r="I338" s="635"/>
      <c r="J338" s="635"/>
      <c r="K338" s="1668">
        <f>H338</f>
        <v>0</v>
      </c>
      <c r="L338" s="476">
        <v>0</v>
      </c>
    </row>
    <row r="339" spans="1:14" x14ac:dyDescent="0.2">
      <c r="A339" s="1501" t="s">
        <v>900</v>
      </c>
      <c r="B339" s="625">
        <v>5150</v>
      </c>
      <c r="C339" s="635"/>
      <c r="D339" s="635"/>
      <c r="E339" s="635"/>
      <c r="F339" s="635"/>
      <c r="G339" s="635"/>
      <c r="H339" s="467">
        <v>0</v>
      </c>
      <c r="I339" s="635"/>
      <c r="J339" s="635"/>
      <c r="K339" s="1668">
        <f>H339</f>
        <v>0</v>
      </c>
      <c r="L339" s="467">
        <v>0</v>
      </c>
    </row>
    <row r="340" spans="1:14" ht="13.5" thickBot="1" x14ac:dyDescent="0.25">
      <c r="A340" s="1691" t="s">
        <v>901</v>
      </c>
      <c r="B340" s="1666" t="s">
        <v>491</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902</v>
      </c>
      <c r="B341" s="1608" t="s">
        <v>860</v>
      </c>
      <c r="C341" s="613"/>
      <c r="D341" s="613"/>
      <c r="E341" s="475"/>
      <c r="F341" s="468"/>
      <c r="G341" s="468"/>
      <c r="H341" s="475"/>
      <c r="I341" s="475"/>
      <c r="J341" s="468"/>
      <c r="K341" s="475"/>
      <c r="L341" s="573">
        <v>200000</v>
      </c>
    </row>
    <row r="342" spans="1:14" ht="12.75" customHeight="1" thickTop="1" thickBot="1" x14ac:dyDescent="0.25">
      <c r="A342" s="1683" t="s">
        <v>504</v>
      </c>
      <c r="B342" s="1698"/>
      <c r="C342" s="1667">
        <f>SUM(C330)</f>
        <v>144019</v>
      </c>
      <c r="D342" s="1667">
        <f>SUM(D330)</f>
        <v>192</v>
      </c>
      <c r="E342" s="1667">
        <f>SUM(E330)</f>
        <v>857225</v>
      </c>
      <c r="F342" s="1667">
        <f>SUM(F330)</f>
        <v>0</v>
      </c>
      <c r="G342" s="1667">
        <f>SUM(G330)</f>
        <v>0</v>
      </c>
      <c r="H342" s="1667">
        <f>SUM(H330,H334,H340)</f>
        <v>5695</v>
      </c>
      <c r="I342" s="1667">
        <f>SUM(I330)</f>
        <v>0</v>
      </c>
      <c r="J342" s="1667">
        <f>SUM(J330)</f>
        <v>0</v>
      </c>
      <c r="K342" s="1667">
        <f>SUM(K330,K334,K340)</f>
        <v>1007131</v>
      </c>
      <c r="L342" s="1674">
        <f>SUM(L330,L340,L341)</f>
        <v>1406095</v>
      </c>
    </row>
    <row r="343" spans="1:14" ht="12.75" customHeight="1" thickTop="1" x14ac:dyDescent="0.2">
      <c r="A343" s="2288" t="s">
        <v>995</v>
      </c>
      <c r="B343" s="2289"/>
      <c r="C343" s="613"/>
      <c r="D343" s="613"/>
      <c r="E343" s="613"/>
      <c r="F343" s="613"/>
      <c r="G343" s="613"/>
      <c r="H343" s="613"/>
      <c r="I343" s="613"/>
      <c r="J343" s="613"/>
      <c r="K343" s="1681">
        <f>'Revenues 9-14'!J268-'Expenditures 15-22'!K342</f>
        <v>687655</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278" t="s">
        <v>965</v>
      </c>
      <c r="B345" s="2279"/>
      <c r="C345" s="1548"/>
      <c r="D345" s="1549"/>
      <c r="E345" s="1549"/>
      <c r="F345" s="1549"/>
      <c r="G345" s="1549"/>
      <c r="H345" s="1549"/>
      <c r="I345" s="1549"/>
      <c r="J345" s="1549"/>
      <c r="K345" s="1549"/>
      <c r="L345" s="1550"/>
      <c r="M345" s="664"/>
      <c r="N345" s="664"/>
    </row>
    <row r="346" spans="1:14" s="343" customFormat="1" ht="15.75" customHeight="1" x14ac:dyDescent="0.2">
      <c r="A346" s="1620" t="s">
        <v>843</v>
      </c>
      <c r="B346" s="1612" t="s">
        <v>568</v>
      </c>
      <c r="C346" s="613"/>
      <c r="D346" s="613"/>
      <c r="E346" s="613"/>
      <c r="F346" s="613"/>
      <c r="G346" s="613"/>
      <c r="H346" s="613"/>
      <c r="I346" s="613"/>
      <c r="J346" s="613"/>
      <c r="K346" s="613"/>
      <c r="L346" s="613"/>
      <c r="M346" s="606"/>
      <c r="N346" s="606"/>
    </row>
    <row r="347" spans="1:14" ht="15.75" customHeight="1" x14ac:dyDescent="0.2">
      <c r="A347" s="696" t="s">
        <v>611</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457697</v>
      </c>
      <c r="H348" s="466">
        <v>0</v>
      </c>
      <c r="I348" s="467">
        <v>0</v>
      </c>
      <c r="J348" s="467">
        <v>0</v>
      </c>
      <c r="K348" s="1668">
        <f>SUM(C348:J348)</f>
        <v>457697</v>
      </c>
      <c r="L348" s="466">
        <v>625000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718</v>
      </c>
      <c r="B350" s="1666" t="s">
        <v>35</v>
      </c>
      <c r="C350" s="1667">
        <f>SUM(C348:C349)</f>
        <v>0</v>
      </c>
      <c r="D350" s="1667">
        <f t="shared" ref="D350:L350" si="26">SUM(D348:D349)</f>
        <v>0</v>
      </c>
      <c r="E350" s="1667">
        <f t="shared" si="26"/>
        <v>0</v>
      </c>
      <c r="F350" s="1667">
        <f t="shared" si="26"/>
        <v>0</v>
      </c>
      <c r="G350" s="1667">
        <f t="shared" si="26"/>
        <v>457697</v>
      </c>
      <c r="H350" s="1667">
        <f t="shared" si="26"/>
        <v>0</v>
      </c>
      <c r="I350" s="1667">
        <f t="shared" si="26"/>
        <v>0</v>
      </c>
      <c r="J350" s="1667">
        <f t="shared" si="26"/>
        <v>0</v>
      </c>
      <c r="K350" s="1667">
        <f t="shared" si="26"/>
        <v>457697</v>
      </c>
      <c r="L350" s="1667">
        <f t="shared" si="26"/>
        <v>625000</v>
      </c>
    </row>
    <row r="351" spans="1:14" ht="12.75" customHeight="1" thickTop="1" x14ac:dyDescent="0.2">
      <c r="A351" s="1507" t="s">
        <v>979</v>
      </c>
      <c r="B351" s="640" t="s">
        <v>573</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623</v>
      </c>
      <c r="B352" s="1672" t="s">
        <v>568</v>
      </c>
      <c r="C352" s="1667">
        <f>SUM(C350:C351)</f>
        <v>0</v>
      </c>
      <c r="D352" s="1667">
        <f t="shared" ref="D352:L352" si="27">SUM(D350:D351)</f>
        <v>0</v>
      </c>
      <c r="E352" s="1667">
        <f t="shared" si="27"/>
        <v>0</v>
      </c>
      <c r="F352" s="1667">
        <f t="shared" si="27"/>
        <v>0</v>
      </c>
      <c r="G352" s="1667">
        <f t="shared" si="27"/>
        <v>457697</v>
      </c>
      <c r="H352" s="1667">
        <f t="shared" si="27"/>
        <v>0</v>
      </c>
      <c r="I352" s="1667">
        <f t="shared" si="27"/>
        <v>0</v>
      </c>
      <c r="J352" s="1667">
        <f t="shared" si="27"/>
        <v>0</v>
      </c>
      <c r="K352" s="1667">
        <f t="shared" si="27"/>
        <v>457697</v>
      </c>
      <c r="L352" s="1667">
        <f t="shared" si="27"/>
        <v>625000</v>
      </c>
    </row>
    <row r="353" spans="1:14" s="343" customFormat="1" ht="15.75" customHeight="1" thickTop="1" x14ac:dyDescent="0.2">
      <c r="A353" s="1609" t="s">
        <v>624</v>
      </c>
      <c r="B353" s="1606" t="s">
        <v>859</v>
      </c>
      <c r="C353" s="613"/>
      <c r="D353" s="613"/>
      <c r="E353" s="613"/>
      <c r="F353" s="613"/>
      <c r="G353" s="613"/>
      <c r="H353" s="613"/>
      <c r="I353" s="613"/>
      <c r="J353" s="613"/>
      <c r="K353" s="613"/>
      <c r="L353" s="613"/>
      <c r="M353" s="606"/>
      <c r="N353" s="606"/>
    </row>
    <row r="354" spans="1:14" x14ac:dyDescent="0.2">
      <c r="A354" s="1831" t="s">
        <v>1849</v>
      </c>
      <c r="B354" s="680" t="s">
        <v>1841</v>
      </c>
      <c r="C354" s="613"/>
      <c r="D354" s="613"/>
      <c r="E354" s="613"/>
      <c r="F354" s="613"/>
      <c r="G354" s="613"/>
      <c r="H354" s="473">
        <v>0</v>
      </c>
      <c r="I354" s="698"/>
      <c r="J354" s="613"/>
      <c r="K354" s="1696">
        <f>H354</f>
        <v>0</v>
      </c>
      <c r="L354" s="471">
        <v>0</v>
      </c>
    </row>
    <row r="355" spans="1:14" ht="12.75" customHeight="1" x14ac:dyDescent="0.2">
      <c r="A355" s="1510" t="s">
        <v>1850</v>
      </c>
      <c r="B355" s="687" t="s">
        <v>1843</v>
      </c>
      <c r="C355" s="613"/>
      <c r="D355" s="613"/>
      <c r="E355" s="613"/>
      <c r="F355" s="613"/>
      <c r="G355" s="613"/>
      <c r="H355" s="467">
        <v>0</v>
      </c>
      <c r="I355" s="698"/>
      <c r="J355" s="613"/>
      <c r="K355" s="1740">
        <f>H355</f>
        <v>0</v>
      </c>
      <c r="L355" s="467">
        <v>0</v>
      </c>
    </row>
    <row r="356" spans="1:14" ht="12.75" customHeight="1" x14ac:dyDescent="0.2">
      <c r="A356" s="1831" t="s">
        <v>697</v>
      </c>
      <c r="B356" s="680" t="s">
        <v>557</v>
      </c>
      <c r="C356" s="613"/>
      <c r="D356" s="613"/>
      <c r="E356" s="613"/>
      <c r="F356" s="613"/>
      <c r="G356" s="613"/>
      <c r="H356" s="477">
        <v>0</v>
      </c>
      <c r="I356" s="698"/>
      <c r="J356" s="613"/>
      <c r="K356" s="1737">
        <f>H356</f>
        <v>0</v>
      </c>
      <c r="L356" s="477">
        <v>0</v>
      </c>
    </row>
    <row r="357" spans="1:14" ht="12.75" customHeight="1" thickBot="1" x14ac:dyDescent="0.25">
      <c r="A357" s="1665" t="s">
        <v>1486</v>
      </c>
      <c r="B357" s="1666" t="s">
        <v>859</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947</v>
      </c>
      <c r="B358" s="1606" t="s">
        <v>491</v>
      </c>
      <c r="C358" s="613"/>
      <c r="D358" s="613"/>
      <c r="E358" s="613"/>
      <c r="F358" s="613"/>
      <c r="G358" s="613"/>
      <c r="H358" s="613"/>
      <c r="I358" s="613"/>
      <c r="J358" s="613"/>
      <c r="K358" s="613"/>
      <c r="L358" s="613"/>
      <c r="M358" s="606"/>
      <c r="N358" s="606"/>
    </row>
    <row r="359" spans="1:14" s="343" customFormat="1" ht="15.75" customHeight="1" x14ac:dyDescent="0.2">
      <c r="A359" s="650" t="s">
        <v>626</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618</v>
      </c>
      <c r="B361" s="599" t="s">
        <v>617</v>
      </c>
      <c r="C361" s="613"/>
      <c r="D361" s="613"/>
      <c r="E361" s="613"/>
      <c r="F361" s="613"/>
      <c r="G361" s="613"/>
      <c r="H361" s="467">
        <v>0</v>
      </c>
      <c r="I361" s="613"/>
      <c r="J361" s="613"/>
      <c r="K361" s="1668">
        <f>SUM(C361:J361)</f>
        <v>0</v>
      </c>
      <c r="L361" s="466">
        <v>0</v>
      </c>
    </row>
    <row r="362" spans="1:14" ht="12.75" customHeight="1" thickBot="1" x14ac:dyDescent="0.25">
      <c r="A362" s="1665" t="s">
        <v>625</v>
      </c>
      <c r="B362" s="1666" t="s">
        <v>717</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1671</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589</v>
      </c>
      <c r="B365" s="656" t="s">
        <v>491</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948</v>
      </c>
      <c r="B366" s="1610" t="s">
        <v>860</v>
      </c>
      <c r="C366" s="620"/>
      <c r="D366" s="620"/>
      <c r="E366" s="620"/>
      <c r="F366" s="620"/>
      <c r="G366" s="620"/>
      <c r="H366" s="620"/>
      <c r="I366" s="620"/>
      <c r="J366" s="613"/>
      <c r="K366" s="620"/>
      <c r="L366" s="570">
        <v>0</v>
      </c>
      <c r="M366" s="606"/>
      <c r="N366" s="606"/>
    </row>
    <row r="367" spans="1:14" ht="12.75" customHeight="1" thickTop="1" thickBot="1" x14ac:dyDescent="0.25">
      <c r="A367" s="1689" t="s">
        <v>504</v>
      </c>
      <c r="B367" s="1701"/>
      <c r="C367" s="1667">
        <f t="shared" ref="C367:L367" si="28">SUM(C352,C357,C365,C366)</f>
        <v>0</v>
      </c>
      <c r="D367" s="1667">
        <f t="shared" si="28"/>
        <v>0</v>
      </c>
      <c r="E367" s="1667">
        <f t="shared" si="28"/>
        <v>0</v>
      </c>
      <c r="F367" s="1667">
        <f t="shared" si="28"/>
        <v>0</v>
      </c>
      <c r="G367" s="1667">
        <f t="shared" si="28"/>
        <v>457697</v>
      </c>
      <c r="H367" s="1667">
        <f t="shared" si="28"/>
        <v>0</v>
      </c>
      <c r="I367" s="1667">
        <f t="shared" si="28"/>
        <v>0</v>
      </c>
      <c r="J367" s="1667">
        <f t="shared" si="28"/>
        <v>0</v>
      </c>
      <c r="K367" s="1667">
        <f t="shared" si="28"/>
        <v>457697</v>
      </c>
      <c r="L367" s="1667">
        <f t="shared" si="28"/>
        <v>625000</v>
      </c>
    </row>
    <row r="368" spans="1:14" ht="13.5" thickTop="1" x14ac:dyDescent="0.2">
      <c r="A368" s="2275" t="s">
        <v>995</v>
      </c>
      <c r="B368" s="2276"/>
      <c r="C368" s="651"/>
      <c r="D368" s="651"/>
      <c r="E368" s="623"/>
      <c r="F368" s="623"/>
      <c r="G368" s="623"/>
      <c r="H368" s="623"/>
      <c r="I368" s="623"/>
      <c r="J368" s="620"/>
      <c r="K368" s="1668">
        <f>'Revenues 9-14'!K268-'Expenditures 15-22'!K367</f>
        <v>-3352</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302" t="s">
        <v>1798</v>
      </c>
      <c r="B2" s="1525" t="s">
        <v>1947</v>
      </c>
      <c r="C2" s="711" t="s">
        <v>1948</v>
      </c>
      <c r="D2" s="711" t="s">
        <v>1949</v>
      </c>
      <c r="E2" s="711" t="s">
        <v>1950</v>
      </c>
      <c r="F2" s="711" t="s">
        <v>1951</v>
      </c>
    </row>
    <row r="3" spans="1:6" ht="12" customHeight="1" x14ac:dyDescent="0.2">
      <c r="A3" s="2303"/>
      <c r="B3" s="1522"/>
      <c r="C3" s="1523"/>
      <c r="D3" s="1524" t="s">
        <v>256</v>
      </c>
      <c r="E3" s="1523"/>
      <c r="F3" s="1524" t="s">
        <v>257</v>
      </c>
    </row>
    <row r="4" spans="1:6" ht="13.7" customHeight="1" x14ac:dyDescent="0.2">
      <c r="A4" s="712" t="s">
        <v>1154</v>
      </c>
      <c r="B4" s="1746">
        <f>'Revenues 9-14'!C5</f>
        <v>24174241</v>
      </c>
      <c r="C4" s="1521">
        <v>11351170</v>
      </c>
      <c r="D4" s="1749">
        <f>B4-C4</f>
        <v>12823071</v>
      </c>
      <c r="E4" s="1521">
        <v>24235833</v>
      </c>
      <c r="F4" s="1749">
        <f>E4-C4</f>
        <v>12884663</v>
      </c>
    </row>
    <row r="5" spans="1:6" ht="13.7" customHeight="1" x14ac:dyDescent="0.2">
      <c r="A5" s="712" t="s">
        <v>869</v>
      </c>
      <c r="B5" s="1747">
        <f>'Revenues 9-14'!D5</f>
        <v>4252875</v>
      </c>
      <c r="C5" s="582">
        <v>1996965</v>
      </c>
      <c r="D5" s="1750">
        <f t="shared" ref="D5:D18" si="0">B5-C5</f>
        <v>2255910</v>
      </c>
      <c r="E5" s="582">
        <v>4263711</v>
      </c>
      <c r="F5" s="1750">
        <f>E5-C5</f>
        <v>2266746</v>
      </c>
    </row>
    <row r="6" spans="1:6" ht="13.7" customHeight="1" x14ac:dyDescent="0.2">
      <c r="A6" s="712" t="s">
        <v>410</v>
      </c>
      <c r="B6" s="1747">
        <f>'Revenues 9-14'!E5</f>
        <v>4839532</v>
      </c>
      <c r="C6" s="582">
        <v>2048970</v>
      </c>
      <c r="D6" s="1750">
        <f t="shared" si="0"/>
        <v>2790562</v>
      </c>
      <c r="E6" s="582">
        <v>4374747</v>
      </c>
      <c r="F6" s="1750">
        <f t="shared" ref="F6:F18" si="1">E6-C6</f>
        <v>2325777</v>
      </c>
    </row>
    <row r="7" spans="1:6" ht="13.7" customHeight="1" x14ac:dyDescent="0.2">
      <c r="A7" s="712" t="s">
        <v>155</v>
      </c>
      <c r="B7" s="1747">
        <f>'Revenues 9-14'!F5</f>
        <v>1790684</v>
      </c>
      <c r="C7" s="582">
        <v>840827</v>
      </c>
      <c r="D7" s="1750">
        <f t="shared" si="0"/>
        <v>949857</v>
      </c>
      <c r="E7" s="582">
        <v>1795247</v>
      </c>
      <c r="F7" s="1750">
        <f t="shared" si="1"/>
        <v>954420</v>
      </c>
    </row>
    <row r="8" spans="1:6" ht="13.7" customHeight="1" x14ac:dyDescent="0.2">
      <c r="A8" s="712" t="s">
        <v>1178</v>
      </c>
      <c r="B8" s="1747">
        <f>'Revenues 9-14'!G5</f>
        <v>898333</v>
      </c>
      <c r="C8" s="582">
        <v>436179</v>
      </c>
      <c r="D8" s="1750">
        <f t="shared" si="0"/>
        <v>462154</v>
      </c>
      <c r="E8" s="582">
        <v>931284</v>
      </c>
      <c r="F8" s="1750">
        <f t="shared" si="1"/>
        <v>495105</v>
      </c>
    </row>
    <row r="9" spans="1:6" ht="13.7" customHeight="1" x14ac:dyDescent="0.2">
      <c r="A9" s="712" t="s">
        <v>407</v>
      </c>
      <c r="B9" s="1747">
        <f>'Revenues 9-14'!H5</f>
        <v>0</v>
      </c>
      <c r="C9" s="582">
        <v>0</v>
      </c>
      <c r="D9" s="1750">
        <f t="shared" si="0"/>
        <v>0</v>
      </c>
      <c r="E9" s="582">
        <v>0</v>
      </c>
      <c r="F9" s="1750">
        <f t="shared" si="1"/>
        <v>0</v>
      </c>
    </row>
    <row r="10" spans="1:6" ht="13.7" customHeight="1" x14ac:dyDescent="0.2">
      <c r="A10" s="712" t="s">
        <v>406</v>
      </c>
      <c r="B10" s="1747">
        <f>'Revenues 9-14'!I5</f>
        <v>447671</v>
      </c>
      <c r="C10" s="582">
        <v>210207</v>
      </c>
      <c r="D10" s="1750">
        <f t="shared" si="0"/>
        <v>237464</v>
      </c>
      <c r="E10" s="582">
        <v>448812</v>
      </c>
      <c r="F10" s="1750">
        <f t="shared" si="1"/>
        <v>238605</v>
      </c>
    </row>
    <row r="11" spans="1:6" x14ac:dyDescent="0.2">
      <c r="A11" s="712" t="s">
        <v>408</v>
      </c>
      <c r="B11" s="1747">
        <f>'Revenues 9-14'!J5</f>
        <v>1639429</v>
      </c>
      <c r="C11" s="582">
        <v>796011</v>
      </c>
      <c r="D11" s="1750">
        <f t="shared" si="0"/>
        <v>843418</v>
      </c>
      <c r="E11" s="582">
        <v>1699560</v>
      </c>
      <c r="F11" s="1750">
        <f t="shared" si="1"/>
        <v>903549</v>
      </c>
    </row>
    <row r="12" spans="1:6" ht="13.7" customHeight="1" x14ac:dyDescent="0.2">
      <c r="A12" s="712" t="s">
        <v>157</v>
      </c>
      <c r="B12" s="1747">
        <f>'Revenues 9-14'!K5</f>
        <v>447671</v>
      </c>
      <c r="C12" s="582">
        <v>210207</v>
      </c>
      <c r="D12" s="1750">
        <f t="shared" si="0"/>
        <v>237464</v>
      </c>
      <c r="E12" s="582">
        <v>448812</v>
      </c>
      <c r="F12" s="1750">
        <f t="shared" si="1"/>
        <v>238605</v>
      </c>
    </row>
    <row r="13" spans="1:6" ht="13.7" customHeight="1" x14ac:dyDescent="0.2">
      <c r="A13" s="712" t="s">
        <v>935</v>
      </c>
      <c r="B13" s="1747">
        <f>SUM('Revenues 9-14'!C6:D6)</f>
        <v>447671</v>
      </c>
      <c r="C13" s="582">
        <v>210207</v>
      </c>
      <c r="D13" s="1750">
        <f t="shared" si="0"/>
        <v>237464</v>
      </c>
      <c r="E13" s="582">
        <v>448812</v>
      </c>
      <c r="F13" s="1750">
        <f t="shared" si="1"/>
        <v>238605</v>
      </c>
    </row>
    <row r="14" spans="1:6" ht="13.7" customHeight="1" x14ac:dyDescent="0.2">
      <c r="A14" s="712" t="s">
        <v>409</v>
      </c>
      <c r="B14" s="1747">
        <f>SUM('Revenues 9-14'!C7:D7,'Revenues 9-14'!F7:H7)</f>
        <v>358136</v>
      </c>
      <c r="C14" s="582">
        <v>168165</v>
      </c>
      <c r="D14" s="1750">
        <f t="shared" si="0"/>
        <v>189971</v>
      </c>
      <c r="E14" s="582">
        <v>359049</v>
      </c>
      <c r="F14" s="1750">
        <f t="shared" si="1"/>
        <v>190884</v>
      </c>
    </row>
    <row r="15" spans="1:6" ht="13.7" customHeight="1" x14ac:dyDescent="0.2">
      <c r="A15" s="712" t="s">
        <v>1157</v>
      </c>
      <c r="B15" s="1747">
        <f>SUM('Revenues 9-14'!D9:E9,'Revenues 9-14'!H9)</f>
        <v>0</v>
      </c>
      <c r="C15" s="582">
        <v>0</v>
      </c>
      <c r="D15" s="1750">
        <f t="shared" si="0"/>
        <v>0</v>
      </c>
      <c r="E15" s="582">
        <v>0</v>
      </c>
      <c r="F15" s="1750">
        <f t="shared" si="1"/>
        <v>0</v>
      </c>
    </row>
    <row r="16" spans="1:6" ht="13.7" customHeight="1" x14ac:dyDescent="0.2">
      <c r="A16" s="712" t="s">
        <v>1158</v>
      </c>
      <c r="B16" s="1747">
        <f>'Revenues 9-14'!G8</f>
        <v>1088223</v>
      </c>
      <c r="C16" s="582">
        <v>528376</v>
      </c>
      <c r="D16" s="1750">
        <f t="shared" si="0"/>
        <v>559847</v>
      </c>
      <c r="E16" s="582">
        <v>1128133</v>
      </c>
      <c r="F16" s="1750">
        <f t="shared" si="1"/>
        <v>599757</v>
      </c>
    </row>
    <row r="17" spans="1:6" ht="13.7" customHeight="1" x14ac:dyDescent="0.2">
      <c r="A17" s="712" t="s">
        <v>1159</v>
      </c>
      <c r="B17" s="1747">
        <f>'Revenues 9-14'!C10</f>
        <v>0</v>
      </c>
      <c r="C17" s="582">
        <v>0</v>
      </c>
      <c r="D17" s="1750">
        <f t="shared" si="0"/>
        <v>0</v>
      </c>
      <c r="E17" s="582">
        <v>0</v>
      </c>
      <c r="F17" s="1750">
        <f t="shared" si="1"/>
        <v>0</v>
      </c>
    </row>
    <row r="18" spans="1:6" ht="13.7" customHeight="1" x14ac:dyDescent="0.2">
      <c r="A18" s="712" t="s">
        <v>761</v>
      </c>
      <c r="B18" s="1747">
        <f>SUM('Revenues 9-14'!C11:K11)</f>
        <v>0</v>
      </c>
      <c r="C18" s="582">
        <v>0</v>
      </c>
      <c r="D18" s="1750">
        <f t="shared" si="0"/>
        <v>0</v>
      </c>
      <c r="E18" s="582">
        <v>0</v>
      </c>
      <c r="F18" s="1750">
        <f t="shared" si="1"/>
        <v>0</v>
      </c>
    </row>
    <row r="19" spans="1:6" ht="13.7" customHeight="1" thickBot="1" x14ac:dyDescent="0.25">
      <c r="A19" s="1751" t="s">
        <v>1160</v>
      </c>
      <c r="B19" s="1748">
        <f>SUM(B4:B18)</f>
        <v>40384466</v>
      </c>
      <c r="C19" s="1748">
        <f>SUM(C4:C18)</f>
        <v>18797284</v>
      </c>
      <c r="D19" s="1748">
        <f>SUM(D4:D18)</f>
        <v>21587182</v>
      </c>
      <c r="E19" s="1748">
        <f>SUM(E4:E18)</f>
        <v>40134000</v>
      </c>
      <c r="F19" s="1748">
        <f>SUM(F4:F18)</f>
        <v>21336716</v>
      </c>
    </row>
    <row r="20" spans="1:6" ht="13.5" thickTop="1" x14ac:dyDescent="0.2">
      <c r="B20" s="710"/>
      <c r="F20" s="713"/>
    </row>
    <row r="21" spans="1:6" x14ac:dyDescent="0.2">
      <c r="A21" s="714" t="s">
        <v>1804</v>
      </c>
      <c r="B21" s="715"/>
      <c r="F21" s="713"/>
    </row>
    <row r="22" spans="1:6" x14ac:dyDescent="0.2">
      <c r="A22" s="716" t="s">
        <v>627</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24" t="s">
        <v>628</v>
      </c>
      <c r="B1" s="2322"/>
      <c r="C1" s="718"/>
    </row>
    <row r="2" spans="1:7" ht="33.75" x14ac:dyDescent="0.2">
      <c r="A2" s="2329" t="s">
        <v>1798</v>
      </c>
      <c r="B2" s="2330"/>
      <c r="C2" s="1881" t="s">
        <v>1952</v>
      </c>
      <c r="D2" s="720" t="s">
        <v>1953</v>
      </c>
      <c r="E2" s="720" t="s">
        <v>1954</v>
      </c>
      <c r="F2" s="1881" t="s">
        <v>1955</v>
      </c>
    </row>
    <row r="3" spans="1:7" ht="15.75" customHeight="1" x14ac:dyDescent="0.2">
      <c r="A3" s="2331" t="s">
        <v>1113</v>
      </c>
      <c r="B3" s="2332"/>
      <c r="C3" s="2325"/>
      <c r="D3" s="2326"/>
      <c r="E3" s="2326"/>
      <c r="F3" s="2327"/>
    </row>
    <row r="4" spans="1:7" ht="12.75" customHeight="1" thickBot="1" x14ac:dyDescent="0.25">
      <c r="A4" s="2319" t="s">
        <v>629</v>
      </c>
      <c r="B4" s="2320"/>
      <c r="C4" s="578"/>
      <c r="D4" s="578"/>
      <c r="E4" s="578"/>
      <c r="F4" s="1752">
        <f>SUM(C4+D4)-E4</f>
        <v>0</v>
      </c>
    </row>
    <row r="5" spans="1:7" ht="15.75" customHeight="1" thickTop="1" x14ac:dyDescent="0.2">
      <c r="A5" s="2323" t="s">
        <v>1109</v>
      </c>
      <c r="B5" s="2318"/>
      <c r="C5" s="2312"/>
      <c r="D5" s="2313"/>
      <c r="E5" s="2313"/>
      <c r="F5" s="2314"/>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507</v>
      </c>
      <c r="B8" s="722"/>
      <c r="C8" s="723"/>
      <c r="D8" s="582"/>
      <c r="E8" s="723"/>
      <c r="F8" s="1752">
        <f t="shared" si="0"/>
        <v>0</v>
      </c>
    </row>
    <row r="9" spans="1:7" ht="12.75" customHeight="1" thickTop="1" thickBot="1" x14ac:dyDescent="0.25">
      <c r="A9" s="721" t="s">
        <v>508</v>
      </c>
      <c r="B9" s="722"/>
      <c r="C9" s="723"/>
      <c r="D9" s="582"/>
      <c r="E9" s="723"/>
      <c r="F9" s="1752">
        <f t="shared" si="0"/>
        <v>0</v>
      </c>
    </row>
    <row r="10" spans="1:7" ht="12.75" customHeight="1" thickTop="1" thickBot="1" x14ac:dyDescent="0.25">
      <c r="A10" s="721" t="s">
        <v>509</v>
      </c>
      <c r="B10" s="722"/>
      <c r="C10" s="723"/>
      <c r="D10" s="582"/>
      <c r="E10" s="723"/>
      <c r="F10" s="1752">
        <f t="shared" si="0"/>
        <v>0</v>
      </c>
    </row>
    <row r="11" spans="1:7" ht="12.75" customHeight="1" thickTop="1" thickBot="1" x14ac:dyDescent="0.25">
      <c r="A11" s="721" t="s">
        <v>340</v>
      </c>
      <c r="B11" s="722"/>
      <c r="C11" s="723"/>
      <c r="D11" s="582"/>
      <c r="E11" s="723"/>
      <c r="F11" s="1752">
        <f t="shared" si="0"/>
        <v>0</v>
      </c>
    </row>
    <row r="12" spans="1:7" ht="12.75" customHeight="1" thickTop="1" thickBot="1" x14ac:dyDescent="0.25">
      <c r="A12" s="721" t="s">
        <v>1156</v>
      </c>
      <c r="B12" s="722"/>
      <c r="C12" s="723"/>
      <c r="D12" s="582"/>
      <c r="E12" s="723"/>
      <c r="F12" s="1752">
        <f t="shared" si="0"/>
        <v>0</v>
      </c>
    </row>
    <row r="13" spans="1:7" ht="12.75" customHeight="1" thickTop="1" thickBot="1" x14ac:dyDescent="0.25">
      <c r="A13" s="721" t="s">
        <v>387</v>
      </c>
      <c r="B13" s="722"/>
      <c r="C13" s="723"/>
      <c r="D13" s="582"/>
      <c r="E13" s="723"/>
      <c r="F13" s="1752">
        <f t="shared" si="0"/>
        <v>0</v>
      </c>
    </row>
    <row r="14" spans="1:7" ht="12.75" customHeight="1" thickTop="1" thickBot="1" x14ac:dyDescent="0.25">
      <c r="A14" s="721" t="s">
        <v>447</v>
      </c>
      <c r="B14" s="722"/>
      <c r="C14" s="723"/>
      <c r="D14" s="582"/>
      <c r="E14" s="723"/>
      <c r="F14" s="1752">
        <f t="shared" si="0"/>
        <v>0</v>
      </c>
    </row>
    <row r="15" spans="1:7" ht="14.25" thickTop="1" thickBot="1" x14ac:dyDescent="0.25">
      <c r="A15" s="2315" t="s">
        <v>630</v>
      </c>
      <c r="B15" s="2316"/>
      <c r="C15" s="1752">
        <f>SUM(C6:C14)</f>
        <v>0</v>
      </c>
      <c r="D15" s="1752">
        <f>SUM(D6:D14)</f>
        <v>0</v>
      </c>
      <c r="E15" s="1752">
        <f>SUM(E6:E14)</f>
        <v>0</v>
      </c>
      <c r="F15" s="1752">
        <f>SUM(F6:F14)</f>
        <v>0</v>
      </c>
      <c r="G15" s="549"/>
    </row>
    <row r="16" spans="1:7" s="202" customFormat="1" ht="15.75" customHeight="1" thickTop="1" x14ac:dyDescent="0.2">
      <c r="A16" s="2328" t="s">
        <v>1110</v>
      </c>
      <c r="B16" s="2318"/>
      <c r="C16" s="2312"/>
      <c r="D16" s="2313"/>
      <c r="E16" s="2313"/>
      <c r="F16" s="2314"/>
    </row>
    <row r="17" spans="1:11" ht="12.75" customHeight="1" thickBot="1" x14ac:dyDescent="0.25">
      <c r="A17" s="2310" t="s">
        <v>64</v>
      </c>
      <c r="B17" s="2311"/>
      <c r="C17" s="723"/>
      <c r="D17" s="582"/>
      <c r="E17" s="723"/>
      <c r="F17" s="1752">
        <f>SUM(C17+D17)-E17</f>
        <v>0</v>
      </c>
    </row>
    <row r="18" spans="1:11" ht="12.75" customHeight="1" thickTop="1" thickBot="1" x14ac:dyDescent="0.25">
      <c r="A18" s="2310" t="s">
        <v>6</v>
      </c>
      <c r="B18" s="2311"/>
      <c r="C18" s="723"/>
      <c r="D18" s="582"/>
      <c r="E18" s="723"/>
      <c r="F18" s="1752">
        <f>SUM(C18+D18)-E18</f>
        <v>0</v>
      </c>
    </row>
    <row r="19" spans="1:11" ht="12.75" customHeight="1" thickTop="1" thickBot="1" x14ac:dyDescent="0.25">
      <c r="A19" s="2310" t="s">
        <v>387</v>
      </c>
      <c r="B19" s="2311"/>
      <c r="C19" s="723"/>
      <c r="D19" s="582"/>
      <c r="E19" s="723"/>
      <c r="F19" s="1752">
        <f>SUM(C19+D19)-E19</f>
        <v>0</v>
      </c>
    </row>
    <row r="20" spans="1:11" ht="12.75" customHeight="1" thickTop="1" thickBot="1" x14ac:dyDescent="0.25">
      <c r="A20" s="2310" t="s">
        <v>447</v>
      </c>
      <c r="B20" s="2311"/>
      <c r="C20" s="723"/>
      <c r="D20" s="582"/>
      <c r="E20" s="723"/>
      <c r="F20" s="1752">
        <f>SUM(C20+D20)-E20</f>
        <v>0</v>
      </c>
    </row>
    <row r="21" spans="1:11" ht="14.25" thickTop="1" thickBot="1" x14ac:dyDescent="0.25">
      <c r="A21" s="2315" t="s">
        <v>631</v>
      </c>
      <c r="B21" s="2316"/>
      <c r="C21" s="1752">
        <f>SUM(C17:C20)</f>
        <v>0</v>
      </c>
      <c r="D21" s="1752">
        <f>SUM(D17:D20)</f>
        <v>0</v>
      </c>
      <c r="E21" s="1752">
        <f>SUM(E17:E20)</f>
        <v>0</v>
      </c>
      <c r="F21" s="1752">
        <f>SUM(F17:F20)</f>
        <v>0</v>
      </c>
      <c r="G21" s="549"/>
    </row>
    <row r="22" spans="1:11" ht="15.75" customHeight="1" thickTop="1" x14ac:dyDescent="0.2">
      <c r="A22" s="2317" t="s">
        <v>1111</v>
      </c>
      <c r="B22" s="2318"/>
      <c r="C22" s="2312"/>
      <c r="D22" s="2313"/>
      <c r="E22" s="2313"/>
      <c r="F22" s="2314"/>
    </row>
    <row r="23" spans="1:11" ht="13.5" thickBot="1" x14ac:dyDescent="0.25">
      <c r="A23" s="2319" t="s">
        <v>632</v>
      </c>
      <c r="B23" s="2320"/>
      <c r="C23" s="578"/>
      <c r="D23" s="578"/>
      <c r="E23" s="578"/>
      <c r="F23" s="1752">
        <f>SUM(C23+D23)-E23</f>
        <v>0</v>
      </c>
      <c r="G23" s="549"/>
    </row>
    <row r="24" spans="1:11" ht="15.75" customHeight="1" thickTop="1" x14ac:dyDescent="0.2">
      <c r="A24" s="2317" t="s">
        <v>1112</v>
      </c>
      <c r="B24" s="2318"/>
      <c r="C24" s="2312"/>
      <c r="D24" s="2313"/>
      <c r="E24" s="2313"/>
      <c r="F24" s="2314"/>
    </row>
    <row r="25" spans="1:11" ht="13.5" thickBot="1" x14ac:dyDescent="0.25">
      <c r="A25" s="2319" t="s">
        <v>633</v>
      </c>
      <c r="B25" s="2320"/>
      <c r="C25" s="578"/>
      <c r="D25" s="578"/>
      <c r="E25" s="578"/>
      <c r="F25" s="1752">
        <f>SUM(C25+D25)-E25</f>
        <v>0</v>
      </c>
      <c r="G25" s="549"/>
    </row>
    <row r="26" spans="1:11" ht="15.75" customHeight="1" thickTop="1" x14ac:dyDescent="0.2">
      <c r="A26" s="2323" t="s">
        <v>656</v>
      </c>
      <c r="B26" s="2318"/>
      <c r="C26" s="724"/>
      <c r="D26" s="724"/>
      <c r="E26" s="724"/>
      <c r="F26" s="725"/>
    </row>
    <row r="27" spans="1:11" ht="13.5" thickBot="1" x14ac:dyDescent="0.25">
      <c r="A27" s="2315" t="s">
        <v>1069</v>
      </c>
      <c r="B27" s="2316"/>
      <c r="C27" s="582"/>
      <c r="D27" s="582"/>
      <c r="E27" s="582"/>
      <c r="F27" s="1752">
        <f>SUM(C27+D27)-E27</f>
        <v>0</v>
      </c>
      <c r="G27" s="549"/>
    </row>
    <row r="28" spans="1:11" ht="7.5" customHeight="1" thickTop="1" x14ac:dyDescent="0.2">
      <c r="A28" s="590"/>
    </row>
    <row r="29" spans="1:11" ht="23.25" customHeight="1" x14ac:dyDescent="0.2">
      <c r="A29" s="2321" t="s">
        <v>581</v>
      </c>
      <c r="B29" s="2322"/>
      <c r="C29" s="726"/>
      <c r="D29" s="726"/>
      <c r="E29" s="726"/>
      <c r="F29" s="726"/>
      <c r="G29" s="726"/>
      <c r="H29" s="726"/>
      <c r="I29" s="726"/>
      <c r="J29" s="726"/>
    </row>
    <row r="30" spans="1:11" ht="33.75" x14ac:dyDescent="0.2">
      <c r="A30" s="1526" t="s">
        <v>1070</v>
      </c>
      <c r="B30" s="727" t="s">
        <v>1123</v>
      </c>
      <c r="C30" s="1882" t="s">
        <v>582</v>
      </c>
      <c r="D30" s="1882" t="s">
        <v>1672</v>
      </c>
      <c r="E30" s="1882" t="s">
        <v>1956</v>
      </c>
      <c r="F30" s="1882" t="s">
        <v>1957</v>
      </c>
      <c r="G30" s="1882" t="s">
        <v>1907</v>
      </c>
      <c r="H30" s="1882" t="s">
        <v>1958</v>
      </c>
      <c r="I30" s="1882" t="s">
        <v>1959</v>
      </c>
      <c r="J30" s="1883" t="s">
        <v>2</v>
      </c>
      <c r="K30" s="728"/>
    </row>
    <row r="31" spans="1:11" ht="12" customHeight="1" x14ac:dyDescent="0.2">
      <c r="A31" s="729" t="s">
        <v>2217</v>
      </c>
      <c r="B31" s="730">
        <v>43495</v>
      </c>
      <c r="C31" s="731">
        <v>12195000</v>
      </c>
      <c r="D31" s="732">
        <v>3</v>
      </c>
      <c r="E31" s="731"/>
      <c r="F31" s="731"/>
      <c r="G31" s="731">
        <v>12195000</v>
      </c>
      <c r="H31" s="731"/>
      <c r="I31" s="1753">
        <f>((E31+F31)-H31)+G31</f>
        <v>12195000</v>
      </c>
      <c r="J31" s="731">
        <f>I31-192585-31</f>
        <v>12002384</v>
      </c>
      <c r="K31" s="733"/>
    </row>
    <row r="32" spans="1:11" ht="12" customHeight="1" x14ac:dyDescent="0.2">
      <c r="A32" s="729" t="s">
        <v>2078</v>
      </c>
      <c r="B32" s="730">
        <v>40163</v>
      </c>
      <c r="C32" s="731">
        <v>12235000</v>
      </c>
      <c r="D32" s="732">
        <v>3</v>
      </c>
      <c r="E32" s="731">
        <v>11935000</v>
      </c>
      <c r="F32" s="731"/>
      <c r="G32" s="731">
        <v>-11935000</v>
      </c>
      <c r="H32" s="731"/>
      <c r="I32" s="1753">
        <f>((E32+F32)-H32)+G32</f>
        <v>0</v>
      </c>
      <c r="J32" s="731">
        <v>0</v>
      </c>
      <c r="K32" s="733"/>
    </row>
    <row r="33" spans="1:11" ht="12" customHeight="1" x14ac:dyDescent="0.2">
      <c r="A33" s="729" t="s">
        <v>2079</v>
      </c>
      <c r="B33" s="730">
        <v>40399</v>
      </c>
      <c r="C33" s="731">
        <v>10000000</v>
      </c>
      <c r="D33" s="732">
        <v>6</v>
      </c>
      <c r="E33" s="731">
        <v>10000000</v>
      </c>
      <c r="F33" s="731"/>
      <c r="G33" s="731"/>
      <c r="H33" s="731"/>
      <c r="I33" s="1753">
        <f t="shared" ref="I33:I48" si="1">((E33+F33)-H33)+G33</f>
        <v>10000000</v>
      </c>
      <c r="J33" s="731">
        <f>I33-192584</f>
        <v>9807416</v>
      </c>
      <c r="K33" s="733"/>
    </row>
    <row r="34" spans="1:11" ht="12" customHeight="1" x14ac:dyDescent="0.2">
      <c r="A34" s="729" t="s">
        <v>2080</v>
      </c>
      <c r="B34" s="730">
        <v>41261</v>
      </c>
      <c r="C34" s="731">
        <v>5410000</v>
      </c>
      <c r="D34" s="732">
        <v>3</v>
      </c>
      <c r="E34" s="731">
        <v>1285000</v>
      </c>
      <c r="F34" s="731"/>
      <c r="G34" s="731"/>
      <c r="H34" s="731">
        <v>900000</v>
      </c>
      <c r="I34" s="1753">
        <f t="shared" si="1"/>
        <v>385000</v>
      </c>
      <c r="J34" s="731">
        <f>I34-183007</f>
        <v>201993</v>
      </c>
      <c r="K34" s="734"/>
    </row>
    <row r="35" spans="1:11" ht="12" customHeight="1" x14ac:dyDescent="0.2">
      <c r="A35" s="729" t="s">
        <v>2081</v>
      </c>
      <c r="B35" s="730">
        <v>41436</v>
      </c>
      <c r="C35" s="735">
        <v>9170000</v>
      </c>
      <c r="D35" s="732">
        <v>3</v>
      </c>
      <c r="E35" s="735">
        <v>9170000</v>
      </c>
      <c r="F35" s="735"/>
      <c r="G35" s="735"/>
      <c r="H35" s="735"/>
      <c r="I35" s="1753">
        <f t="shared" si="1"/>
        <v>9170000</v>
      </c>
      <c r="J35" s="735">
        <f>I35-179057</f>
        <v>8990943</v>
      </c>
      <c r="K35" s="734"/>
    </row>
    <row r="36" spans="1:11" ht="12" customHeight="1" x14ac:dyDescent="0.2">
      <c r="A36" s="729" t="s">
        <v>2082</v>
      </c>
      <c r="B36" s="730">
        <v>41436</v>
      </c>
      <c r="C36" s="731">
        <v>6865000</v>
      </c>
      <c r="D36" s="732">
        <v>3</v>
      </c>
      <c r="E36" s="731">
        <v>4185000</v>
      </c>
      <c r="F36" s="731"/>
      <c r="G36" s="731"/>
      <c r="H36" s="731">
        <v>695000</v>
      </c>
      <c r="I36" s="1753">
        <f t="shared" si="1"/>
        <v>3490000</v>
      </c>
      <c r="J36" s="731">
        <f>I36-379208</f>
        <v>3110792</v>
      </c>
      <c r="K36" s="736"/>
    </row>
    <row r="37" spans="1:11" ht="12" customHeight="1" x14ac:dyDescent="0.2">
      <c r="A37" s="729" t="s">
        <v>2083</v>
      </c>
      <c r="B37" s="730">
        <v>41725</v>
      </c>
      <c r="C37" s="467">
        <v>8845000</v>
      </c>
      <c r="D37" s="737">
        <v>3</v>
      </c>
      <c r="E37" s="467">
        <v>8845000</v>
      </c>
      <c r="F37" s="467"/>
      <c r="G37" s="467"/>
      <c r="H37" s="467"/>
      <c r="I37" s="1753">
        <f t="shared" si="1"/>
        <v>8845000</v>
      </c>
      <c r="J37" s="467">
        <f>I37-188212</f>
        <v>8656788</v>
      </c>
      <c r="K37" s="734"/>
    </row>
    <row r="38" spans="1:11" ht="12" customHeight="1" x14ac:dyDescent="0.2">
      <c r="A38" s="729" t="s">
        <v>2084</v>
      </c>
      <c r="B38" s="730">
        <v>41725</v>
      </c>
      <c r="C38" s="731">
        <v>1800000</v>
      </c>
      <c r="D38" s="738">
        <v>3</v>
      </c>
      <c r="E38" s="739">
        <v>1800000</v>
      </c>
      <c r="F38" s="739"/>
      <c r="G38" s="739"/>
      <c r="H38" s="739"/>
      <c r="I38" s="1753">
        <f t="shared" si="1"/>
        <v>1800000</v>
      </c>
      <c r="J38" s="740">
        <f>I38-197322</f>
        <v>1602678</v>
      </c>
      <c r="K38" s="741"/>
    </row>
    <row r="39" spans="1:11" ht="12" customHeight="1" x14ac:dyDescent="0.2">
      <c r="A39" s="729" t="s">
        <v>2085</v>
      </c>
      <c r="B39" s="730">
        <v>42923</v>
      </c>
      <c r="C39" s="731">
        <v>4850000</v>
      </c>
      <c r="D39" s="738">
        <v>3</v>
      </c>
      <c r="E39" s="739">
        <v>3095000</v>
      </c>
      <c r="F39" s="739"/>
      <c r="G39" s="739"/>
      <c r="H39" s="739">
        <v>1910000</v>
      </c>
      <c r="I39" s="1753">
        <f t="shared" si="1"/>
        <v>1185000</v>
      </c>
      <c r="J39" s="740">
        <f>I39-527188</f>
        <v>657812</v>
      </c>
      <c r="K39" s="741"/>
    </row>
    <row r="40" spans="1:11" ht="12" customHeight="1" x14ac:dyDescent="0.2">
      <c r="A40" s="729" t="s">
        <v>2086</v>
      </c>
      <c r="B40" s="730">
        <v>43257</v>
      </c>
      <c r="C40" s="731">
        <v>7720000</v>
      </c>
      <c r="D40" s="738">
        <v>8</v>
      </c>
      <c r="E40" s="739">
        <v>7720000</v>
      </c>
      <c r="F40" s="739"/>
      <c r="G40" s="739"/>
      <c r="H40" s="739"/>
      <c r="I40" s="1753">
        <f t="shared" si="1"/>
        <v>7720000</v>
      </c>
      <c r="J40" s="740">
        <f>I40-1591800</f>
        <v>6128200</v>
      </c>
      <c r="K40" s="741"/>
    </row>
    <row r="41" spans="1:11" ht="12" customHeight="1" x14ac:dyDescent="0.2">
      <c r="A41" s="729" t="s">
        <v>2087</v>
      </c>
      <c r="B41" s="730">
        <v>38977</v>
      </c>
      <c r="C41" s="731">
        <v>275000</v>
      </c>
      <c r="D41" s="738">
        <v>7</v>
      </c>
      <c r="E41" s="739">
        <v>168061</v>
      </c>
      <c r="F41" s="739"/>
      <c r="G41" s="739">
        <v>-54981</v>
      </c>
      <c r="H41" s="739"/>
      <c r="I41" s="1753">
        <f t="shared" si="1"/>
        <v>113080</v>
      </c>
      <c r="J41" s="740">
        <f>I41-12</f>
        <v>113068</v>
      </c>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79365000</v>
      </c>
      <c r="D49" s="742"/>
      <c r="E49" s="1753">
        <f t="shared" ref="E49:J49" si="2">SUM(E31:E48)</f>
        <v>58203061</v>
      </c>
      <c r="F49" s="1753">
        <f t="shared" si="2"/>
        <v>0</v>
      </c>
      <c r="G49" s="1753">
        <f t="shared" si="2"/>
        <v>205019</v>
      </c>
      <c r="H49" s="1753">
        <f t="shared" si="2"/>
        <v>3505000</v>
      </c>
      <c r="I49" s="1753">
        <f t="shared" si="2"/>
        <v>54903080</v>
      </c>
      <c r="J49" s="1753">
        <f t="shared" si="2"/>
        <v>51272074</v>
      </c>
      <c r="K49" s="734"/>
    </row>
    <row r="50" spans="1:11" ht="6" customHeight="1" x14ac:dyDescent="0.2">
      <c r="A50" s="743"/>
      <c r="B50" s="733"/>
      <c r="C50" s="733"/>
      <c r="D50" s="733"/>
      <c r="E50" s="733"/>
      <c r="F50" s="733"/>
      <c r="G50" s="733"/>
      <c r="H50" s="733"/>
      <c r="I50" s="733"/>
      <c r="J50" s="743"/>
    </row>
    <row r="51" spans="1:11" x14ac:dyDescent="0.2">
      <c r="A51" s="744" t="s">
        <v>1803</v>
      </c>
      <c r="B51" s="743"/>
      <c r="C51" s="734"/>
      <c r="D51" s="734"/>
      <c r="E51" s="734"/>
      <c r="F51" s="734"/>
      <c r="G51" s="734"/>
      <c r="H51" s="733"/>
      <c r="I51" s="733"/>
      <c r="J51" s="743"/>
    </row>
    <row r="52" spans="1:11" ht="11.25" customHeight="1" x14ac:dyDescent="0.2">
      <c r="A52" s="745" t="s">
        <v>911</v>
      </c>
      <c r="B52" s="2304" t="s">
        <v>583</v>
      </c>
      <c r="C52" s="2305"/>
      <c r="D52" s="2305"/>
      <c r="E52" s="746" t="s">
        <v>844</v>
      </c>
      <c r="F52" s="2306" t="s">
        <v>2087</v>
      </c>
      <c r="G52" s="2307"/>
      <c r="H52" s="733"/>
      <c r="I52" s="733"/>
      <c r="J52" s="743"/>
    </row>
    <row r="53" spans="1:11" ht="11.25" customHeight="1" x14ac:dyDescent="0.2">
      <c r="A53" s="747" t="s">
        <v>912</v>
      </c>
      <c r="B53" s="748" t="s">
        <v>950</v>
      </c>
      <c r="C53" s="743"/>
      <c r="D53" s="734"/>
      <c r="E53" s="746" t="s">
        <v>496</v>
      </c>
      <c r="F53" s="2308" t="s">
        <v>2088</v>
      </c>
      <c r="G53" s="2309"/>
      <c r="H53" s="733"/>
      <c r="I53" s="733"/>
      <c r="J53" s="743"/>
    </row>
    <row r="54" spans="1:11" ht="11.25" customHeight="1" x14ac:dyDescent="0.2">
      <c r="A54" s="749" t="s">
        <v>913</v>
      </c>
      <c r="B54" s="744" t="s">
        <v>951</v>
      </c>
      <c r="C54" s="743"/>
      <c r="D54" s="734"/>
      <c r="E54" s="746" t="s">
        <v>497</v>
      </c>
      <c r="F54" s="2308"/>
      <c r="G54" s="2309"/>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33" t="s">
        <v>855</v>
      </c>
      <c r="B1" s="2334"/>
      <c r="C1" s="2334"/>
      <c r="D1" s="2334"/>
      <c r="E1" s="2334"/>
      <c r="F1" s="2334"/>
      <c r="G1" s="2335"/>
      <c r="H1" s="1527"/>
      <c r="I1" s="757"/>
      <c r="J1" s="433"/>
    </row>
    <row r="2" spans="1:11" ht="26.25" x14ac:dyDescent="0.2">
      <c r="A2" s="2352" t="s">
        <v>1676</v>
      </c>
      <c r="B2" s="2353"/>
      <c r="C2" s="2353"/>
      <c r="D2" s="2353"/>
      <c r="E2" s="2354"/>
      <c r="F2" s="758" t="s">
        <v>903</v>
      </c>
      <c r="G2" s="759" t="s">
        <v>1673</v>
      </c>
      <c r="H2" s="759" t="s">
        <v>409</v>
      </c>
      <c r="I2" s="759" t="s">
        <v>1157</v>
      </c>
      <c r="J2" s="759" t="s">
        <v>1808</v>
      </c>
      <c r="K2" s="759" t="s">
        <v>138</v>
      </c>
    </row>
    <row r="3" spans="1:11" x14ac:dyDescent="0.2">
      <c r="A3" s="2355" t="s">
        <v>1960</v>
      </c>
      <c r="B3" s="2356"/>
      <c r="C3" s="2356"/>
      <c r="D3" s="2356"/>
      <c r="E3" s="2357"/>
      <c r="F3" s="760"/>
      <c r="G3" s="761"/>
      <c r="H3" s="761"/>
      <c r="I3" s="761"/>
      <c r="J3" s="762">
        <v>934394</v>
      </c>
      <c r="K3" s="762"/>
    </row>
    <row r="4" spans="1:11" x14ac:dyDescent="0.2">
      <c r="A4" s="2358" t="s">
        <v>368</v>
      </c>
      <c r="B4" s="2359"/>
      <c r="C4" s="2359"/>
      <c r="D4" s="2359"/>
      <c r="E4" s="2305"/>
      <c r="F4" s="763"/>
      <c r="G4" s="764"/>
      <c r="H4" s="765"/>
      <c r="I4" s="764"/>
      <c r="J4" s="766"/>
      <c r="K4" s="766"/>
    </row>
    <row r="5" spans="1:11" x14ac:dyDescent="0.2">
      <c r="A5" s="2336" t="s">
        <v>1068</v>
      </c>
      <c r="B5" s="2337"/>
      <c r="C5" s="2337"/>
      <c r="D5" s="2337"/>
      <c r="E5" s="2338"/>
      <c r="F5" s="767" t="s">
        <v>847</v>
      </c>
      <c r="G5" s="768"/>
      <c r="H5" s="761">
        <v>358136</v>
      </c>
      <c r="I5" s="769"/>
      <c r="J5" s="770"/>
      <c r="K5" s="770"/>
    </row>
    <row r="6" spans="1:11" x14ac:dyDescent="0.2">
      <c r="A6" s="771" t="s">
        <v>719</v>
      </c>
      <c r="B6" s="772"/>
      <c r="C6" s="772"/>
      <c r="D6" s="772"/>
      <c r="E6" s="773"/>
      <c r="F6" s="774" t="s">
        <v>848</v>
      </c>
      <c r="G6" s="761"/>
      <c r="H6" s="761">
        <v>175</v>
      </c>
      <c r="I6" s="761"/>
      <c r="J6" s="762">
        <f>2717+347+1</f>
        <v>3065</v>
      </c>
      <c r="K6" s="762"/>
    </row>
    <row r="7" spans="1:11" x14ac:dyDescent="0.2">
      <c r="A7" s="775" t="s">
        <v>246</v>
      </c>
      <c r="B7" s="776"/>
      <c r="C7" s="776"/>
      <c r="D7" s="776"/>
      <c r="E7" s="777"/>
      <c r="F7" s="767" t="s">
        <v>849</v>
      </c>
      <c r="G7" s="764"/>
      <c r="H7" s="764"/>
      <c r="I7" s="764"/>
      <c r="J7" s="778"/>
      <c r="K7" s="762"/>
    </row>
    <row r="8" spans="1:11" x14ac:dyDescent="0.2">
      <c r="A8" s="775" t="s">
        <v>344</v>
      </c>
      <c r="B8" s="776"/>
      <c r="C8" s="776"/>
      <c r="D8" s="776"/>
      <c r="E8" s="777"/>
      <c r="F8" s="767" t="s">
        <v>850</v>
      </c>
      <c r="G8" s="779"/>
      <c r="H8" s="779"/>
      <c r="I8" s="779"/>
      <c r="J8" s="762">
        <f>857843+542339</f>
        <v>1400182</v>
      </c>
      <c r="K8" s="766"/>
    </row>
    <row r="9" spans="1:11" x14ac:dyDescent="0.2">
      <c r="A9" s="775" t="s">
        <v>138</v>
      </c>
      <c r="B9" s="776"/>
      <c r="C9" s="776"/>
      <c r="D9" s="776"/>
      <c r="E9" s="777"/>
      <c r="F9" s="774" t="s">
        <v>852</v>
      </c>
      <c r="G9" s="779"/>
      <c r="H9" s="768"/>
      <c r="I9" s="768"/>
      <c r="J9" s="778"/>
      <c r="K9" s="762"/>
    </row>
    <row r="10" spans="1:11" x14ac:dyDescent="0.2">
      <c r="A10" s="2336" t="s">
        <v>1809</v>
      </c>
      <c r="B10" s="2337"/>
      <c r="C10" s="2337"/>
      <c r="D10" s="2337"/>
      <c r="E10" s="2339"/>
      <c r="F10" s="780" t="s">
        <v>861</v>
      </c>
      <c r="G10" s="779"/>
      <c r="H10" s="781"/>
      <c r="I10" s="761"/>
      <c r="J10" s="762"/>
      <c r="K10" s="762"/>
    </row>
    <row r="11" spans="1:11" x14ac:dyDescent="0.2">
      <c r="A11" s="2336" t="s">
        <v>160</v>
      </c>
      <c r="B11" s="2337"/>
      <c r="C11" s="2337"/>
      <c r="D11" s="2337"/>
      <c r="E11" s="2338"/>
      <c r="F11" s="767" t="s">
        <v>851</v>
      </c>
      <c r="G11" s="768"/>
      <c r="H11" s="761"/>
      <c r="I11" s="761"/>
      <c r="J11" s="762"/>
      <c r="K11" s="770"/>
    </row>
    <row r="12" spans="1:11" ht="13.5" thickBot="1" x14ac:dyDescent="0.25">
      <c r="A12" s="2363" t="s">
        <v>904</v>
      </c>
      <c r="B12" s="2364"/>
      <c r="C12" s="2364"/>
      <c r="D12" s="2364"/>
      <c r="E12" s="2365"/>
      <c r="F12" s="1754"/>
      <c r="G12" s="1755">
        <f>SUM(G5:G11)</f>
        <v>0</v>
      </c>
      <c r="H12" s="1755">
        <f>SUM(H5:H11)</f>
        <v>358311</v>
      </c>
      <c r="I12" s="1755">
        <f>SUM(I5:I11)</f>
        <v>0</v>
      </c>
      <c r="J12" s="1755">
        <f>SUM(J5:J11)</f>
        <v>1403247</v>
      </c>
      <c r="K12" s="1755">
        <f>SUM(K5:K11)</f>
        <v>0</v>
      </c>
    </row>
    <row r="13" spans="1:11" ht="13.5" thickTop="1" x14ac:dyDescent="0.2">
      <c r="A13" s="2360" t="s">
        <v>369</v>
      </c>
      <c r="B13" s="2361"/>
      <c r="C13" s="2361"/>
      <c r="D13" s="2361"/>
      <c r="E13" s="2362"/>
      <c r="F13" s="782"/>
      <c r="G13" s="783"/>
      <c r="H13" s="784"/>
      <c r="I13" s="785"/>
      <c r="J13" s="785"/>
      <c r="K13" s="785"/>
    </row>
    <row r="14" spans="1:11" x14ac:dyDescent="0.2">
      <c r="A14" s="2343" t="s">
        <v>455</v>
      </c>
      <c r="B14" s="2343"/>
      <c r="C14" s="2343"/>
      <c r="D14" s="2343"/>
      <c r="E14" s="2344"/>
      <c r="F14" s="786" t="s">
        <v>853</v>
      </c>
      <c r="G14" s="779"/>
      <c r="H14" s="761">
        <v>358311</v>
      </c>
      <c r="I14" s="768"/>
      <c r="J14" s="770"/>
      <c r="K14" s="762"/>
    </row>
    <row r="15" spans="1:11" x14ac:dyDescent="0.2">
      <c r="A15" s="2337" t="s">
        <v>4</v>
      </c>
      <c r="B15" s="2337"/>
      <c r="C15" s="2337"/>
      <c r="D15" s="2337"/>
      <c r="E15" s="2338"/>
      <c r="F15" s="786" t="s">
        <v>854</v>
      </c>
      <c r="G15" s="768"/>
      <c r="H15" s="761"/>
      <c r="I15" s="761"/>
      <c r="J15" s="762">
        <f>756733+347</f>
        <v>757080</v>
      </c>
      <c r="K15" s="762"/>
    </row>
    <row r="16" spans="1:11" x14ac:dyDescent="0.2">
      <c r="A16" s="2337" t="s">
        <v>297</v>
      </c>
      <c r="B16" s="2337"/>
      <c r="C16" s="2337"/>
      <c r="D16" s="2337"/>
      <c r="E16" s="2338"/>
      <c r="F16" s="786" t="s">
        <v>922</v>
      </c>
      <c r="G16" s="769"/>
      <c r="H16" s="764"/>
      <c r="I16" s="764"/>
      <c r="J16" s="766"/>
      <c r="K16" s="766"/>
    </row>
    <row r="17" spans="1:11" x14ac:dyDescent="0.2">
      <c r="A17" s="2368" t="s">
        <v>934</v>
      </c>
      <c r="B17" s="2368"/>
      <c r="C17" s="2368"/>
      <c r="D17" s="2368"/>
      <c r="E17" s="2369"/>
      <c r="F17" s="787"/>
      <c r="G17" s="788"/>
      <c r="H17" s="789"/>
      <c r="I17" s="789"/>
      <c r="J17" s="790"/>
      <c r="K17" s="791"/>
    </row>
    <row r="18" spans="1:11" x14ac:dyDescent="0.2">
      <c r="A18" s="2347" t="s">
        <v>367</v>
      </c>
      <c r="B18" s="2348"/>
      <c r="C18" s="2348"/>
      <c r="D18" s="2348"/>
      <c r="E18" s="2349"/>
      <c r="F18" s="786" t="s">
        <v>931</v>
      </c>
      <c r="G18" s="779"/>
      <c r="H18" s="779"/>
      <c r="I18" s="779"/>
      <c r="J18" s="762">
        <v>299835</v>
      </c>
      <c r="K18" s="792"/>
    </row>
    <row r="19" spans="1:11" ht="21.75" customHeight="1" x14ac:dyDescent="0.2">
      <c r="A19" s="2345" t="s">
        <v>1805</v>
      </c>
      <c r="B19" s="2345"/>
      <c r="C19" s="2345"/>
      <c r="D19" s="2345"/>
      <c r="E19" s="2346"/>
      <c r="F19" s="786" t="s">
        <v>932</v>
      </c>
      <c r="G19" s="779"/>
      <c r="H19" s="779"/>
      <c r="I19" s="779"/>
      <c r="J19" s="762"/>
      <c r="K19" s="792"/>
    </row>
    <row r="20" spans="1:11" x14ac:dyDescent="0.2">
      <c r="A20" s="2347" t="s">
        <v>1810</v>
      </c>
      <c r="B20" s="2348"/>
      <c r="C20" s="2348"/>
      <c r="D20" s="2348"/>
      <c r="E20" s="2349"/>
      <c r="F20" s="786" t="s">
        <v>933</v>
      </c>
      <c r="G20" s="779"/>
      <c r="H20" s="779"/>
      <c r="I20" s="779"/>
      <c r="J20" s="762"/>
      <c r="K20" s="792"/>
    </row>
    <row r="21" spans="1:11" ht="13.5" thickBot="1" x14ac:dyDescent="0.25">
      <c r="A21" s="2366" t="s">
        <v>637</v>
      </c>
      <c r="B21" s="2366"/>
      <c r="C21" s="2366"/>
      <c r="D21" s="2366"/>
      <c r="E21" s="2366"/>
      <c r="F21" s="1756"/>
      <c r="G21" s="789"/>
      <c r="H21" s="793"/>
      <c r="I21" s="793"/>
      <c r="J21" s="1757">
        <f>SUM(J18:J20)</f>
        <v>299835</v>
      </c>
      <c r="K21" s="790"/>
    </row>
    <row r="22" spans="1:11" ht="13.5" thickTop="1" x14ac:dyDescent="0.2">
      <c r="A22" s="2337" t="s">
        <v>1811</v>
      </c>
      <c r="B22" s="2337"/>
      <c r="C22" s="2337"/>
      <c r="D22" s="2337"/>
      <c r="E22" s="2338"/>
      <c r="F22" s="786" t="s">
        <v>861</v>
      </c>
      <c r="G22" s="779"/>
      <c r="H22" s="761"/>
      <c r="I22" s="761"/>
      <c r="J22" s="794">
        <v>750</v>
      </c>
      <c r="K22" s="762"/>
    </row>
    <row r="23" spans="1:11" ht="13.5" thickBot="1" x14ac:dyDescent="0.25">
      <c r="A23" s="2367" t="s">
        <v>905</v>
      </c>
      <c r="B23" s="2366"/>
      <c r="C23" s="2366"/>
      <c r="D23" s="2366"/>
      <c r="E23" s="2366"/>
      <c r="F23" s="1758"/>
      <c r="G23" s="1755">
        <f>SUM(G14:G16,G21,G22)</f>
        <v>0</v>
      </c>
      <c r="H23" s="1755">
        <f>SUM(H14:H16,H21,H22)</f>
        <v>358311</v>
      </c>
      <c r="I23" s="1755">
        <f>SUM(I14:I16,I21,I22)</f>
        <v>0</v>
      </c>
      <c r="J23" s="1755">
        <f>SUM(J14:J16,J21,J22)</f>
        <v>1057665</v>
      </c>
      <c r="K23" s="1755">
        <f>SUM(K14:K16,K21,K22)</f>
        <v>0</v>
      </c>
    </row>
    <row r="24" spans="1:11" ht="14.25" thickTop="1" thickBot="1" x14ac:dyDescent="0.25">
      <c r="A24" s="2367" t="s">
        <v>1961</v>
      </c>
      <c r="B24" s="2366"/>
      <c r="C24" s="2366"/>
      <c r="D24" s="2366"/>
      <c r="E24" s="2366"/>
      <c r="F24" s="1759"/>
      <c r="G24" s="1760">
        <f>SUM(G3,G12)-G23</f>
        <v>0</v>
      </c>
      <c r="H24" s="1760">
        <f>SUM(H3,H12)-H23</f>
        <v>0</v>
      </c>
      <c r="I24" s="1760">
        <f>SUM(I3,I12)-I23</f>
        <v>0</v>
      </c>
      <c r="J24" s="1760">
        <f>SUM(J3,J12)-J23</f>
        <v>1279976</v>
      </c>
      <c r="K24" s="1760">
        <f>SUM(K3,K12)-K23</f>
        <v>0</v>
      </c>
    </row>
    <row r="25" spans="1:11" ht="13.5" thickTop="1" x14ac:dyDescent="0.2">
      <c r="A25" s="795" t="s">
        <v>419</v>
      </c>
      <c r="B25" s="796"/>
      <c r="C25" s="796"/>
      <c r="D25" s="796"/>
      <c r="E25" s="797"/>
      <c r="F25" s="798">
        <v>714</v>
      </c>
      <c r="G25" s="799"/>
      <c r="H25" s="799"/>
      <c r="I25" s="799"/>
      <c r="J25" s="794">
        <v>1279976</v>
      </c>
      <c r="K25" s="794"/>
    </row>
    <row r="26" spans="1:11" ht="13.5" thickBot="1" x14ac:dyDescent="0.25">
      <c r="A26" s="795" t="s">
        <v>341</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1906</v>
      </c>
      <c r="B28" s="1878"/>
      <c r="C28" s="1878"/>
      <c r="D28" s="1878"/>
      <c r="E28" s="1879"/>
      <c r="F28" s="800"/>
      <c r="G28" s="801"/>
    </row>
    <row r="29" spans="1:11" x14ac:dyDescent="0.2">
      <c r="B29" s="498"/>
      <c r="C29" s="498"/>
      <c r="D29" s="498"/>
      <c r="F29" s="202"/>
      <c r="G29" s="802"/>
    </row>
    <row r="30" spans="1:11" x14ac:dyDescent="0.2">
      <c r="A30" s="803" t="s">
        <v>571</v>
      </c>
      <c r="B30" s="804"/>
      <c r="C30" s="803" t="s">
        <v>382</v>
      </c>
      <c r="D30" s="804"/>
      <c r="E30" s="805" t="s">
        <v>767</v>
      </c>
      <c r="F30" s="202"/>
      <c r="G30" s="802"/>
    </row>
    <row r="31" spans="1:11" x14ac:dyDescent="0.2">
      <c r="A31" s="806"/>
      <c r="D31" s="237"/>
      <c r="E31" s="807" t="s">
        <v>768</v>
      </c>
      <c r="F31" s="808" t="s">
        <v>538</v>
      </c>
      <c r="G31" s="761"/>
      <c r="H31" s="2340"/>
      <c r="I31" s="2341"/>
      <c r="J31" s="2341"/>
      <c r="K31" s="2341"/>
    </row>
    <row r="32" spans="1:11" x14ac:dyDescent="0.2">
      <c r="A32" s="806"/>
      <c r="B32" s="237"/>
      <c r="C32" s="237"/>
      <c r="D32" s="237"/>
      <c r="E32" s="802"/>
      <c r="F32" s="808" t="s">
        <v>539</v>
      </c>
      <c r="G32" s="761"/>
      <c r="H32" s="2342"/>
      <c r="I32" s="2341"/>
      <c r="J32" s="2341"/>
      <c r="K32" s="2341"/>
    </row>
    <row r="33" spans="1:11" ht="1.5" customHeight="1" x14ac:dyDescent="0.2">
      <c r="A33" s="809" t="s">
        <v>1168</v>
      </c>
      <c r="B33" s="364"/>
      <c r="C33" s="364"/>
      <c r="D33" s="364"/>
      <c r="E33" s="364"/>
      <c r="F33" s="364"/>
      <c r="G33" s="810"/>
      <c r="H33" s="2342"/>
      <c r="I33" s="2341"/>
      <c r="J33" s="2341"/>
      <c r="K33" s="2341"/>
    </row>
    <row r="34" spans="1:11" x14ac:dyDescent="0.2">
      <c r="A34" s="811" t="s">
        <v>1812</v>
      </c>
      <c r="B34" s="364"/>
      <c r="C34" s="364"/>
      <c r="D34" s="364"/>
      <c r="E34" s="364"/>
      <c r="F34" s="364"/>
      <c r="G34" s="810"/>
    </row>
    <row r="35" spans="1:11" ht="15" x14ac:dyDescent="0.2">
      <c r="A35" s="822" t="s">
        <v>906</v>
      </c>
      <c r="B35" s="812"/>
      <c r="C35" s="812"/>
      <c r="D35" s="812"/>
      <c r="E35" s="812"/>
      <c r="F35" s="812"/>
      <c r="G35" s="813"/>
      <c r="H35" s="814"/>
    </row>
    <row r="36" spans="1:11" x14ac:dyDescent="0.2">
      <c r="A36" s="775" t="s">
        <v>1108</v>
      </c>
      <c r="B36" s="815"/>
      <c r="C36" s="815"/>
      <c r="D36" s="815"/>
      <c r="E36" s="815"/>
      <c r="F36" s="816"/>
      <c r="G36" s="762"/>
    </row>
    <row r="37" spans="1:11" x14ac:dyDescent="0.2">
      <c r="A37" s="817" t="s">
        <v>895</v>
      </c>
      <c r="B37" s="815"/>
      <c r="C37" s="815"/>
      <c r="D37" s="815"/>
      <c r="E37" s="815"/>
      <c r="F37" s="816"/>
      <c r="G37" s="762"/>
    </row>
    <row r="38" spans="1:11" x14ac:dyDescent="0.2">
      <c r="A38" s="817" t="s">
        <v>992</v>
      </c>
      <c r="B38" s="815"/>
      <c r="C38" s="815"/>
      <c r="D38" s="815"/>
      <c r="E38" s="815"/>
      <c r="F38" s="816"/>
      <c r="G38" s="762"/>
    </row>
    <row r="39" spans="1:11" x14ac:dyDescent="0.2">
      <c r="A39" s="817" t="s">
        <v>993</v>
      </c>
      <c r="B39" s="815"/>
      <c r="C39" s="815"/>
      <c r="D39" s="815"/>
      <c r="E39" s="815"/>
      <c r="F39" s="816"/>
      <c r="G39" s="762"/>
    </row>
    <row r="40" spans="1:11" x14ac:dyDescent="0.2">
      <c r="A40" s="817" t="s">
        <v>994</v>
      </c>
      <c r="B40" s="815"/>
      <c r="C40" s="815"/>
      <c r="D40" s="815"/>
      <c r="E40" s="815"/>
      <c r="F40" s="816"/>
      <c r="G40" s="762"/>
    </row>
    <row r="41" spans="1:11" x14ac:dyDescent="0.2">
      <c r="A41" s="2337" t="s">
        <v>540</v>
      </c>
      <c r="B41" s="2350"/>
      <c r="C41" s="2350"/>
      <c r="D41" s="2350"/>
      <c r="E41" s="2350"/>
      <c r="F41" s="2351"/>
      <c r="G41" s="762"/>
    </row>
    <row r="42" spans="1:11" x14ac:dyDescent="0.2">
      <c r="A42" s="817" t="s">
        <v>969</v>
      </c>
      <c r="B42" s="815"/>
      <c r="C42" s="815"/>
      <c r="D42" s="815"/>
      <c r="E42" s="815"/>
      <c r="F42" s="816"/>
      <c r="G42" s="762"/>
    </row>
    <row r="43" spans="1:11" x14ac:dyDescent="0.2">
      <c r="A43" s="817" t="s">
        <v>970</v>
      </c>
      <c r="B43" s="815"/>
      <c r="C43" s="815"/>
      <c r="D43" s="815"/>
      <c r="E43" s="815"/>
      <c r="F43" s="816"/>
      <c r="G43" s="762"/>
    </row>
    <row r="44" spans="1:11" x14ac:dyDescent="0.2">
      <c r="A44" s="817" t="s">
        <v>971</v>
      </c>
      <c r="B44" s="815"/>
      <c r="C44" s="815"/>
      <c r="D44" s="815"/>
      <c r="E44" s="815"/>
      <c r="F44" s="816"/>
      <c r="G44" s="762"/>
    </row>
    <row r="45" spans="1:11" ht="6.75" customHeight="1" x14ac:dyDescent="0.2"/>
    <row r="46" spans="1:11" ht="15" x14ac:dyDescent="0.2">
      <c r="A46" s="1528" t="s">
        <v>1806</v>
      </c>
      <c r="B46" s="408" t="s">
        <v>1674</v>
      </c>
    </row>
    <row r="47" spans="1:11" s="820" customFormat="1" ht="12.75" customHeight="1" x14ac:dyDescent="0.2">
      <c r="A47" s="818"/>
      <c r="B47" s="819" t="s">
        <v>1675</v>
      </c>
      <c r="E47" s="819"/>
      <c r="K47" s="821"/>
    </row>
    <row r="48" spans="1:11" ht="12.75" customHeight="1" x14ac:dyDescent="0.2">
      <c r="A48" s="1529"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72" t="s">
        <v>1905</v>
      </c>
      <c r="B1" s="2373"/>
      <c r="C1" s="2374"/>
      <c r="D1" s="823"/>
      <c r="E1" s="824"/>
      <c r="F1" s="824"/>
      <c r="G1" s="825"/>
      <c r="H1" s="826"/>
      <c r="I1" s="827"/>
      <c r="J1" s="2370"/>
      <c r="K1" s="2371"/>
      <c r="L1" s="2371"/>
    </row>
    <row r="2" spans="1:14" ht="69.75" customHeight="1" x14ac:dyDescent="0.2">
      <c r="A2" s="828" t="s">
        <v>1677</v>
      </c>
      <c r="B2" s="829" t="s">
        <v>377</v>
      </c>
      <c r="C2" s="830" t="s">
        <v>1962</v>
      </c>
      <c r="D2" s="830" t="s">
        <v>1963</v>
      </c>
      <c r="E2" s="830" t="s">
        <v>1964</v>
      </c>
      <c r="F2" s="830" t="s">
        <v>1965</v>
      </c>
      <c r="G2" s="830" t="s">
        <v>604</v>
      </c>
      <c r="H2" s="830" t="s">
        <v>1966</v>
      </c>
      <c r="I2" s="830" t="s">
        <v>1967</v>
      </c>
      <c r="J2" s="830" t="s">
        <v>1968</v>
      </c>
      <c r="K2" s="830" t="s">
        <v>1969</v>
      </c>
      <c r="L2" s="830" t="s">
        <v>1970</v>
      </c>
      <c r="M2" s="831"/>
      <c r="N2" s="831"/>
    </row>
    <row r="3" spans="1:14" ht="13.5" thickBot="1" x14ac:dyDescent="0.25">
      <c r="A3" s="1626" t="s">
        <v>891</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892</v>
      </c>
      <c r="B5" s="837">
        <v>221</v>
      </c>
      <c r="C5" s="838">
        <v>2812408</v>
      </c>
      <c r="D5" s="838"/>
      <c r="E5" s="838"/>
      <c r="F5" s="1757">
        <f>(C5+D5)-E5</f>
        <v>2812408</v>
      </c>
      <c r="G5" s="834"/>
      <c r="H5" s="839"/>
      <c r="I5" s="839"/>
      <c r="J5" s="839"/>
      <c r="K5" s="790"/>
      <c r="L5" s="1766">
        <f>F5-K5</f>
        <v>2812408</v>
      </c>
    </row>
    <row r="6" spans="1:14" ht="14.25" thickTop="1" thickBot="1" x14ac:dyDescent="0.25">
      <c r="A6" s="775" t="s">
        <v>1116</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1117</v>
      </c>
      <c r="B8" s="837">
        <v>231</v>
      </c>
      <c r="C8" s="841">
        <v>105525437</v>
      </c>
      <c r="D8" s="841">
        <v>586972</v>
      </c>
      <c r="E8" s="841"/>
      <c r="F8" s="1757">
        <f>(C8+D8)-E8</f>
        <v>106112409</v>
      </c>
      <c r="G8" s="840">
        <v>50</v>
      </c>
      <c r="H8" s="762">
        <v>27578035</v>
      </c>
      <c r="I8" s="762">
        <v>2093235</v>
      </c>
      <c r="J8" s="762"/>
      <c r="K8" s="1766">
        <f>(H8+I8)-J8</f>
        <v>29671270</v>
      </c>
      <c r="L8" s="1766">
        <f>F8-K8</f>
        <v>76441139</v>
      </c>
    </row>
    <row r="9" spans="1:14" ht="14.25" thickTop="1" thickBot="1" x14ac:dyDescent="0.25">
      <c r="A9" s="775" t="s">
        <v>1118</v>
      </c>
      <c r="B9" s="837">
        <v>232</v>
      </c>
      <c r="C9" s="762">
        <v>630824</v>
      </c>
      <c r="D9" s="762"/>
      <c r="E9" s="762"/>
      <c r="F9" s="1757">
        <f>(C9+D9)-E9</f>
        <v>630824</v>
      </c>
      <c r="G9" s="840">
        <v>20</v>
      </c>
      <c r="H9" s="762">
        <v>133531</v>
      </c>
      <c r="I9" s="762">
        <v>31541</v>
      </c>
      <c r="J9" s="762"/>
      <c r="K9" s="1766">
        <f>(H9+I9)-J9</f>
        <v>165072</v>
      </c>
      <c r="L9" s="1766">
        <f>F9-K9</f>
        <v>465752</v>
      </c>
    </row>
    <row r="10" spans="1:14" ht="24" thickTop="1" thickBot="1" x14ac:dyDescent="0.25">
      <c r="A10" s="842" t="s">
        <v>1119</v>
      </c>
      <c r="B10" s="837">
        <v>240</v>
      </c>
      <c r="C10" s="843">
        <v>11142699</v>
      </c>
      <c r="D10" s="843">
        <v>51002</v>
      </c>
      <c r="E10" s="843"/>
      <c r="F10" s="1761">
        <f>(C10+D10)-E10</f>
        <v>11193701</v>
      </c>
      <c r="G10" s="840">
        <v>20</v>
      </c>
      <c r="H10" s="844">
        <v>4703330</v>
      </c>
      <c r="I10" s="844">
        <v>556297</v>
      </c>
      <c r="J10" s="844"/>
      <c r="K10" s="1766">
        <f>(H10+I10)-J10</f>
        <v>5259627</v>
      </c>
      <c r="L10" s="1766">
        <f>F10-K10</f>
        <v>5934074</v>
      </c>
    </row>
    <row r="11" spans="1:14" ht="13.5" thickTop="1" x14ac:dyDescent="0.2">
      <c r="A11" s="1629" t="s">
        <v>1135</v>
      </c>
      <c r="B11" s="1627">
        <v>250</v>
      </c>
      <c r="C11" s="778"/>
      <c r="D11" s="778"/>
      <c r="E11" s="778"/>
      <c r="F11" s="770"/>
      <c r="G11" s="840"/>
      <c r="H11" s="778"/>
      <c r="I11" s="778"/>
      <c r="J11" s="778"/>
      <c r="K11" s="770"/>
      <c r="L11" s="770"/>
    </row>
    <row r="12" spans="1:14" ht="13.5" thickBot="1" x14ac:dyDescent="0.25">
      <c r="A12" s="845" t="s">
        <v>1120</v>
      </c>
      <c r="B12" s="837">
        <v>251</v>
      </c>
      <c r="C12" s="841">
        <v>8640106</v>
      </c>
      <c r="D12" s="841">
        <v>1017386</v>
      </c>
      <c r="E12" s="841">
        <v>1031662</v>
      </c>
      <c r="F12" s="1757">
        <f>(C12+D12)-E12</f>
        <v>8625830</v>
      </c>
      <c r="G12" s="840">
        <v>10</v>
      </c>
      <c r="H12" s="762">
        <v>5138713</v>
      </c>
      <c r="I12" s="762">
        <v>862584</v>
      </c>
      <c r="J12" s="762">
        <v>1031662</v>
      </c>
      <c r="K12" s="1766">
        <f>(H12+I12)-J12</f>
        <v>4969635</v>
      </c>
      <c r="L12" s="1766">
        <f>F12-K12</f>
        <v>3656195</v>
      </c>
    </row>
    <row r="13" spans="1:14" ht="14.25" thickTop="1" thickBot="1" x14ac:dyDescent="0.25">
      <c r="A13" s="845" t="s">
        <v>1121</v>
      </c>
      <c r="B13" s="837">
        <v>252</v>
      </c>
      <c r="C13" s="841">
        <v>4064580</v>
      </c>
      <c r="D13" s="841">
        <v>378483</v>
      </c>
      <c r="E13" s="841"/>
      <c r="F13" s="1757">
        <f>(C13+D13)-E13</f>
        <v>4443063</v>
      </c>
      <c r="G13" s="840">
        <v>5</v>
      </c>
      <c r="H13" s="762">
        <v>3583150</v>
      </c>
      <c r="I13" s="762">
        <v>251051</v>
      </c>
      <c r="J13" s="762"/>
      <c r="K13" s="1766">
        <f>(H13+I13)-J13</f>
        <v>3834201</v>
      </c>
      <c r="L13" s="1766">
        <f>F13-K13</f>
        <v>608862</v>
      </c>
    </row>
    <row r="14" spans="1:14" ht="14.25" thickTop="1" thickBot="1" x14ac:dyDescent="0.25">
      <c r="A14" s="845" t="s">
        <v>1122</v>
      </c>
      <c r="B14" s="837">
        <v>253</v>
      </c>
      <c r="C14" s="762">
        <v>78152</v>
      </c>
      <c r="D14" s="762">
        <v>0</v>
      </c>
      <c r="E14" s="762"/>
      <c r="F14" s="1757">
        <f>(C14+D14)-E14</f>
        <v>78152</v>
      </c>
      <c r="G14" s="840">
        <v>3</v>
      </c>
      <c r="H14" s="762">
        <v>74502</v>
      </c>
      <c r="I14" s="762">
        <v>3649</v>
      </c>
      <c r="J14" s="762"/>
      <c r="K14" s="1766">
        <f>(H14+I14)-J14</f>
        <v>78151</v>
      </c>
      <c r="L14" s="1766">
        <f>F14-K14</f>
        <v>1</v>
      </c>
    </row>
    <row r="15" spans="1:14" ht="15" customHeight="1" thickTop="1" thickBot="1" x14ac:dyDescent="0.25">
      <c r="A15" s="1628" t="s">
        <v>527</v>
      </c>
      <c r="B15" s="1627">
        <v>260</v>
      </c>
      <c r="C15" s="841">
        <v>481056</v>
      </c>
      <c r="D15" s="841">
        <v>5966623</v>
      </c>
      <c r="E15" s="841"/>
      <c r="F15" s="1757">
        <f>(C15+D15)-E15</f>
        <v>6447679</v>
      </c>
      <c r="G15" s="846" t="s">
        <v>861</v>
      </c>
      <c r="H15" s="778"/>
      <c r="I15" s="778"/>
      <c r="J15" s="778"/>
      <c r="K15" s="778"/>
      <c r="L15" s="1766">
        <f>F15-K15</f>
        <v>6447679</v>
      </c>
    </row>
    <row r="16" spans="1:14" ht="15" customHeight="1" thickTop="1" thickBot="1" x14ac:dyDescent="0.25">
      <c r="A16" s="1762" t="s">
        <v>642</v>
      </c>
      <c r="B16" s="1763">
        <v>200</v>
      </c>
      <c r="C16" s="1757">
        <f>SUM(C3,C5:C6,C8:C10,C12:C15)</f>
        <v>133375262</v>
      </c>
      <c r="D16" s="1757">
        <f>SUM(D3,D5:D6,D8:D10,D12:D15)</f>
        <v>8000466</v>
      </c>
      <c r="E16" s="1757">
        <f>SUM(E3,E5:E6,E8:E10,E12:E15)</f>
        <v>1031662</v>
      </c>
      <c r="F16" s="1757">
        <f>SUM(F3,F5:F6,F8:F10,F12:F15)</f>
        <v>140344066</v>
      </c>
      <c r="G16" s="840"/>
      <c r="H16" s="1757">
        <f>SUM(H3,H6,H8:H10,H12:H14,)</f>
        <v>41211261</v>
      </c>
      <c r="I16" s="1757">
        <f>SUM(I3,I6,I8:I10,I12:I14,)</f>
        <v>3798357</v>
      </c>
      <c r="J16" s="1757">
        <f>SUM(J3,J6,J8:J10,J12:J14,)</f>
        <v>1031662</v>
      </c>
      <c r="K16" s="1757">
        <f>(H16+I16)-J16</f>
        <v>43977956</v>
      </c>
      <c r="L16" s="1757">
        <f>F16-K16</f>
        <v>96366110</v>
      </c>
    </row>
    <row r="17" spans="1:12" ht="15" customHeight="1" thickTop="1" thickBot="1" x14ac:dyDescent="0.25">
      <c r="A17" s="1630" t="s">
        <v>290</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684</v>
      </c>
      <c r="B18" s="1765"/>
      <c r="C18" s="768"/>
      <c r="D18" s="768"/>
      <c r="E18" s="768"/>
      <c r="F18" s="847"/>
      <c r="G18" s="848"/>
      <c r="H18" s="770"/>
      <c r="I18" s="1757">
        <f>SUM(I16,I17)</f>
        <v>3798357</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5" sqref="A5:F5"/>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78" t="s">
        <v>1971</v>
      </c>
      <c r="B1" s="2379"/>
      <c r="C1" s="2379"/>
      <c r="D1" s="2379"/>
      <c r="E1" s="2379"/>
      <c r="F1" s="2380"/>
      <c r="G1" s="852"/>
    </row>
    <row r="2" spans="1:7" ht="15" customHeight="1" thickBot="1" x14ac:dyDescent="0.25">
      <c r="A2" s="2381" t="s">
        <v>476</v>
      </c>
      <c r="B2" s="2382"/>
      <c r="C2" s="2382"/>
      <c r="D2" s="2382"/>
      <c r="E2" s="2382"/>
      <c r="F2" s="2383"/>
      <c r="G2" s="854"/>
    </row>
    <row r="3" spans="1:7" ht="5.25" customHeight="1" thickTop="1" x14ac:dyDescent="0.2">
      <c r="A3" s="855"/>
      <c r="B3" s="856"/>
      <c r="C3" s="857"/>
      <c r="D3" s="856"/>
      <c r="E3" s="857"/>
      <c r="F3" s="856"/>
      <c r="G3" s="856"/>
    </row>
    <row r="4" spans="1:7" ht="12.2" customHeight="1" x14ac:dyDescent="0.2">
      <c r="A4" s="858" t="s">
        <v>1076</v>
      </c>
      <c r="B4" s="859" t="s">
        <v>115</v>
      </c>
      <c r="D4" s="861" t="s">
        <v>510</v>
      </c>
      <c r="F4" s="859" t="s">
        <v>864</v>
      </c>
    </row>
    <row r="5" spans="1:7" ht="7.5" customHeight="1" x14ac:dyDescent="0.2">
      <c r="A5" s="2384"/>
      <c r="B5" s="2385"/>
      <c r="C5" s="2385"/>
      <c r="D5" s="2385"/>
      <c r="E5" s="2385"/>
      <c r="F5" s="2385"/>
    </row>
    <row r="6" spans="1:7" ht="13.5" customHeight="1" thickBot="1" x14ac:dyDescent="0.25">
      <c r="A6" s="2375" t="s">
        <v>1103</v>
      </c>
      <c r="B6" s="2376"/>
      <c r="C6" s="2376"/>
      <c r="D6" s="2376"/>
      <c r="E6" s="2376"/>
      <c r="F6" s="2377"/>
      <c r="G6" s="862"/>
    </row>
    <row r="7" spans="1:7" s="862" customFormat="1" ht="12" thickTop="1" x14ac:dyDescent="0.2">
      <c r="A7" s="863" t="s">
        <v>501</v>
      </c>
      <c r="B7" s="864"/>
      <c r="C7" s="865"/>
      <c r="D7" s="864"/>
      <c r="E7" s="865"/>
      <c r="F7" s="864"/>
    </row>
    <row r="8" spans="1:7" x14ac:dyDescent="0.2">
      <c r="A8" s="866" t="s">
        <v>458</v>
      </c>
      <c r="B8" s="867" t="s">
        <v>1467</v>
      </c>
      <c r="C8" s="868"/>
      <c r="D8" s="866" t="s">
        <v>500</v>
      </c>
      <c r="E8" s="865" t="s">
        <v>957</v>
      </c>
      <c r="F8" s="1905">
        <f>'Expenditures 15-22'!K114</f>
        <v>32319911</v>
      </c>
      <c r="G8" s="862"/>
    </row>
    <row r="9" spans="1:7" x14ac:dyDescent="0.2">
      <c r="A9" s="866" t="s">
        <v>459</v>
      </c>
      <c r="B9" s="867" t="s">
        <v>1873</v>
      </c>
      <c r="C9" s="868"/>
      <c r="D9" s="866" t="s">
        <v>500</v>
      </c>
      <c r="E9" s="865"/>
      <c r="F9" s="1906">
        <f>'Expenditures 15-22'!K151</f>
        <v>3981305</v>
      </c>
      <c r="G9" s="869"/>
    </row>
    <row r="10" spans="1:7" x14ac:dyDescent="0.2">
      <c r="A10" s="866" t="s">
        <v>498</v>
      </c>
      <c r="B10" s="867" t="s">
        <v>1874</v>
      </c>
      <c r="C10" s="868"/>
      <c r="D10" s="866" t="s">
        <v>500</v>
      </c>
      <c r="E10" s="865"/>
      <c r="F10" s="1906">
        <f>'Expenditures 15-22'!K174</f>
        <v>5977904</v>
      </c>
      <c r="G10" s="869"/>
    </row>
    <row r="11" spans="1:7" x14ac:dyDescent="0.2">
      <c r="A11" s="866" t="s">
        <v>460</v>
      </c>
      <c r="B11" s="867" t="s">
        <v>1875</v>
      </c>
      <c r="C11" s="868"/>
      <c r="D11" s="866" t="s">
        <v>500</v>
      </c>
      <c r="E11" s="865"/>
      <c r="F11" s="1906">
        <f>'Expenditures 15-22'!K210</f>
        <v>2323576</v>
      </c>
      <c r="G11" s="869"/>
    </row>
    <row r="12" spans="1:7" x14ac:dyDescent="0.2">
      <c r="A12" s="866" t="s">
        <v>461</v>
      </c>
      <c r="B12" s="867" t="s">
        <v>1876</v>
      </c>
      <c r="C12" s="868"/>
      <c r="D12" s="866" t="s">
        <v>500</v>
      </c>
      <c r="E12" s="865"/>
      <c r="F12" s="1906">
        <f>'Expenditures 15-22'!K295</f>
        <v>1312899</v>
      </c>
      <c r="G12" s="869"/>
    </row>
    <row r="13" spans="1:7" x14ac:dyDescent="0.2">
      <c r="A13" s="866" t="s">
        <v>106</v>
      </c>
      <c r="B13" s="867" t="s">
        <v>1877</v>
      </c>
      <c r="C13" s="868"/>
      <c r="D13" s="866" t="s">
        <v>500</v>
      </c>
      <c r="E13" s="865"/>
      <c r="F13" s="1906">
        <f>'Expenditures 15-22'!K342</f>
        <v>1007131</v>
      </c>
      <c r="G13" s="870"/>
    </row>
    <row r="14" spans="1:7" ht="12" customHeight="1" thickBot="1" x14ac:dyDescent="0.25">
      <c r="A14" s="1767"/>
      <c r="B14" s="1768"/>
      <c r="C14" s="1769"/>
      <c r="D14" s="1770" t="s">
        <v>500</v>
      </c>
      <c r="E14" s="1771" t="s">
        <v>957</v>
      </c>
      <c r="F14" s="1772">
        <f>SUM(F8:F13)</f>
        <v>46922726</v>
      </c>
      <c r="G14" s="862"/>
    </row>
    <row r="15" spans="1:7" ht="3.75" customHeight="1" thickTop="1" x14ac:dyDescent="0.2">
      <c r="A15" s="862"/>
      <c r="B15" s="862"/>
      <c r="C15" s="868"/>
      <c r="D15" s="862"/>
      <c r="E15" s="865"/>
      <c r="F15" s="862"/>
      <c r="G15" s="862"/>
    </row>
    <row r="16" spans="1:7" ht="12" customHeight="1" x14ac:dyDescent="0.2">
      <c r="A16" s="871" t="s">
        <v>511</v>
      </c>
      <c r="B16" s="231"/>
      <c r="C16" s="231"/>
      <c r="D16" s="864"/>
      <c r="E16" s="865"/>
      <c r="F16" s="864"/>
      <c r="G16" s="862"/>
    </row>
    <row r="17" spans="1:7" ht="4.5" customHeight="1" x14ac:dyDescent="0.2">
      <c r="A17" s="871"/>
      <c r="B17" s="231"/>
      <c r="C17" s="231"/>
      <c r="D17" s="864"/>
      <c r="E17" s="865"/>
      <c r="F17" s="864"/>
      <c r="G17" s="862"/>
    </row>
    <row r="18" spans="1:7" x14ac:dyDescent="0.2">
      <c r="A18" s="866" t="s">
        <v>460</v>
      </c>
      <c r="B18" s="867" t="s">
        <v>1009</v>
      </c>
      <c r="C18" s="872">
        <f>'Revenues 9-14'!B43</f>
        <v>1412</v>
      </c>
      <c r="D18" s="873" t="str">
        <f>'Revenues 9-14'!A43</f>
        <v>Regular - Transp Fees from Other Districts (In State)</v>
      </c>
      <c r="E18" s="865" t="s">
        <v>957</v>
      </c>
      <c r="F18" s="1907">
        <f>'Revenues 9-14'!F43</f>
        <v>0</v>
      </c>
      <c r="G18" s="862"/>
    </row>
    <row r="19" spans="1:7" x14ac:dyDescent="0.2">
      <c r="A19" s="866" t="s">
        <v>460</v>
      </c>
      <c r="B19" s="867" t="s">
        <v>1010</v>
      </c>
      <c r="C19" s="874">
        <f>'Revenues 9-14'!B47</f>
        <v>1421</v>
      </c>
      <c r="D19" s="875" t="str">
        <f>'Revenues 9-14'!A47</f>
        <v>Summer Sch - Transp. Fees from Pupils or Parents (In State)</v>
      </c>
      <c r="E19" s="876"/>
      <c r="F19" s="1908">
        <f>'Revenues 9-14'!F47</f>
        <v>0</v>
      </c>
      <c r="G19" s="862"/>
    </row>
    <row r="20" spans="1:7" x14ac:dyDescent="0.2">
      <c r="A20" s="866" t="s">
        <v>460</v>
      </c>
      <c r="B20" s="867" t="s">
        <v>1011</v>
      </c>
      <c r="C20" s="872">
        <f>'Revenues 9-14'!B48</f>
        <v>1422</v>
      </c>
      <c r="D20" s="873" t="str">
        <f>'Revenues 9-14'!A48</f>
        <v>Summer Sch - Transp. Fees from Other Districts (In State)</v>
      </c>
      <c r="E20" s="865"/>
      <c r="F20" s="1909">
        <f>'Revenues 9-14'!F48</f>
        <v>0</v>
      </c>
      <c r="G20" s="862"/>
    </row>
    <row r="21" spans="1:7" x14ac:dyDescent="0.2">
      <c r="A21" s="866" t="s">
        <v>460</v>
      </c>
      <c r="B21" s="867" t="s">
        <v>1012</v>
      </c>
      <c r="C21" s="874">
        <f>'Revenues 9-14'!B49</f>
        <v>1423</v>
      </c>
      <c r="D21" s="873" t="str">
        <f>'Revenues 9-14'!A49</f>
        <v>Summer Sch - Transp. Fees from Other Sources (In State)</v>
      </c>
      <c r="E21" s="865"/>
      <c r="F21" s="1910">
        <f>'Revenues 9-14'!F49</f>
        <v>0</v>
      </c>
      <c r="G21" s="862"/>
    </row>
    <row r="22" spans="1:7" x14ac:dyDescent="0.2">
      <c r="A22" s="866" t="s">
        <v>460</v>
      </c>
      <c r="B22" s="867" t="s">
        <v>1013</v>
      </c>
      <c r="C22" s="874">
        <f>'Revenues 9-14'!B50</f>
        <v>1424</v>
      </c>
      <c r="D22" s="873" t="str">
        <f>'Revenues 9-14'!A50</f>
        <v>Summer Sch - Transp. Fees from Other Sources (Out of State)</v>
      </c>
      <c r="E22" s="865"/>
      <c r="F22" s="1910">
        <f>'Revenues 9-14'!F50</f>
        <v>0</v>
      </c>
      <c r="G22" s="862"/>
    </row>
    <row r="23" spans="1:7" x14ac:dyDescent="0.2">
      <c r="A23" s="866" t="s">
        <v>460</v>
      </c>
      <c r="B23" s="867" t="s">
        <v>1014</v>
      </c>
      <c r="C23" s="872">
        <f>'Revenues 9-14'!B52</f>
        <v>1432</v>
      </c>
      <c r="D23" s="873" t="str">
        <f>'Revenues 9-14'!A52</f>
        <v>CTE - Transp Fees from Other Districts (In State)</v>
      </c>
      <c r="E23" s="865"/>
      <c r="F23" s="1910">
        <f>'Revenues 9-14'!F52</f>
        <v>0</v>
      </c>
      <c r="G23" s="862"/>
    </row>
    <row r="24" spans="1:7" x14ac:dyDescent="0.2">
      <c r="A24" s="866" t="s">
        <v>460</v>
      </c>
      <c r="B24" s="867" t="s">
        <v>1015</v>
      </c>
      <c r="C24" s="872">
        <f>'Revenues 9-14'!B56</f>
        <v>1442</v>
      </c>
      <c r="D24" s="873" t="str">
        <f>'Revenues 9-14'!A56</f>
        <v>Special Ed - Transp Fees from Other Districts (In State)</v>
      </c>
      <c r="E24" s="865"/>
      <c r="F24" s="1910">
        <f>'Revenues 9-14'!F56</f>
        <v>0</v>
      </c>
      <c r="G24" s="862"/>
    </row>
    <row r="25" spans="1:7" x14ac:dyDescent="0.2">
      <c r="A25" s="866" t="s">
        <v>460</v>
      </c>
      <c r="B25" s="867" t="s">
        <v>1016</v>
      </c>
      <c r="C25" s="872">
        <f>'Revenues 9-14'!B59</f>
        <v>1451</v>
      </c>
      <c r="D25" s="873" t="str">
        <f>'Revenues 9-14'!A59</f>
        <v>Adult - Transp Fees from Pupils or Parents (In State)</v>
      </c>
      <c r="E25" s="865"/>
      <c r="F25" s="1910">
        <f>'Revenues 9-14'!F59</f>
        <v>0</v>
      </c>
      <c r="G25" s="862"/>
    </row>
    <row r="26" spans="1:7" x14ac:dyDescent="0.2">
      <c r="A26" s="866" t="s">
        <v>460</v>
      </c>
      <c r="B26" s="867" t="s">
        <v>1017</v>
      </c>
      <c r="C26" s="872">
        <f>'Revenues 9-14'!B60</f>
        <v>1452</v>
      </c>
      <c r="D26" s="873" t="str">
        <f>'Revenues 9-14'!A60</f>
        <v>Adult - Transp Fees from Other Districts (In State)</v>
      </c>
      <c r="E26" s="865"/>
      <c r="F26" s="1910">
        <f>'Revenues 9-14'!F60</f>
        <v>0</v>
      </c>
      <c r="G26" s="862"/>
    </row>
    <row r="27" spans="1:7" x14ac:dyDescent="0.2">
      <c r="A27" s="866" t="s">
        <v>460</v>
      </c>
      <c r="B27" s="867" t="s">
        <v>1018</v>
      </c>
      <c r="C27" s="872">
        <f>'Revenues 9-14'!B61</f>
        <v>1453</v>
      </c>
      <c r="D27" s="873" t="str">
        <f>'Revenues 9-14'!A61</f>
        <v>Adult - Transp Fees from Other Sources (In State)</v>
      </c>
      <c r="E27" s="865"/>
      <c r="F27" s="1910">
        <f>'Revenues 9-14'!F61</f>
        <v>0</v>
      </c>
      <c r="G27" s="862"/>
    </row>
    <row r="28" spans="1:7" x14ac:dyDescent="0.2">
      <c r="A28" s="866" t="s">
        <v>460</v>
      </c>
      <c r="B28" s="867" t="s">
        <v>1019</v>
      </c>
      <c r="C28" s="872">
        <f>'Revenues 9-14'!B62</f>
        <v>1454</v>
      </c>
      <c r="D28" s="873" t="str">
        <f>'Revenues 9-14'!A62</f>
        <v>Adult - Transp Fees from Other Sources (Out of State)</v>
      </c>
      <c r="E28" s="865"/>
      <c r="F28" s="1910">
        <f>'Revenues 9-14'!F62</f>
        <v>0</v>
      </c>
      <c r="G28" s="862"/>
    </row>
    <row r="29" spans="1:7" x14ac:dyDescent="0.2">
      <c r="A29" s="866" t="s">
        <v>1096</v>
      </c>
      <c r="B29" s="867" t="s">
        <v>809</v>
      </c>
      <c r="C29" s="877">
        <f>'Revenues 9-14'!B149</f>
        <v>3410</v>
      </c>
      <c r="D29" s="878" t="str">
        <f>'Revenues 9-14'!A149</f>
        <v>Adult Ed (from ICCB)</v>
      </c>
      <c r="E29" s="865"/>
      <c r="F29" s="1910">
        <f>SUM('Revenues 9-14'!D149,'Revenues 9-14'!F149)</f>
        <v>0</v>
      </c>
      <c r="G29" s="862"/>
    </row>
    <row r="30" spans="1:7" x14ac:dyDescent="0.2">
      <c r="A30" s="866" t="s">
        <v>1096</v>
      </c>
      <c r="B30" s="867" t="s">
        <v>1995</v>
      </c>
      <c r="C30" s="877">
        <f>'Revenues 9-14'!B150</f>
        <v>3499</v>
      </c>
      <c r="D30" s="878" t="str">
        <f>'Revenues 9-14'!A150</f>
        <v>Adult Ed - Other (Describe &amp; Itemize)</v>
      </c>
      <c r="E30" s="865"/>
      <c r="F30" s="1911">
        <f>('Revenues 9-14'!D150+'Revenues 9-14'!F150)</f>
        <v>0</v>
      </c>
      <c r="G30" s="862"/>
    </row>
    <row r="31" spans="1:7" x14ac:dyDescent="0.2">
      <c r="A31" s="866" t="s">
        <v>1096</v>
      </c>
      <c r="B31" s="867" t="s">
        <v>1996</v>
      </c>
      <c r="C31" s="872">
        <f>'Revenues 9-14'!B211</f>
        <v>4600</v>
      </c>
      <c r="D31" s="880" t="str">
        <f>'Revenues 9-14'!A211</f>
        <v>Fed - Spec Education - Preschool Flow-Through</v>
      </c>
      <c r="E31" s="881"/>
      <c r="F31" s="1910">
        <f>SUM('Revenues 9-14'!D211,'Revenues 9-14'!F211)</f>
        <v>0</v>
      </c>
      <c r="G31" s="862"/>
    </row>
    <row r="32" spans="1:7" x14ac:dyDescent="0.2">
      <c r="A32" s="866" t="s">
        <v>1096</v>
      </c>
      <c r="B32" s="867" t="s">
        <v>1997</v>
      </c>
      <c r="C32" s="872">
        <f>'Revenues 9-14'!B212</f>
        <v>4605</v>
      </c>
      <c r="D32" s="882" t="str">
        <f>'Revenues 9-14'!A212</f>
        <v>Fed - Spec Education - Preschool Discretionary</v>
      </c>
      <c r="E32" s="881"/>
      <c r="F32" s="1910">
        <f>SUM('Revenues 9-14'!D212,'Revenues 9-14'!F212)</f>
        <v>0</v>
      </c>
      <c r="G32" s="862"/>
    </row>
    <row r="33" spans="1:7" x14ac:dyDescent="0.2">
      <c r="A33" s="866" t="s">
        <v>459</v>
      </c>
      <c r="B33" s="867" t="s">
        <v>1998</v>
      </c>
      <c r="C33" s="872">
        <f>'Revenues 9-14'!B222</f>
        <v>4810</v>
      </c>
      <c r="D33" s="880" t="str">
        <f>'Revenues 9-14'!A222</f>
        <v>Federal - Adult Education</v>
      </c>
      <c r="E33" s="865"/>
      <c r="F33" s="1910">
        <f>'Revenues 9-14'!D222</f>
        <v>0</v>
      </c>
      <c r="G33" s="862"/>
    </row>
    <row r="34" spans="1:7" x14ac:dyDescent="0.2">
      <c r="A34" s="866" t="s">
        <v>458</v>
      </c>
      <c r="B34" s="866" t="s">
        <v>1468</v>
      </c>
      <c r="C34" s="883" t="str">
        <f>'Expenditures 15-22'!B7</f>
        <v>1125</v>
      </c>
      <c r="D34" s="884" t="str">
        <f>'Expenditures 15-22'!A7</f>
        <v>Pre-K Programs</v>
      </c>
      <c r="E34" s="865"/>
      <c r="F34" s="1910">
        <f>'Expenditures 15-22'!K7-SUM('Expenditures 15-22'!G7,'Expenditures 15-22'!I7)</f>
        <v>98285</v>
      </c>
      <c r="G34" s="862"/>
    </row>
    <row r="35" spans="1:7" x14ac:dyDescent="0.2">
      <c r="A35" s="866" t="s">
        <v>458</v>
      </c>
      <c r="B35" s="866" t="s">
        <v>1469</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458</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458</v>
      </c>
      <c r="B37" s="866" t="s">
        <v>1470</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458</v>
      </c>
      <c r="B38" s="866" t="s">
        <v>1471</v>
      </c>
      <c r="C38" s="883">
        <f>'Expenditures 15-22'!B15</f>
        <v>1600</v>
      </c>
      <c r="D38" s="885" t="str">
        <f>'Expenditures 15-22'!A15</f>
        <v>Summer School Programs</v>
      </c>
      <c r="E38" s="865"/>
      <c r="F38" s="1910">
        <f>'Expenditures 15-22'!K15-SUM('Expenditures 15-22'!G15,'Expenditures 15-22'!I15)</f>
        <v>0</v>
      </c>
      <c r="G38" s="862"/>
    </row>
    <row r="39" spans="1:7" x14ac:dyDescent="0.2">
      <c r="A39" s="866" t="s">
        <v>458</v>
      </c>
      <c r="B39" s="866" t="s">
        <v>117</v>
      </c>
      <c r="C39" s="883" t="str">
        <f>'Expenditures 15-22'!B20</f>
        <v>1910</v>
      </c>
      <c r="D39" s="885" t="str">
        <f>'Expenditures 15-22'!A20</f>
        <v>Pre-K Programs - Private Tuition</v>
      </c>
      <c r="E39" s="865"/>
      <c r="F39" s="1910">
        <f>'Expenditures 15-22'!K20</f>
        <v>0</v>
      </c>
      <c r="G39" s="862"/>
    </row>
    <row r="40" spans="1:7" x14ac:dyDescent="0.2">
      <c r="A40" s="866" t="s">
        <v>458</v>
      </c>
      <c r="B40" s="866" t="s">
        <v>118</v>
      </c>
      <c r="C40" s="883" t="str">
        <f>'Expenditures 15-22'!B21</f>
        <v>1911</v>
      </c>
      <c r="D40" s="885" t="str">
        <f>'Expenditures 15-22'!A21</f>
        <v>Regular K-12 Programs - Private Tuition</v>
      </c>
      <c r="E40" s="865"/>
      <c r="F40" s="1910">
        <f>'Expenditures 15-22'!K21</f>
        <v>0</v>
      </c>
      <c r="G40" s="862"/>
    </row>
    <row r="41" spans="1:7" x14ac:dyDescent="0.2">
      <c r="A41" s="866" t="s">
        <v>458</v>
      </c>
      <c r="B41" s="866" t="s">
        <v>119</v>
      </c>
      <c r="C41" s="883" t="str">
        <f>'Expenditures 15-22'!B22</f>
        <v>1912</v>
      </c>
      <c r="D41" s="885" t="str">
        <f>'Expenditures 15-22'!A22</f>
        <v>Special Education Programs K-12 - Private Tuition</v>
      </c>
      <c r="E41" s="865"/>
      <c r="F41" s="1910">
        <f>'Expenditures 15-22'!K22</f>
        <v>275059</v>
      </c>
      <c r="G41" s="862"/>
    </row>
    <row r="42" spans="1:7" x14ac:dyDescent="0.2">
      <c r="A42" s="866" t="s">
        <v>458</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458</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458</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458</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458</v>
      </c>
      <c r="B46" s="866" t="s">
        <v>124</v>
      </c>
      <c r="C46" s="883" t="str">
        <f>'Expenditures 15-22'!B27</f>
        <v>1917</v>
      </c>
      <c r="D46" s="885" t="str">
        <f>'Expenditures 15-22'!A27</f>
        <v>CTE Programs - Private Tuition</v>
      </c>
      <c r="E46" s="865"/>
      <c r="F46" s="1910">
        <f>'Expenditures 15-22'!K27</f>
        <v>0</v>
      </c>
      <c r="G46" s="862"/>
    </row>
    <row r="47" spans="1:7" x14ac:dyDescent="0.2">
      <c r="A47" s="866" t="s">
        <v>458</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458</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458</v>
      </c>
      <c r="B49" s="866" t="s">
        <v>127</v>
      </c>
      <c r="C49" s="883" t="str">
        <f>'Expenditures 15-22'!B30</f>
        <v>1920</v>
      </c>
      <c r="D49" s="885" t="str">
        <f>'Expenditures 15-22'!A30</f>
        <v>Gifted Programs - Private Tuition</v>
      </c>
      <c r="E49" s="865"/>
      <c r="F49" s="1910">
        <f>'Expenditures 15-22'!K30</f>
        <v>0</v>
      </c>
      <c r="G49" s="862"/>
    </row>
    <row r="50" spans="1:7" x14ac:dyDescent="0.2">
      <c r="A50" s="866" t="s">
        <v>458</v>
      </c>
      <c r="B50" s="866" t="s">
        <v>128</v>
      </c>
      <c r="C50" s="883" t="str">
        <f>'Expenditures 15-22'!B31</f>
        <v>1921</v>
      </c>
      <c r="D50" s="885" t="str">
        <f>'Expenditures 15-22'!A31</f>
        <v>Bilingual Programs - Private Tuition</v>
      </c>
      <c r="E50" s="865"/>
      <c r="F50" s="1910">
        <f>'Expenditures 15-22'!K31</f>
        <v>0</v>
      </c>
      <c r="G50" s="862"/>
    </row>
    <row r="51" spans="1:7" x14ac:dyDescent="0.2">
      <c r="A51" s="866" t="s">
        <v>458</v>
      </c>
      <c r="B51" s="866" t="s">
        <v>1472</v>
      </c>
      <c r="C51" s="883" t="str">
        <f>'Expenditures 15-22'!B32</f>
        <v>1922</v>
      </c>
      <c r="D51" s="885" t="str">
        <f>'Expenditures 15-22'!A32</f>
        <v>Truants Alternative/Optional Ed Progms - Private Tuition</v>
      </c>
      <c r="E51" s="865"/>
      <c r="F51" s="1910">
        <f>'Expenditures 15-22'!K32</f>
        <v>0</v>
      </c>
      <c r="G51" s="862"/>
    </row>
    <row r="52" spans="1:7" x14ac:dyDescent="0.2">
      <c r="A52" s="866" t="s">
        <v>458</v>
      </c>
      <c r="B52" s="866" t="s">
        <v>1473</v>
      </c>
      <c r="C52" s="886" t="str">
        <f>'Expenditures 15-22'!B75</f>
        <v>3000</v>
      </c>
      <c r="D52" s="885" t="s">
        <v>448</v>
      </c>
      <c r="E52" s="865"/>
      <c r="F52" s="1910">
        <f>'Expenditures 15-22'!K75-SUM('Expenditures 15-22'!G75,'Expenditures 15-22'!I75)</f>
        <v>2084</v>
      </c>
      <c r="G52" s="862"/>
    </row>
    <row r="53" spans="1:7" x14ac:dyDescent="0.2">
      <c r="A53" s="866" t="s">
        <v>458</v>
      </c>
      <c r="B53" s="866" t="s">
        <v>1474</v>
      </c>
      <c r="C53" s="886">
        <f>'Expenditures 15-22'!B102</f>
        <v>4000</v>
      </c>
      <c r="D53" s="885" t="str">
        <f>'Expenditures 15-22'!A102</f>
        <v>Total Payments to Other Govt Units</v>
      </c>
      <c r="E53" s="865"/>
      <c r="F53" s="1910">
        <f>'Expenditures 15-22'!K102</f>
        <v>1329378</v>
      </c>
      <c r="G53" s="862"/>
    </row>
    <row r="54" spans="1:7" x14ac:dyDescent="0.2">
      <c r="A54" s="866" t="s">
        <v>458</v>
      </c>
      <c r="B54" s="866" t="s">
        <v>1475</v>
      </c>
      <c r="C54" s="886" t="s">
        <v>981</v>
      </c>
      <c r="D54" s="882" t="s">
        <v>1094</v>
      </c>
      <c r="E54" s="865"/>
      <c r="F54" s="1910">
        <f>'Expenditures 15-22'!G114</f>
        <v>653049</v>
      </c>
      <c r="G54" s="862"/>
    </row>
    <row r="55" spans="1:7" x14ac:dyDescent="0.2">
      <c r="A55" s="866" t="s">
        <v>458</v>
      </c>
      <c r="B55" s="866" t="s">
        <v>1476</v>
      </c>
      <c r="C55" s="886" t="s">
        <v>981</v>
      </c>
      <c r="D55" s="882" t="s">
        <v>290</v>
      </c>
      <c r="E55" s="865"/>
      <c r="F55" s="1910">
        <f>'Expenditures 15-22'!I114</f>
        <v>0</v>
      </c>
      <c r="G55" s="862"/>
    </row>
    <row r="56" spans="1:7" x14ac:dyDescent="0.2">
      <c r="A56" s="866" t="s">
        <v>459</v>
      </c>
      <c r="B56" s="866" t="s">
        <v>1477</v>
      </c>
      <c r="C56" s="883" t="str">
        <f>'Expenditures 15-22'!B130</f>
        <v>3000</v>
      </c>
      <c r="D56" s="889" t="s">
        <v>448</v>
      </c>
      <c r="E56" s="865"/>
      <c r="F56" s="1910">
        <f>'Expenditures 15-22'!K130-SUM('Expenditures 15-22'!G130+'Expenditures 15-22'!I130)</f>
        <v>0</v>
      </c>
      <c r="G56" s="862"/>
    </row>
    <row r="57" spans="1:7" x14ac:dyDescent="0.2">
      <c r="A57" s="866" t="s">
        <v>459</v>
      </c>
      <c r="B57" s="866" t="s">
        <v>1878</v>
      </c>
      <c r="C57" s="886">
        <f>'Expenditures 15-22'!B139</f>
        <v>4000</v>
      </c>
      <c r="D57" s="884" t="str">
        <f>'Expenditures 15-22'!A139</f>
        <v>Total Payments to Other Govt Units</v>
      </c>
      <c r="E57" s="865"/>
      <c r="F57" s="1910">
        <f>'Expenditures 15-22'!K139</f>
        <v>0</v>
      </c>
      <c r="G57" s="862"/>
    </row>
    <row r="58" spans="1:7" x14ac:dyDescent="0.2">
      <c r="A58" s="866" t="s">
        <v>459</v>
      </c>
      <c r="B58" s="866" t="s">
        <v>1879</v>
      </c>
      <c r="C58" s="883" t="s">
        <v>981</v>
      </c>
      <c r="D58" s="882" t="s">
        <v>1094</v>
      </c>
      <c r="E58" s="865"/>
      <c r="F58" s="1912">
        <f>'Expenditures 15-22'!G151</f>
        <v>393823</v>
      </c>
      <c r="G58" s="862"/>
    </row>
    <row r="59" spans="1:7" x14ac:dyDescent="0.2">
      <c r="A59" s="890" t="s">
        <v>459</v>
      </c>
      <c r="B59" s="853" t="s">
        <v>1880</v>
      </c>
      <c r="C59" s="891" t="s">
        <v>981</v>
      </c>
      <c r="D59" s="853" t="s">
        <v>290</v>
      </c>
      <c r="F59" s="1913">
        <f>'Expenditures 15-22'!I151</f>
        <v>0</v>
      </c>
      <c r="G59" s="862"/>
    </row>
    <row r="60" spans="1:7" x14ac:dyDescent="0.2">
      <c r="A60" s="890" t="s">
        <v>498</v>
      </c>
      <c r="B60" s="853" t="s">
        <v>1881</v>
      </c>
      <c r="C60" s="891">
        <v>4000</v>
      </c>
      <c r="D60" s="853" t="s">
        <v>311</v>
      </c>
      <c r="F60" s="1911">
        <f>'Expenditures 15-22'!K160</f>
        <v>0</v>
      </c>
      <c r="G60" s="862"/>
    </row>
    <row r="61" spans="1:7" x14ac:dyDescent="0.2">
      <c r="A61" s="892" t="s">
        <v>498</v>
      </c>
      <c r="B61" s="892" t="s">
        <v>1882</v>
      </c>
      <c r="C61" s="893" t="str">
        <f>'Expenditures 15-22'!B170</f>
        <v>5300</v>
      </c>
      <c r="D61" s="894" t="s">
        <v>310</v>
      </c>
      <c r="E61" s="876"/>
      <c r="F61" s="1910">
        <f>'Expenditures 15-22'!K170</f>
        <v>3505000</v>
      </c>
      <c r="G61" s="862"/>
    </row>
    <row r="62" spans="1:7" x14ac:dyDescent="0.2">
      <c r="A62" s="866" t="s">
        <v>460</v>
      </c>
      <c r="B62" s="866" t="s">
        <v>1883</v>
      </c>
      <c r="C62" s="883">
        <f>'Expenditures 15-22'!B185</f>
        <v>3000</v>
      </c>
      <c r="D62" s="873" t="s">
        <v>448</v>
      </c>
      <c r="E62" s="865"/>
      <c r="F62" s="1910">
        <f>'Expenditures 15-22'!K185-SUM('Expenditures 15-22'!G185,'Expenditures 15-22'!I185)</f>
        <v>0</v>
      </c>
      <c r="G62" s="862"/>
    </row>
    <row r="63" spans="1:7" x14ac:dyDescent="0.2">
      <c r="A63" s="866" t="s">
        <v>460</v>
      </c>
      <c r="B63" s="866" t="s">
        <v>1884</v>
      </c>
      <c r="C63" s="883" t="str">
        <f>'Expenditures 15-22'!B196</f>
        <v>4000</v>
      </c>
      <c r="D63" s="884" t="str">
        <f>'Expenditures 15-22'!A196</f>
        <v>Total Payments to Other Govt Units</v>
      </c>
      <c r="E63" s="865"/>
      <c r="F63" s="1910">
        <f>'Expenditures 15-22'!K196</f>
        <v>0</v>
      </c>
      <c r="G63" s="862"/>
    </row>
    <row r="64" spans="1:7" x14ac:dyDescent="0.2">
      <c r="A64" s="892" t="s">
        <v>460</v>
      </c>
      <c r="B64" s="892" t="s">
        <v>1885</v>
      </c>
      <c r="C64" s="893" t="str">
        <f>'Expenditures 15-22'!B206</f>
        <v>5300</v>
      </c>
      <c r="D64" s="889" t="s">
        <v>310</v>
      </c>
      <c r="E64" s="865"/>
      <c r="F64" s="1910">
        <f>'Expenditures 15-22'!K206</f>
        <v>0</v>
      </c>
      <c r="G64" s="862"/>
    </row>
    <row r="65" spans="1:8" x14ac:dyDescent="0.2">
      <c r="A65" s="866" t="s">
        <v>460</v>
      </c>
      <c r="B65" s="866" t="s">
        <v>1886</v>
      </c>
      <c r="C65" s="883" t="s">
        <v>981</v>
      </c>
      <c r="D65" s="882" t="s">
        <v>1094</v>
      </c>
      <c r="E65" s="865"/>
      <c r="F65" s="1910">
        <f>'Expenditures 15-22'!G210</f>
        <v>378483</v>
      </c>
      <c r="G65" s="862"/>
    </row>
    <row r="66" spans="1:8" x14ac:dyDescent="0.2">
      <c r="A66" s="866" t="s">
        <v>460</v>
      </c>
      <c r="B66" s="866" t="s">
        <v>1887</v>
      </c>
      <c r="C66" s="883" t="s">
        <v>981</v>
      </c>
      <c r="D66" s="882" t="s">
        <v>290</v>
      </c>
      <c r="E66" s="865"/>
      <c r="F66" s="1910">
        <f>'Expenditures 15-22'!I210</f>
        <v>0</v>
      </c>
      <c r="G66" s="862"/>
    </row>
    <row r="67" spans="1:8" x14ac:dyDescent="0.2">
      <c r="A67" s="866" t="s">
        <v>461</v>
      </c>
      <c r="B67" s="866" t="s">
        <v>1888</v>
      </c>
      <c r="C67" s="883" t="str">
        <f>'Expenditures 15-22'!B216</f>
        <v>1125</v>
      </c>
      <c r="D67" s="889" t="str">
        <f>'Expenditures 15-22'!A216</f>
        <v>Pre-K Programs</v>
      </c>
      <c r="E67" s="865"/>
      <c r="F67" s="1910">
        <f>'Expenditures 15-22'!K216</f>
        <v>6201</v>
      </c>
      <c r="G67" s="862"/>
    </row>
    <row r="68" spans="1:8" x14ac:dyDescent="0.2">
      <c r="A68" s="866" t="s">
        <v>461</v>
      </c>
      <c r="B68" s="866" t="s">
        <v>1478</v>
      </c>
      <c r="C68" s="883" t="str">
        <f>'Expenditures 15-22'!B218</f>
        <v>1225</v>
      </c>
      <c r="D68" s="889" t="str">
        <f>'Expenditures 15-22'!A218</f>
        <v>Special Education Programs - Pre-K</v>
      </c>
      <c r="E68" s="865"/>
      <c r="F68" s="1910">
        <f>'Expenditures 15-22'!K218</f>
        <v>0</v>
      </c>
      <c r="G68" s="862"/>
    </row>
    <row r="69" spans="1:8" x14ac:dyDescent="0.2">
      <c r="A69" s="866" t="s">
        <v>461</v>
      </c>
      <c r="B69" s="866" t="s">
        <v>1889</v>
      </c>
      <c r="C69" s="883" t="str">
        <f>'Expenditures 15-22'!B220</f>
        <v>1275</v>
      </c>
      <c r="D69" s="889" t="str">
        <f>'Expenditures 15-22'!A220</f>
        <v>Remedial and Supplemental Programs - Pre-K</v>
      </c>
      <c r="E69" s="865"/>
      <c r="F69" s="1910">
        <f>'Expenditures 15-22'!K220</f>
        <v>0</v>
      </c>
      <c r="G69" s="862"/>
    </row>
    <row r="70" spans="1:8" x14ac:dyDescent="0.2">
      <c r="A70" s="866" t="s">
        <v>461</v>
      </c>
      <c r="B70" s="866" t="s">
        <v>1890</v>
      </c>
      <c r="C70" s="883">
        <f>'Expenditures 15-22'!B221</f>
        <v>1300</v>
      </c>
      <c r="D70" s="884" t="str">
        <f>'Expenditures 15-22'!A221</f>
        <v>Adult/Continuing Education Programs</v>
      </c>
      <c r="E70" s="865"/>
      <c r="F70" s="1910">
        <f>'Expenditures 15-22'!K221</f>
        <v>0</v>
      </c>
      <c r="G70" s="862"/>
    </row>
    <row r="71" spans="1:8" x14ac:dyDescent="0.2">
      <c r="A71" s="866" t="s">
        <v>461</v>
      </c>
      <c r="B71" s="866" t="s">
        <v>1891</v>
      </c>
      <c r="C71" s="883">
        <f>'Expenditures 15-22'!B224</f>
        <v>1600</v>
      </c>
      <c r="D71" s="884" t="str">
        <f>'Expenditures 15-22'!A224</f>
        <v>Summer School Programs</v>
      </c>
      <c r="E71" s="865"/>
      <c r="F71" s="1910">
        <f>'Expenditures 15-22'!K224</f>
        <v>0</v>
      </c>
      <c r="G71" s="862"/>
    </row>
    <row r="72" spans="1:8" x14ac:dyDescent="0.2">
      <c r="A72" s="866" t="s">
        <v>461</v>
      </c>
      <c r="B72" s="866" t="s">
        <v>1892</v>
      </c>
      <c r="C72" s="883">
        <f>'Expenditures 15-22'!B280</f>
        <v>3000</v>
      </c>
      <c r="D72" s="873" t="s">
        <v>448</v>
      </c>
      <c r="E72" s="865"/>
      <c r="F72" s="1910">
        <f>'Expenditures 15-22'!K280</f>
        <v>0</v>
      </c>
      <c r="G72" s="862"/>
    </row>
    <row r="73" spans="1:8" x14ac:dyDescent="0.2">
      <c r="A73" s="866" t="s">
        <v>461</v>
      </c>
      <c r="B73" s="866" t="s">
        <v>1893</v>
      </c>
      <c r="C73" s="883" t="str">
        <f>'Expenditures 15-22'!B285</f>
        <v>4000</v>
      </c>
      <c r="D73" s="884" t="str">
        <f>'Expenditures 15-22'!A285</f>
        <v>Total Payments to Other Govt Units</v>
      </c>
      <c r="E73" s="865"/>
      <c r="F73" s="1910">
        <f>'Expenditures 15-22'!K285</f>
        <v>0</v>
      </c>
      <c r="G73" s="862"/>
    </row>
    <row r="74" spans="1:8" x14ac:dyDescent="0.2">
      <c r="A74" s="866" t="s">
        <v>435</v>
      </c>
      <c r="B74" s="866" t="s">
        <v>1894</v>
      </c>
      <c r="C74" s="883" t="s">
        <v>859</v>
      </c>
      <c r="D74" s="884" t="s">
        <v>1486</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1895</v>
      </c>
      <c r="E76" s="1771" t="s">
        <v>957</v>
      </c>
      <c r="F76" s="1775">
        <f>SUM(F18:F74)</f>
        <v>6641362</v>
      </c>
      <c r="G76" s="862"/>
    </row>
    <row r="77" spans="1:8" s="890" customFormat="1" ht="12" customHeight="1" thickTop="1" thickBot="1" x14ac:dyDescent="0.25">
      <c r="A77" s="1776"/>
      <c r="B77" s="1773"/>
      <c r="C77" s="1769"/>
      <c r="D77" s="1774" t="s">
        <v>1896</v>
      </c>
      <c r="E77" s="1771"/>
      <c r="F77" s="1777">
        <f>(F14-F76)</f>
        <v>40281364</v>
      </c>
      <c r="G77" s="866"/>
    </row>
    <row r="78" spans="1:8" s="890" customFormat="1" ht="12" customHeight="1" thickTop="1" x14ac:dyDescent="0.2">
      <c r="A78" s="1778"/>
      <c r="B78" s="1773"/>
      <c r="C78" s="1769"/>
      <c r="D78" s="1774" t="s">
        <v>2058</v>
      </c>
      <c r="E78" s="1771"/>
      <c r="F78" s="895">
        <v>4010.1</v>
      </c>
      <c r="G78" s="896"/>
      <c r="H78" s="866"/>
    </row>
    <row r="79" spans="1:8" s="890" customFormat="1" ht="12" customHeight="1" thickBot="1" x14ac:dyDescent="0.25">
      <c r="A79" s="1779"/>
      <c r="B79" s="1773"/>
      <c r="C79" s="1769"/>
      <c r="D79" s="1774" t="s">
        <v>1897</v>
      </c>
      <c r="E79" s="1771" t="s">
        <v>957</v>
      </c>
      <c r="F79" s="1780">
        <f>IF(F78&gt;0,F77/F78," Complete Line 78")</f>
        <v>10044.97743198424</v>
      </c>
      <c r="G79" s="866"/>
    </row>
    <row r="80" spans="1:8" s="890" customFormat="1" ht="8.25" customHeight="1" thickTop="1" x14ac:dyDescent="0.2">
      <c r="A80" s="897"/>
      <c r="B80" s="866"/>
      <c r="C80" s="868"/>
      <c r="D80" s="898"/>
      <c r="E80" s="865"/>
      <c r="F80" s="899"/>
      <c r="G80" s="866"/>
    </row>
    <row r="81" spans="1:7" s="890" customFormat="1" ht="12" thickBot="1" x14ac:dyDescent="0.25">
      <c r="A81" s="2375" t="s">
        <v>1104</v>
      </c>
      <c r="B81" s="2376"/>
      <c r="C81" s="2376"/>
      <c r="D81" s="2376"/>
      <c r="E81" s="2376"/>
      <c r="F81" s="2377"/>
      <c r="G81" s="866"/>
    </row>
    <row r="82" spans="1:7" s="890" customFormat="1" ht="5.25" customHeight="1" thickTop="1" x14ac:dyDescent="0.2">
      <c r="A82" s="866"/>
      <c r="B82" s="866"/>
      <c r="C82" s="868"/>
      <c r="D82" s="866"/>
      <c r="E82" s="868"/>
      <c r="F82" s="866"/>
      <c r="G82" s="900"/>
    </row>
    <row r="83" spans="1:7" ht="12" customHeight="1" x14ac:dyDescent="0.2">
      <c r="A83" s="901" t="s">
        <v>812</v>
      </c>
      <c r="B83" s="902"/>
      <c r="C83" s="903"/>
      <c r="D83" s="904"/>
      <c r="E83" s="903"/>
      <c r="F83" s="902"/>
      <c r="G83" s="902"/>
    </row>
    <row r="84" spans="1:7" x14ac:dyDescent="0.2">
      <c r="A84" s="905" t="s">
        <v>460</v>
      </c>
      <c r="B84" s="906" t="s">
        <v>146</v>
      </c>
      <c r="C84" s="907">
        <f>'Revenues 9-14'!B42</f>
        <v>1411</v>
      </c>
      <c r="D84" s="908" t="str">
        <f>'Revenues 9-14'!A42</f>
        <v>Regular -Transp Fees from Pupils or Parents (In State)</v>
      </c>
      <c r="E84" s="903" t="s">
        <v>957</v>
      </c>
      <c r="F84" s="1904">
        <f>'Revenues 9-14'!F42</f>
        <v>0</v>
      </c>
      <c r="G84" s="909"/>
    </row>
    <row r="85" spans="1:7" x14ac:dyDescent="0.2">
      <c r="A85" s="905" t="s">
        <v>460</v>
      </c>
      <c r="B85" s="905" t="s">
        <v>183</v>
      </c>
      <c r="C85" s="910">
        <f>'Revenues 9-14'!B44</f>
        <v>1413</v>
      </c>
      <c r="D85" s="908" t="str">
        <f>'Revenues 9-14'!A44</f>
        <v>Regular - Transp Fees from Other Sources (In State)</v>
      </c>
      <c r="E85" s="903"/>
      <c r="F85" s="1786">
        <f>'Revenues 9-14'!F44</f>
        <v>0</v>
      </c>
      <c r="G85" s="911"/>
    </row>
    <row r="86" spans="1:7" x14ac:dyDescent="0.2">
      <c r="A86" s="905" t="s">
        <v>460</v>
      </c>
      <c r="B86" s="905" t="s">
        <v>166</v>
      </c>
      <c r="C86" s="907">
        <f>'Revenues 9-14'!B45</f>
        <v>1415</v>
      </c>
      <c r="D86" s="908" t="str">
        <f>'Revenues 9-14'!A45</f>
        <v>Regular - Transp Fees from Co-curricular Activities (In State)</v>
      </c>
      <c r="E86" s="903"/>
      <c r="F86" s="1786">
        <f>'Revenues 9-14'!F45</f>
        <v>10623</v>
      </c>
      <c r="G86" s="911"/>
    </row>
    <row r="87" spans="1:7" x14ac:dyDescent="0.2">
      <c r="A87" s="905" t="s">
        <v>460</v>
      </c>
      <c r="B87" s="905" t="s">
        <v>167</v>
      </c>
      <c r="C87" s="907">
        <v>1416</v>
      </c>
      <c r="D87" s="908" t="str">
        <f>'Revenues 9-14'!A46</f>
        <v>Regular Transp Fees from Other Sources (Out of State)</v>
      </c>
      <c r="E87" s="903"/>
      <c r="F87" s="1786">
        <f>'Revenues 9-14'!F46</f>
        <v>0</v>
      </c>
      <c r="G87" s="911"/>
    </row>
    <row r="88" spans="1:7" x14ac:dyDescent="0.2">
      <c r="A88" s="905" t="s">
        <v>460</v>
      </c>
      <c r="B88" s="905" t="s">
        <v>168</v>
      </c>
      <c r="C88" s="907">
        <f>'Revenues 9-14'!B51</f>
        <v>1431</v>
      </c>
      <c r="D88" s="908" t="str">
        <f>'Revenues 9-14'!A51</f>
        <v>CTE - Transp Fees from Pupils or Parents (In State)</v>
      </c>
      <c r="E88" s="903"/>
      <c r="F88" s="1786">
        <f>'Revenues 9-14'!F51</f>
        <v>0</v>
      </c>
      <c r="G88" s="911"/>
    </row>
    <row r="89" spans="1:7" x14ac:dyDescent="0.2">
      <c r="A89" s="905" t="s">
        <v>460</v>
      </c>
      <c r="B89" s="905" t="s">
        <v>169</v>
      </c>
      <c r="C89" s="907">
        <f>'Revenues 9-14'!B53</f>
        <v>1433</v>
      </c>
      <c r="D89" s="908" t="str">
        <f>'Revenues 9-14'!A53</f>
        <v>CTE - Transp Fees from Other Sources (In State)</v>
      </c>
      <c r="E89" s="903"/>
      <c r="F89" s="1786">
        <f>'Revenues 9-14'!F53</f>
        <v>0</v>
      </c>
      <c r="G89" s="911"/>
    </row>
    <row r="90" spans="1:7" x14ac:dyDescent="0.2">
      <c r="A90" s="905" t="s">
        <v>460</v>
      </c>
      <c r="B90" s="905" t="s">
        <v>170</v>
      </c>
      <c r="C90" s="907">
        <f>'Revenues 9-14'!B54</f>
        <v>1434</v>
      </c>
      <c r="D90" s="908" t="str">
        <f>'Revenues 9-14'!A54</f>
        <v>CTE - Transp Fees from Other Sources (Out of State)</v>
      </c>
      <c r="E90" s="903"/>
      <c r="F90" s="1786">
        <f>'Revenues 9-14'!F54</f>
        <v>0</v>
      </c>
      <c r="G90" s="911"/>
    </row>
    <row r="91" spans="1:7" x14ac:dyDescent="0.2">
      <c r="A91" s="905" t="s">
        <v>460</v>
      </c>
      <c r="B91" s="905" t="s">
        <v>171</v>
      </c>
      <c r="C91" s="912">
        <f>'Revenues 9-14'!B55</f>
        <v>1441</v>
      </c>
      <c r="D91" s="908" t="str">
        <f>'Revenues 9-14'!A55</f>
        <v>Special Ed - Transp Fees from Pupils or Parents (In State)</v>
      </c>
      <c r="E91" s="903"/>
      <c r="F91" s="1786">
        <f>'Revenues 9-14'!F55</f>
        <v>0</v>
      </c>
      <c r="G91" s="911"/>
    </row>
    <row r="92" spans="1:7" x14ac:dyDescent="0.2">
      <c r="A92" s="905" t="s">
        <v>460</v>
      </c>
      <c r="B92" s="905" t="s">
        <v>172</v>
      </c>
      <c r="C92" s="907">
        <f>'Revenues 9-14'!B57</f>
        <v>1443</v>
      </c>
      <c r="D92" s="908" t="str">
        <f>'Revenues 9-14'!A57</f>
        <v>Special Ed - Transp Fees from Other Sources (In State)</v>
      </c>
      <c r="E92" s="903"/>
      <c r="F92" s="1786">
        <f>'Revenues 9-14'!F57</f>
        <v>0</v>
      </c>
      <c r="G92" s="913"/>
    </row>
    <row r="93" spans="1:7" x14ac:dyDescent="0.2">
      <c r="A93" s="905" t="s">
        <v>460</v>
      </c>
      <c r="B93" s="905" t="s">
        <v>173</v>
      </c>
      <c r="C93" s="907">
        <f>'Revenues 9-14'!B58</f>
        <v>1444</v>
      </c>
      <c r="D93" s="908" t="str">
        <f>'Revenues 9-14'!A58</f>
        <v>Special Ed - Transp Fees from Other Sources (Out of State)</v>
      </c>
      <c r="E93" s="903"/>
      <c r="F93" s="1786">
        <f>'Revenues 9-14'!F58</f>
        <v>0</v>
      </c>
      <c r="G93" s="913"/>
    </row>
    <row r="94" spans="1:7" x14ac:dyDescent="0.2">
      <c r="A94" s="905" t="s">
        <v>458</v>
      </c>
      <c r="B94" s="905" t="s">
        <v>174</v>
      </c>
      <c r="C94" s="907">
        <v>1600</v>
      </c>
      <c r="D94" s="914" t="str">
        <f>'Revenues 9-14'!A75</f>
        <v>Total Food Service</v>
      </c>
      <c r="E94" s="903"/>
      <c r="F94" s="1786">
        <f>'Revenues 9-14'!C75</f>
        <v>1029249</v>
      </c>
      <c r="G94" s="909"/>
    </row>
    <row r="95" spans="1:7" x14ac:dyDescent="0.2">
      <c r="A95" s="905" t="s">
        <v>140</v>
      </c>
      <c r="B95" s="905" t="s">
        <v>175</v>
      </c>
      <c r="C95" s="907">
        <v>1700</v>
      </c>
      <c r="D95" s="915" t="str">
        <f>'Revenues 9-14'!A82</f>
        <v>Total District/School Activity Income</v>
      </c>
      <c r="E95" s="903"/>
      <c r="F95" s="1786">
        <f>SUM('Revenues 9-14'!C82,'Revenues 9-14'!D82)</f>
        <v>386643</v>
      </c>
      <c r="G95" s="909"/>
    </row>
    <row r="96" spans="1:7" x14ac:dyDescent="0.2">
      <c r="A96" s="905" t="s">
        <v>458</v>
      </c>
      <c r="B96" s="905" t="s">
        <v>176</v>
      </c>
      <c r="C96" s="907">
        <f>'Revenues 9-14'!B84</f>
        <v>1811</v>
      </c>
      <c r="D96" s="908" t="str">
        <f>'Revenues 9-14'!A84</f>
        <v>Rentals - Regular Textbooks</v>
      </c>
      <c r="E96" s="903"/>
      <c r="F96" s="1786">
        <f>'Revenues 9-14'!C84</f>
        <v>550619</v>
      </c>
      <c r="G96" s="909"/>
    </row>
    <row r="97" spans="1:7" x14ac:dyDescent="0.2">
      <c r="A97" s="905" t="s">
        <v>458</v>
      </c>
      <c r="B97" s="905" t="s">
        <v>177</v>
      </c>
      <c r="C97" s="907">
        <f>'Revenues 9-14'!B87</f>
        <v>1819</v>
      </c>
      <c r="D97" s="908" t="str">
        <f>'Revenues 9-14'!A87</f>
        <v>Rentals - Other (Describe &amp; Itemize)</v>
      </c>
      <c r="E97" s="903"/>
      <c r="F97" s="1786">
        <f>'Revenues 9-14'!C87</f>
        <v>0</v>
      </c>
      <c r="G97" s="909"/>
    </row>
    <row r="98" spans="1:7" x14ac:dyDescent="0.2">
      <c r="A98" s="905" t="s">
        <v>458</v>
      </c>
      <c r="B98" s="905" t="s">
        <v>178</v>
      </c>
      <c r="C98" s="907">
        <f>'Revenues 9-14'!B88</f>
        <v>1821</v>
      </c>
      <c r="D98" s="908" t="str">
        <f>'Revenues 9-14'!A88</f>
        <v>Sales - Regular Textbooks</v>
      </c>
      <c r="E98" s="903"/>
      <c r="F98" s="1786">
        <f>'Revenues 9-14'!C88</f>
        <v>0</v>
      </c>
      <c r="G98" s="909"/>
    </row>
    <row r="99" spans="1:7" x14ac:dyDescent="0.2">
      <c r="A99" s="905" t="s">
        <v>458</v>
      </c>
      <c r="B99" s="905" t="s">
        <v>179</v>
      </c>
      <c r="C99" s="907">
        <f>'Revenues 9-14'!B91</f>
        <v>1829</v>
      </c>
      <c r="D99" s="908" t="str">
        <f>'Revenues 9-14'!A91</f>
        <v>Sales - Other (Describe &amp; Itemize)</v>
      </c>
      <c r="E99" s="903"/>
      <c r="F99" s="1786">
        <f>'Revenues 9-14'!C91</f>
        <v>0</v>
      </c>
      <c r="G99" s="909"/>
    </row>
    <row r="100" spans="1:7" x14ac:dyDescent="0.2">
      <c r="A100" s="905" t="s">
        <v>458</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14101</v>
      </c>
      <c r="G101" s="909"/>
    </row>
    <row r="102" spans="1:7" x14ac:dyDescent="0.2">
      <c r="A102" s="905" t="s">
        <v>502</v>
      </c>
      <c r="B102" s="905" t="s">
        <v>182</v>
      </c>
      <c r="C102" s="907">
        <f>'Revenues 9-14'!B98</f>
        <v>1940</v>
      </c>
      <c r="D102" s="908" t="str">
        <f>'Revenues 9-14'!A98</f>
        <v>Services Provided Other Districts</v>
      </c>
      <c r="E102" s="903"/>
      <c r="F102" s="1786">
        <f>SUM('Revenues 9-14'!C98,'Revenues 9-14'!D98,'Revenues 9-14'!F98)</f>
        <v>87506</v>
      </c>
      <c r="G102" s="909"/>
    </row>
    <row r="103" spans="1:7" x14ac:dyDescent="0.2">
      <c r="A103" s="905" t="s">
        <v>1008</v>
      </c>
      <c r="B103" s="905" t="s">
        <v>800</v>
      </c>
      <c r="C103" s="907">
        <f>'Revenues 9-14'!B104</f>
        <v>1991</v>
      </c>
      <c r="D103" s="916" t="str">
        <f>'Revenues 9-14'!A104</f>
        <v>Payment from Other Districts</v>
      </c>
      <c r="E103" s="903"/>
      <c r="F103" s="1786">
        <f>SUM('Revenues 9-14'!C104,'Revenues 9-14'!D104,'Revenues 9-14'!E104,'Revenues 9-14'!F104,'Revenues 9-14'!G104)</f>
        <v>214</v>
      </c>
      <c r="G103" s="909"/>
    </row>
    <row r="104" spans="1:7" x14ac:dyDescent="0.2">
      <c r="A104" s="905" t="s">
        <v>458</v>
      </c>
      <c r="B104" s="905" t="s">
        <v>807</v>
      </c>
      <c r="C104" s="907">
        <f>'Revenues 9-14'!B106</f>
        <v>1993</v>
      </c>
      <c r="D104" s="908" t="str">
        <f>'Revenues 9-14'!A106</f>
        <v>Other Local Fees (Describe &amp; Itemize)</v>
      </c>
      <c r="E104" s="903"/>
      <c r="F104" s="1786">
        <f>('Revenues 9-14'!C106)</f>
        <v>0</v>
      </c>
      <c r="G104" s="909"/>
    </row>
    <row r="105" spans="1:7" x14ac:dyDescent="0.2">
      <c r="A105" s="905" t="s">
        <v>502</v>
      </c>
      <c r="B105" s="905" t="s">
        <v>1999</v>
      </c>
      <c r="C105" s="910">
        <v>3100</v>
      </c>
      <c r="D105" s="916" t="str">
        <f>'Revenues 9-14'!A132</f>
        <v>Total Special Education</v>
      </c>
      <c r="E105" s="903"/>
      <c r="F105" s="1786">
        <f>SUM('Revenues 9-14'!C132:D132,'Revenues 9-14'!F132)</f>
        <v>102492</v>
      </c>
      <c r="G105" s="909"/>
    </row>
    <row r="106" spans="1:7" x14ac:dyDescent="0.2">
      <c r="A106" s="905" t="s">
        <v>672</v>
      </c>
      <c r="B106" s="905" t="s">
        <v>2000</v>
      </c>
      <c r="C106" s="917">
        <v>3200</v>
      </c>
      <c r="D106" s="908" t="str">
        <f>'Revenues 9-14'!A141</f>
        <v>Total Career and Technical Education</v>
      </c>
      <c r="E106" s="903"/>
      <c r="F106" s="1786">
        <f>SUM('Revenues 9-14'!C141,'Revenues 9-14'!D141,'Revenues 9-14'!G141)</f>
        <v>9596</v>
      </c>
      <c r="G106" s="909"/>
    </row>
    <row r="107" spans="1:7" x14ac:dyDescent="0.2">
      <c r="A107" s="918" t="s">
        <v>663</v>
      </c>
      <c r="B107" s="905" t="s">
        <v>2001</v>
      </c>
      <c r="C107" s="917">
        <v>3300</v>
      </c>
      <c r="D107" s="908" t="str">
        <f>'Revenues 9-14'!A145</f>
        <v>Total Bilingual Ed</v>
      </c>
      <c r="E107" s="903"/>
      <c r="F107" s="1786">
        <f>SUM('Revenues 9-14'!C145,'Revenues 9-14'!G145)</f>
        <v>0</v>
      </c>
      <c r="G107" s="909"/>
    </row>
    <row r="108" spans="1:7" x14ac:dyDescent="0.2">
      <c r="A108" s="905" t="s">
        <v>458</v>
      </c>
      <c r="B108" s="905" t="s">
        <v>2002</v>
      </c>
      <c r="C108" s="917">
        <f>'Revenues 9-14'!B146</f>
        <v>3360</v>
      </c>
      <c r="D108" s="908" t="str">
        <f>'Revenues 9-14'!A146</f>
        <v>State Free Lunch &amp; Breakfast</v>
      </c>
      <c r="E108" s="903"/>
      <c r="F108" s="1786">
        <f>'Revenues 9-14'!C146</f>
        <v>4371</v>
      </c>
      <c r="G108" s="909"/>
    </row>
    <row r="109" spans="1:7" x14ac:dyDescent="0.2">
      <c r="A109" s="905" t="s">
        <v>672</v>
      </c>
      <c r="B109" s="905" t="s">
        <v>2003</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2004</v>
      </c>
      <c r="C110" s="917">
        <f>'Revenues 9-14'!B148</f>
        <v>3370</v>
      </c>
      <c r="D110" s="908" t="str">
        <f>'Revenues 9-14'!A148</f>
        <v>Driver Education</v>
      </c>
      <c r="E110" s="903"/>
      <c r="F110" s="1786">
        <f>SUM('Revenues 9-14'!C148,'Revenues 9-14'!D148)</f>
        <v>65978</v>
      </c>
      <c r="G110" s="909"/>
    </row>
    <row r="111" spans="1:7" x14ac:dyDescent="0.2">
      <c r="A111" s="905" t="s">
        <v>667</v>
      </c>
      <c r="B111" s="905" t="s">
        <v>2005</v>
      </c>
      <c r="C111" s="919">
        <v>3500</v>
      </c>
      <c r="D111" s="908" t="str">
        <f>'Revenues 9-14'!A155</f>
        <v>Total Transportation</v>
      </c>
      <c r="E111" s="903"/>
      <c r="F111" s="1786">
        <f>SUM('Revenues 9-14'!C155,'Revenues 9-14'!D155,'Revenues 9-14'!F155,'Revenues 9-14'!G155)</f>
        <v>762581</v>
      </c>
      <c r="G111" s="909"/>
    </row>
    <row r="112" spans="1:7" x14ac:dyDescent="0.2">
      <c r="A112" s="905" t="s">
        <v>458</v>
      </c>
      <c r="B112" s="905" t="s">
        <v>2006</v>
      </c>
      <c r="C112" s="917">
        <f>'Revenues 9-14'!B156</f>
        <v>3610</v>
      </c>
      <c r="D112" s="908" t="str">
        <f>'Revenues 9-14'!A156</f>
        <v>Learning Improvement - Change Grants</v>
      </c>
      <c r="E112" s="903"/>
      <c r="F112" s="1786">
        <f>'Revenues 9-14'!C156</f>
        <v>0</v>
      </c>
      <c r="G112" s="909"/>
    </row>
    <row r="113" spans="1:7" x14ac:dyDescent="0.2">
      <c r="A113" s="905" t="s">
        <v>667</v>
      </c>
      <c r="B113" s="905" t="s">
        <v>2007</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2008</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667</v>
      </c>
      <c r="B115" s="905" t="s">
        <v>2009</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667</v>
      </c>
      <c r="B116" s="905" t="s">
        <v>2010</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1008</v>
      </c>
      <c r="B117" s="920" t="s">
        <v>2011</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1008</v>
      </c>
      <c r="B118" s="920" t="s">
        <v>2012</v>
      </c>
      <c r="C118" s="921">
        <f>'Revenues 9-14'!B163</f>
        <v>3780</v>
      </c>
      <c r="D118" s="922" t="str">
        <f>'Revenues 9-14'!A163</f>
        <v>Technology - Technology for Success</v>
      </c>
      <c r="E118" s="903"/>
      <c r="F118" s="1904">
        <f>SUM('Revenues 9-14'!C163:G163)</f>
        <v>0</v>
      </c>
      <c r="G118" s="909"/>
    </row>
    <row r="119" spans="1:7" x14ac:dyDescent="0.2">
      <c r="A119" s="920" t="s">
        <v>503</v>
      </c>
      <c r="B119" s="920" t="s">
        <v>2013</v>
      </c>
      <c r="C119" s="921">
        <f>'Revenues 9-14'!B164</f>
        <v>3815</v>
      </c>
      <c r="D119" s="922" t="str">
        <f>'Revenues 9-14'!A164</f>
        <v>State Charter Schools</v>
      </c>
      <c r="E119" s="903"/>
      <c r="F119" s="1904">
        <f>SUM('Revenues 9-14'!C164,'Revenues 9-14'!F164)</f>
        <v>0</v>
      </c>
      <c r="G119" s="909"/>
    </row>
    <row r="120" spans="1:7" x14ac:dyDescent="0.2">
      <c r="A120" s="924" t="s">
        <v>459</v>
      </c>
      <c r="B120" s="924" t="s">
        <v>2014</v>
      </c>
      <c r="C120" s="925">
        <f>'Revenues 9-14'!B167</f>
        <v>3925</v>
      </c>
      <c r="D120" s="926" t="str">
        <f>'Revenues 9-14'!A167</f>
        <v>School Infrastructure - Maintenance Projects</v>
      </c>
      <c r="E120" s="903"/>
      <c r="F120" s="1786">
        <f>'Revenues 9-14'!D167</f>
        <v>0</v>
      </c>
      <c r="G120" s="927"/>
    </row>
    <row r="121" spans="1:7" x14ac:dyDescent="0.2">
      <c r="A121" s="924" t="s">
        <v>499</v>
      </c>
      <c r="B121" s="924" t="s">
        <v>2015</v>
      </c>
      <c r="C121" s="925">
        <f>'Revenues 9-14'!B168</f>
        <v>3999</v>
      </c>
      <c r="D121" s="926" t="s">
        <v>542</v>
      </c>
      <c r="E121" s="928"/>
      <c r="F121" s="1786">
        <f>SUM('Revenues 9-14'!C168:G168,'Revenues 9-14'!J168)</f>
        <v>12467</v>
      </c>
      <c r="G121" s="927"/>
    </row>
    <row r="122" spans="1:7" x14ac:dyDescent="0.2">
      <c r="A122" s="924" t="s">
        <v>458</v>
      </c>
      <c r="B122" s="924" t="s">
        <v>2016</v>
      </c>
      <c r="C122" s="929">
        <f>'Revenues 9-14'!B177</f>
        <v>4045</v>
      </c>
      <c r="D122" s="926" t="str">
        <f>'Revenues 9-14'!A177 &amp; " (Subtract)"</f>
        <v>Head Start (Subtract)</v>
      </c>
      <c r="E122" s="903"/>
      <c r="F122" s="1786">
        <f>SUM(-'Revenues 9-14'!C177)</f>
        <v>0</v>
      </c>
      <c r="G122" s="927"/>
    </row>
    <row r="123" spans="1:7" x14ac:dyDescent="0.2">
      <c r="A123" s="924" t="s">
        <v>667</v>
      </c>
      <c r="B123" s="924" t="s">
        <v>2017</v>
      </c>
      <c r="C123" s="929" t="s">
        <v>981</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667</v>
      </c>
      <c r="B124" s="924" t="s">
        <v>2018</v>
      </c>
      <c r="C124" s="929">
        <v>4100</v>
      </c>
      <c r="D124" s="930" t="str">
        <f>'Revenues 9-14'!A188</f>
        <v>Total Title V</v>
      </c>
      <c r="E124" s="903"/>
      <c r="F124" s="1786">
        <f>SUM('Revenues 9-14'!C188,'Revenues 9-14'!D188,'Revenues 9-14'!F188,'Revenues 9-14'!G188)</f>
        <v>0</v>
      </c>
      <c r="G124" s="927"/>
    </row>
    <row r="125" spans="1:7" x14ac:dyDescent="0.2">
      <c r="A125" s="924" t="s">
        <v>663</v>
      </c>
      <c r="B125" s="924" t="s">
        <v>2019</v>
      </c>
      <c r="C125" s="929">
        <v>4200</v>
      </c>
      <c r="D125" s="926" t="str">
        <f>'Revenues 9-14'!A198</f>
        <v>Total Food Service</v>
      </c>
      <c r="E125" s="903"/>
      <c r="F125" s="1786">
        <f>SUM('Revenues 9-14'!C198,'Revenues 9-14'!G198)</f>
        <v>364176</v>
      </c>
      <c r="G125" s="927"/>
    </row>
    <row r="126" spans="1:7" x14ac:dyDescent="0.2">
      <c r="A126" s="924" t="s">
        <v>667</v>
      </c>
      <c r="B126" s="924" t="s">
        <v>2020</v>
      </c>
      <c r="C126" s="929">
        <v>4300</v>
      </c>
      <c r="D126" s="930" t="str">
        <f>'Revenues 9-14'!A204</f>
        <v>Total Title I</v>
      </c>
      <c r="E126" s="903"/>
      <c r="F126" s="1786">
        <f>SUM('Revenues 9-14'!C204,'Revenues 9-14'!D204,'Revenues 9-14'!F204,'Revenues 9-14'!G204)</f>
        <v>385074</v>
      </c>
      <c r="G126" s="927"/>
    </row>
    <row r="127" spans="1:7" x14ac:dyDescent="0.2">
      <c r="A127" s="924" t="s">
        <v>667</v>
      </c>
      <c r="B127" s="924" t="s">
        <v>2021</v>
      </c>
      <c r="C127" s="929">
        <v>4400</v>
      </c>
      <c r="D127" s="930" t="str">
        <f>'Revenues 9-14'!A209</f>
        <v>Total Title IV</v>
      </c>
      <c r="E127" s="903"/>
      <c r="F127" s="1786">
        <f>SUM('Revenues 9-14'!C209,'Revenues 9-14'!D209,'Revenues 9-14'!F209,'Revenues 9-14'!G209)</f>
        <v>0</v>
      </c>
      <c r="G127" s="927"/>
    </row>
    <row r="128" spans="1:7" x14ac:dyDescent="0.2">
      <c r="A128" s="924" t="s">
        <v>667</v>
      </c>
      <c r="B128" s="924" t="s">
        <v>2022</v>
      </c>
      <c r="C128" s="929">
        <f>'Revenues 9-14'!B213</f>
        <v>4620</v>
      </c>
      <c r="D128" s="930" t="str">
        <f>'Revenues 9-14'!A213</f>
        <v>Fed - Spec Education - IDEA - Flow Through</v>
      </c>
      <c r="E128" s="903"/>
      <c r="F128" s="1786">
        <f>SUM('Revenues 9-14'!C213:D213,'Revenues 9-14'!F213:G213)</f>
        <v>73323</v>
      </c>
      <c r="G128" s="927"/>
    </row>
    <row r="129" spans="1:7" x14ac:dyDescent="0.2">
      <c r="A129" s="924" t="s">
        <v>667</v>
      </c>
      <c r="B129" s="924" t="s">
        <v>2023</v>
      </c>
      <c r="C129" s="929">
        <f>'Revenues 9-14'!B214</f>
        <v>4625</v>
      </c>
      <c r="D129" s="930" t="str">
        <f>'Revenues 9-14'!A214</f>
        <v>Fed - Spec Education - IDEA - Room &amp; Board</v>
      </c>
      <c r="E129" s="903"/>
      <c r="F129" s="1786">
        <f>SUM('Revenues 9-14'!C214,'Revenues 9-14'!D214,'Revenues 9-14'!F214,'Revenues 9-14'!G214)</f>
        <v>7523</v>
      </c>
      <c r="G129" s="927"/>
    </row>
    <row r="130" spans="1:7" x14ac:dyDescent="0.2">
      <c r="A130" s="924" t="s">
        <v>667</v>
      </c>
      <c r="B130" s="924" t="s">
        <v>2024</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667</v>
      </c>
      <c r="B131" s="924" t="s">
        <v>775</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672</v>
      </c>
      <c r="B132" s="924" t="s">
        <v>2025</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2026</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2027</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2028</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2029</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2030</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2031</v>
      </c>
      <c r="C138" s="932" t="s">
        <v>212</v>
      </c>
      <c r="D138" s="933" t="str">
        <f>'Revenues 9-14'!A229</f>
        <v>ARRA - IDEA - Part B - Preschool</v>
      </c>
      <c r="E138" s="934"/>
      <c r="F138" s="1786">
        <v>0</v>
      </c>
      <c r="G138" s="902"/>
    </row>
    <row r="139" spans="1:7" s="864" customFormat="1" hidden="1" x14ac:dyDescent="0.2">
      <c r="A139" s="931" t="s">
        <v>206</v>
      </c>
      <c r="B139" s="931" t="s">
        <v>2032</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2033</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2034</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667</v>
      </c>
      <c r="B142" s="931" t="s">
        <v>2035</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808</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1415</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2036</v>
      </c>
      <c r="C146" s="932" t="s">
        <v>223</v>
      </c>
      <c r="D146" s="933" t="str">
        <f>'Revenues 9-14'!A240</f>
        <v>Build America Bond Interest Reimbursement</v>
      </c>
      <c r="E146" s="934"/>
      <c r="F146" s="1786">
        <f>SUM('Revenues 9-14'!C240:G240,'Revenues 9-14'!J240)</f>
        <v>198112</v>
      </c>
      <c r="G146" s="902"/>
    </row>
    <row r="147" spans="1:7" s="864" customFormat="1" hidden="1" x14ac:dyDescent="0.2">
      <c r="A147" s="931" t="s">
        <v>206</v>
      </c>
      <c r="B147" s="931" t="s">
        <v>2037</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2038</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1416</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2039</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499</v>
      </c>
      <c r="B157" s="936" t="s">
        <v>2040</v>
      </c>
      <c r="C157" s="937" t="s">
        <v>840</v>
      </c>
      <c r="D157" s="938" t="s">
        <v>776</v>
      </c>
      <c r="E157" s="939"/>
      <c r="F157" s="1786">
        <f>SUM(F133:F156)</f>
        <v>198112</v>
      </c>
      <c r="G157" s="902"/>
    </row>
    <row r="158" spans="1:7" s="864" customFormat="1" x14ac:dyDescent="0.2">
      <c r="A158" s="935" t="s">
        <v>458</v>
      </c>
      <c r="B158" s="936" t="s">
        <v>2041</v>
      </c>
      <c r="C158" s="937" t="s">
        <v>1426</v>
      </c>
      <c r="D158" s="938" t="s">
        <v>1427</v>
      </c>
      <c r="E158" s="939"/>
      <c r="F158" s="1786">
        <f>SUM('Revenues 9-14'!C253)</f>
        <v>0</v>
      </c>
      <c r="G158" s="902"/>
    </row>
    <row r="159" spans="1:7" s="864" customFormat="1" x14ac:dyDescent="0.2">
      <c r="A159" s="935" t="s">
        <v>499</v>
      </c>
      <c r="B159" s="936" t="s">
        <v>2042</v>
      </c>
      <c r="C159" s="937" t="s">
        <v>1465</v>
      </c>
      <c r="D159" s="938" t="s">
        <v>1466</v>
      </c>
      <c r="E159" s="939"/>
      <c r="F159" s="1786">
        <f>SUM('Revenues 9-14'!C254:H254,'Revenues 9-14'!J254:K254)</f>
        <v>0</v>
      </c>
      <c r="G159" s="902"/>
    </row>
    <row r="160" spans="1:7" x14ac:dyDescent="0.2">
      <c r="A160" s="924" t="s">
        <v>5</v>
      </c>
      <c r="B160" s="924" t="s">
        <v>2043</v>
      </c>
      <c r="C160" s="929">
        <f>'Revenues 9-14'!B255</f>
        <v>4905</v>
      </c>
      <c r="D160" s="926" t="str">
        <f>'Revenues 9-14'!A255</f>
        <v>Title III - Immigrant Education Program (IEP)</v>
      </c>
      <c r="E160" s="903"/>
      <c r="F160" s="1786">
        <f>SUM('Revenues 9-14'!C255,'Revenues 9-14'!F255,'Revenues 9-14'!G255)</f>
        <v>808</v>
      </c>
      <c r="G160" s="940">
        <v>6306</v>
      </c>
    </row>
    <row r="161" spans="1:7" x14ac:dyDescent="0.2">
      <c r="A161" s="924" t="s">
        <v>5</v>
      </c>
      <c r="B161" s="924" t="s">
        <v>2044</v>
      </c>
      <c r="C161" s="929">
        <f>'Revenues 9-14'!B256</f>
        <v>4909</v>
      </c>
      <c r="D161" s="926" t="str">
        <f>'Revenues 9-14'!A256</f>
        <v>Title III - Language Inst Program - Limited Eng (LIPLEP)</v>
      </c>
      <c r="E161" s="903"/>
      <c r="F161" s="1786">
        <f>SUM('Revenues 9-14'!C256,'Revenues 9-14'!F256,'Revenues 9-14'!G256)</f>
        <v>13217</v>
      </c>
      <c r="G161" s="940"/>
    </row>
    <row r="162" spans="1:7" x14ac:dyDescent="0.2">
      <c r="A162" s="924" t="s">
        <v>667</v>
      </c>
      <c r="B162" s="924" t="s">
        <v>2045</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667</v>
      </c>
      <c r="B163" s="941" t="s">
        <v>2046</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667</v>
      </c>
      <c r="B164" s="924" t="s">
        <v>2047</v>
      </c>
      <c r="C164" s="929">
        <f>'Revenues 9-14'!B259</f>
        <v>4932</v>
      </c>
      <c r="D164" s="930" t="str">
        <f>'Revenues 9-14'!A259</f>
        <v>Title II - Teacher Quality</v>
      </c>
      <c r="E164" s="903"/>
      <c r="F164" s="1904">
        <f>SUM('Revenues 9-14'!C259,'Revenues 9-14'!D259,'Revenues 9-14'!F259,'Revenues 9-14'!G259)</f>
        <v>89619</v>
      </c>
      <c r="G164" s="927"/>
    </row>
    <row r="165" spans="1:7" x14ac:dyDescent="0.2">
      <c r="A165" s="924" t="s">
        <v>667</v>
      </c>
      <c r="B165" s="924" t="s">
        <v>2048</v>
      </c>
      <c r="C165" s="929">
        <f>'Revenues 9-14'!B260</f>
        <v>4960</v>
      </c>
      <c r="D165" s="926" t="str">
        <f>'Revenues 9-14'!A260</f>
        <v>Federal Charter Schools</v>
      </c>
      <c r="E165" s="903"/>
      <c r="F165" s="1786">
        <f>SUM('Revenues 9-14'!C260:D260,'Revenues 9-14'!F260:G260)</f>
        <v>0</v>
      </c>
      <c r="G165" s="927"/>
    </row>
    <row r="166" spans="1:7" x14ac:dyDescent="0.2">
      <c r="A166" s="924" t="s">
        <v>667</v>
      </c>
      <c r="B166" s="924" t="s">
        <v>1993</v>
      </c>
      <c r="C166" s="929">
        <f>'Revenues 9-14'!B261</f>
        <v>4981</v>
      </c>
      <c r="D166" s="926" t="str">
        <f>'Revenues 9-14'!A261</f>
        <v>State Assessment Grants</v>
      </c>
      <c r="E166" s="903"/>
      <c r="F166" s="1786">
        <f>SUM('Revenues 9-14'!C261:D261,'Revenues 9-14'!F261:G261)</f>
        <v>0</v>
      </c>
      <c r="G166" s="927"/>
    </row>
    <row r="167" spans="1:7" x14ac:dyDescent="0.2">
      <c r="A167" s="924" t="s">
        <v>667</v>
      </c>
      <c r="B167" s="924" t="s">
        <v>1994</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667</v>
      </c>
      <c r="B168" s="924" t="s">
        <v>2049</v>
      </c>
      <c r="C168" s="929">
        <f>'Revenues 9-14'!B263</f>
        <v>4991</v>
      </c>
      <c r="D168" s="930" t="str">
        <f>'Revenues 9-14'!A263</f>
        <v>Medicaid Matching Funds - Administrative Outreach</v>
      </c>
      <c r="E168" s="903"/>
      <c r="F168" s="1786">
        <f>SUM('Revenues 9-14'!C263:D263,'Revenues 9-14'!F263:G263)</f>
        <v>57513</v>
      </c>
      <c r="G168" s="944">
        <v>6320</v>
      </c>
    </row>
    <row r="169" spans="1:7" x14ac:dyDescent="0.2">
      <c r="A169" s="924" t="s">
        <v>667</v>
      </c>
      <c r="B169" s="924" t="s">
        <v>2050</v>
      </c>
      <c r="C169" s="929">
        <f>'Revenues 9-14'!B264</f>
        <v>4992</v>
      </c>
      <c r="D169" s="930" t="str">
        <f>'Revenues 9-14'!A264</f>
        <v>Medicaid Matching Funds - Fee-for-Service Program</v>
      </c>
      <c r="E169" s="903"/>
      <c r="F169" s="1786">
        <f>SUM('Revenues 9-14'!C264:D264,'Revenues 9-14'!F264:G264)</f>
        <v>150350</v>
      </c>
      <c r="G169" s="944"/>
    </row>
    <row r="170" spans="1:7" x14ac:dyDescent="0.2">
      <c r="A170" s="945" t="s">
        <v>667</v>
      </c>
      <c r="B170" s="941" t="s">
        <v>2051</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1916</v>
      </c>
      <c r="C171" s="1917">
        <v>3100</v>
      </c>
      <c r="D171" s="1918" t="s">
        <v>1918</v>
      </c>
      <c r="E171" s="903"/>
      <c r="F171" s="1903">
        <v>1068223.53</v>
      </c>
      <c r="G171" s="924"/>
    </row>
    <row r="172" spans="1:7" x14ac:dyDescent="0.2">
      <c r="A172" s="1915" t="s">
        <v>663</v>
      </c>
      <c r="B172" s="1916" t="s">
        <v>1916</v>
      </c>
      <c r="C172" s="1917">
        <v>3300</v>
      </c>
      <c r="D172" s="1918" t="s">
        <v>1919</v>
      </c>
      <c r="E172" s="903"/>
      <c r="F172" s="1903">
        <v>84620.83</v>
      </c>
      <c r="G172" s="924"/>
    </row>
    <row r="173" spans="1:7" ht="6" customHeight="1" x14ac:dyDescent="0.2">
      <c r="A173" s="924"/>
      <c r="B173" s="924"/>
      <c r="C173" s="946"/>
      <c r="D173" s="924"/>
      <c r="E173" s="903"/>
      <c r="F173" s="947"/>
      <c r="G173" s="944"/>
    </row>
    <row r="174" spans="1:7" x14ac:dyDescent="0.2">
      <c r="A174" s="1767"/>
      <c r="B174" s="1781"/>
      <c r="C174" s="1782"/>
      <c r="D174" s="1783" t="s">
        <v>2052</v>
      </c>
      <c r="E174" s="1784" t="s">
        <v>957</v>
      </c>
      <c r="F174" s="1785">
        <f>SUM(F84:F132,F157:F172)</f>
        <v>5528999.3600000003</v>
      </c>
    </row>
    <row r="175" spans="1:7" ht="12" customHeight="1" x14ac:dyDescent="0.2">
      <c r="A175" s="1767"/>
      <c r="B175" s="1781"/>
      <c r="C175" s="1782"/>
      <c r="D175" s="1783" t="s">
        <v>2053</v>
      </c>
      <c r="E175" s="1784"/>
      <c r="F175" s="1786">
        <f>'PCTC-OEPP 27-28'!F77-F174</f>
        <v>34752364.640000001</v>
      </c>
    </row>
    <row r="176" spans="1:7" ht="12" customHeight="1" x14ac:dyDescent="0.2">
      <c r="A176" s="1767"/>
      <c r="B176" s="1781"/>
      <c r="C176" s="1782"/>
      <c r="D176" s="1783" t="s">
        <v>1813</v>
      </c>
      <c r="E176" s="1784"/>
      <c r="F176" s="1786">
        <f>'Cap Outlay Deprec 26'!I18</f>
        <v>3798357</v>
      </c>
    </row>
    <row r="177" spans="1:7" ht="12" customHeight="1" x14ac:dyDescent="0.2">
      <c r="A177" s="1767"/>
      <c r="B177" s="1781"/>
      <c r="C177" s="1782"/>
      <c r="D177" s="1783" t="s">
        <v>2054</v>
      </c>
      <c r="E177" s="1784"/>
      <c r="F177" s="1786">
        <f>F175+F176</f>
        <v>38550721.640000001</v>
      </c>
    </row>
    <row r="178" spans="1:7" ht="12" customHeight="1" x14ac:dyDescent="0.2">
      <c r="A178" s="1767"/>
      <c r="B178" s="1787"/>
      <c r="C178" s="1782"/>
      <c r="D178" s="1783" t="str">
        <f>D78</f>
        <v>9 Month ADA from District Average Daily Attendance/Prior General State Aid Inquiry 2018-2019</v>
      </c>
      <c r="E178" s="1784"/>
      <c r="F178" s="1788">
        <f>'PCTC-OEPP 27-28'!F78</f>
        <v>4010.1</v>
      </c>
      <c r="G178" s="927"/>
    </row>
    <row r="179" spans="1:7" ht="12" customHeight="1" thickBot="1" x14ac:dyDescent="0.25">
      <c r="A179" s="1767"/>
      <c r="B179" s="1787"/>
      <c r="C179" s="1782"/>
      <c r="D179" s="1783" t="s">
        <v>2055</v>
      </c>
      <c r="E179" s="1784" t="s">
        <v>1544</v>
      </c>
      <c r="F179" s="1789">
        <f>F177/F178</f>
        <v>9613.4065584399395</v>
      </c>
      <c r="G179" s="853">
        <v>6323</v>
      </c>
    </row>
    <row r="180" spans="1:7" ht="12" thickTop="1" x14ac:dyDescent="0.2">
      <c r="B180" s="927"/>
      <c r="C180" s="946"/>
      <c r="D180" s="927"/>
      <c r="E180" s="946"/>
      <c r="F180" s="927"/>
      <c r="G180" s="948">
        <v>6326</v>
      </c>
    </row>
    <row r="181" spans="1:7" ht="12.2" customHeight="1" x14ac:dyDescent="0.2">
      <c r="A181" s="927" t="s">
        <v>1917</v>
      </c>
      <c r="B181" s="927"/>
      <c r="C181" s="946"/>
      <c r="D181" s="927"/>
      <c r="E181" s="946"/>
      <c r="F181" s="927"/>
      <c r="G181" s="927"/>
    </row>
    <row r="182" spans="1:7" s="1919" customFormat="1" ht="12.2" customHeight="1" x14ac:dyDescent="0.2">
      <c r="A182" s="1919" t="s">
        <v>1990</v>
      </c>
      <c r="B182" s="1920"/>
      <c r="C182" s="1921"/>
      <c r="D182" s="1920"/>
      <c r="E182" s="1921"/>
      <c r="F182" s="1920"/>
      <c r="G182" s="1920"/>
    </row>
    <row r="183" spans="1:7" s="1919" customFormat="1" ht="12.2" customHeight="1" x14ac:dyDescent="0.2">
      <c r="A183" s="1922" t="s">
        <v>1992</v>
      </c>
      <c r="C183" s="1921"/>
      <c r="D183" s="1920"/>
      <c r="E183" s="1921"/>
      <c r="F183" s="1920"/>
      <c r="G183" s="1920"/>
    </row>
    <row r="184" spans="1:7" ht="12" customHeight="1" x14ac:dyDescent="0.2">
      <c r="C184" s="946"/>
      <c r="D184" s="927"/>
      <c r="E184" s="946"/>
      <c r="F184" s="927"/>
      <c r="G184" s="927"/>
    </row>
    <row r="185" spans="1:7" x14ac:dyDescent="0.2">
      <c r="A185" s="1923" t="s">
        <v>1921</v>
      </c>
      <c r="B185" s="1924" t="s">
        <v>1920</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7" zoomScaleNormal="100" workbookViewId="0">
      <selection activeCell="A4" sqref="A4:G5"/>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1828</v>
      </c>
      <c r="B1" s="1657"/>
      <c r="C1" s="1657"/>
      <c r="D1" s="1657"/>
      <c r="E1" s="1657"/>
      <c r="F1" s="1657"/>
      <c r="G1" s="1657"/>
    </row>
    <row r="2" spans="1:7" x14ac:dyDescent="0.25">
      <c r="A2" s="1654"/>
      <c r="B2" s="1654"/>
      <c r="C2" s="1655" t="s">
        <v>978</v>
      </c>
      <c r="D2" s="1654"/>
      <c r="E2" s="1654"/>
      <c r="F2" s="1654"/>
      <c r="G2" s="1654"/>
    </row>
    <row r="3" spans="1:7" ht="5.25" customHeight="1" x14ac:dyDescent="0.25">
      <c r="A3" s="1542"/>
      <c r="B3" s="1542"/>
      <c r="C3" s="1542"/>
      <c r="D3" s="1542"/>
      <c r="E3" s="1542"/>
      <c r="F3" s="1542"/>
      <c r="G3" s="1542"/>
    </row>
    <row r="4" spans="1:7" ht="18.75" customHeight="1" x14ac:dyDescent="0.25">
      <c r="A4" s="2389" t="s">
        <v>1814</v>
      </c>
      <c r="B4" s="2390"/>
      <c r="C4" s="2390"/>
      <c r="D4" s="2390"/>
      <c r="E4" s="2390"/>
      <c r="F4" s="2390"/>
      <c r="G4" s="2391"/>
    </row>
    <row r="5" spans="1:7" x14ac:dyDescent="0.25">
      <c r="A5" s="2392"/>
      <c r="B5" s="2393"/>
      <c r="C5" s="2393"/>
      <c r="D5" s="2393"/>
      <c r="E5" s="2393"/>
      <c r="F5" s="2393"/>
      <c r="G5" s="2394"/>
    </row>
    <row r="6" spans="1:7" ht="18.75" x14ac:dyDescent="0.25">
      <c r="A6" s="1531" t="s">
        <v>1815</v>
      </c>
      <c r="B6" s="1532"/>
      <c r="C6" s="1532"/>
      <c r="D6" s="1532"/>
      <c r="E6" s="1532"/>
      <c r="F6" s="1532"/>
      <c r="G6" s="1533"/>
    </row>
    <row r="7" spans="1:7" ht="30.75" customHeight="1" x14ac:dyDescent="0.25">
      <c r="A7" s="2395" t="s">
        <v>1928</v>
      </c>
      <c r="B7" s="2396"/>
      <c r="C7" s="2396"/>
      <c r="D7" s="2396"/>
      <c r="E7" s="2396"/>
      <c r="F7" s="2396"/>
      <c r="G7" s="2397"/>
    </row>
    <row r="8" spans="1:7" ht="15.75" customHeight="1" x14ac:dyDescent="0.25">
      <c r="A8" s="2398" t="s">
        <v>1903</v>
      </c>
      <c r="B8" s="2399"/>
      <c r="C8" s="2399"/>
      <c r="D8" s="2399"/>
      <c r="E8" s="2399"/>
      <c r="F8" s="2399"/>
      <c r="G8" s="2400"/>
    </row>
    <row r="9" spans="1:7" ht="35.25" customHeight="1" x14ac:dyDescent="0.25">
      <c r="A9" s="2395" t="s">
        <v>1931</v>
      </c>
      <c r="B9" s="2396"/>
      <c r="C9" s="2396"/>
      <c r="D9" s="2396"/>
      <c r="E9" s="2396"/>
      <c r="F9" s="2396"/>
      <c r="G9" s="2397"/>
    </row>
    <row r="10" spans="1:7" ht="15" customHeight="1" x14ac:dyDescent="0.25">
      <c r="A10" s="1534" t="s">
        <v>1816</v>
      </c>
      <c r="B10" s="1535"/>
      <c r="C10" s="1535"/>
      <c r="D10" s="1535"/>
      <c r="E10" s="1535"/>
      <c r="F10" s="1535"/>
      <c r="G10" s="1536"/>
    </row>
    <row r="11" spans="1:7" ht="17.25" customHeight="1" x14ac:dyDescent="0.25">
      <c r="A11" s="2395" t="s">
        <v>1930</v>
      </c>
      <c r="B11" s="2396"/>
      <c r="C11" s="2396"/>
      <c r="D11" s="2396"/>
      <c r="E11" s="2396"/>
      <c r="F11" s="2396"/>
      <c r="G11" s="2397"/>
    </row>
    <row r="12" spans="1:7" ht="15" customHeight="1" x14ac:dyDescent="0.25">
      <c r="A12" s="1534" t="s">
        <v>1821</v>
      </c>
      <c r="B12" s="1535"/>
      <c r="C12" s="1535"/>
      <c r="D12" s="1535"/>
      <c r="E12" s="1535"/>
      <c r="F12" s="1535"/>
      <c r="G12" s="1536"/>
    </row>
    <row r="13" spans="1:7" ht="32.25" customHeight="1" x14ac:dyDescent="0.25">
      <c r="A13" s="2386" t="s">
        <v>1972</v>
      </c>
      <c r="B13" s="2387"/>
      <c r="C13" s="2387"/>
      <c r="D13" s="2387"/>
      <c r="E13" s="2387"/>
      <c r="F13" s="2387"/>
      <c r="G13" s="2388"/>
    </row>
    <row r="14" spans="1:7" x14ac:dyDescent="0.25">
      <c r="A14" s="1658" t="s">
        <v>1829</v>
      </c>
      <c r="B14" s="1659"/>
      <c r="C14" s="1659"/>
      <c r="D14" s="1659"/>
      <c r="E14" s="1659"/>
      <c r="F14" s="1659"/>
      <c r="G14" s="1660"/>
    </row>
    <row r="15" spans="1:7" ht="61.5" customHeight="1" x14ac:dyDescent="0.25">
      <c r="A15" s="1543" t="s">
        <v>1822</v>
      </c>
      <c r="B15" s="1543" t="s">
        <v>1823</v>
      </c>
      <c r="C15" s="1543" t="s">
        <v>1824</v>
      </c>
      <c r="D15" s="1544" t="s">
        <v>1825</v>
      </c>
      <c r="E15" s="1544" t="s">
        <v>1817</v>
      </c>
      <c r="F15" s="1544" t="s">
        <v>1826</v>
      </c>
      <c r="G15" s="1544" t="s">
        <v>1827</v>
      </c>
    </row>
    <row r="16" spans="1:7" x14ac:dyDescent="0.25">
      <c r="A16" s="1645" t="s">
        <v>1830</v>
      </c>
      <c r="B16" s="1646" t="s">
        <v>1820</v>
      </c>
      <c r="C16" s="1647" t="s">
        <v>1818</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2057" t="s">
        <v>2231</v>
      </c>
      <c r="B17" s="2058" t="s">
        <v>2094</v>
      </c>
      <c r="C17" s="2059" t="s">
        <v>2095</v>
      </c>
      <c r="D17" s="1841">
        <v>36617</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11617</v>
      </c>
      <c r="H17" s="1644"/>
    </row>
    <row r="18" spans="1:8" x14ac:dyDescent="0.25">
      <c r="A18" s="1934"/>
      <c r="B18" s="1935"/>
      <c r="C18" s="1936"/>
      <c r="D18" s="1841"/>
      <c r="E18" s="1537">
        <f t="shared" ref="E18:E140" si="2">IF(D18&lt;=25000,D18,IF(D18&gt;25000,25000,0))</f>
        <v>0</v>
      </c>
      <c r="F18" s="1929">
        <f t="shared" si="1"/>
        <v>0</v>
      </c>
      <c r="G18" s="1790">
        <f t="shared" ref="G18:G140" si="3">IF(F18=0,0,D18-F18)</f>
        <v>0</v>
      </c>
    </row>
    <row r="19" spans="1:8" x14ac:dyDescent="0.25">
      <c r="A19" s="1934"/>
      <c r="B19" s="1935"/>
      <c r="C19" s="1936"/>
      <c r="D19" s="1841"/>
      <c r="E19" s="1537">
        <f t="shared" si="2"/>
        <v>0</v>
      </c>
      <c r="F19" s="1929">
        <f t="shared" si="1"/>
        <v>0</v>
      </c>
      <c r="G19" s="1790">
        <f t="shared" si="3"/>
        <v>0</v>
      </c>
    </row>
    <row r="20" spans="1:8" x14ac:dyDescent="0.25">
      <c r="A20" s="1934"/>
      <c r="B20" s="1935"/>
      <c r="C20" s="1936"/>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36617</v>
      </c>
      <c r="E141" s="1538">
        <f t="shared" si="0"/>
        <v>25000</v>
      </c>
      <c r="F141" s="1930">
        <f>SUM(F17:F140)</f>
        <v>25000</v>
      </c>
      <c r="G141" s="1792">
        <f>SUM(G17:G140)</f>
        <v>11617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1114</v>
      </c>
      <c r="B1" s="1632"/>
      <c r="C1" s="1633"/>
    </row>
    <row r="2" spans="1:9" x14ac:dyDescent="0.2">
      <c r="A2" s="949" t="s">
        <v>1115</v>
      </c>
      <c r="B2" s="950"/>
      <c r="C2" s="950"/>
      <c r="D2" s="950"/>
      <c r="E2" s="951"/>
      <c r="F2" s="951"/>
      <c r="G2" s="952"/>
    </row>
    <row r="3" spans="1:9" ht="12" customHeight="1" x14ac:dyDescent="0.2">
      <c r="A3" s="953" t="s">
        <v>1355</v>
      </c>
      <c r="B3" s="954"/>
      <c r="C3" s="954"/>
      <c r="D3" s="954"/>
      <c r="E3" s="955"/>
      <c r="F3" s="955"/>
      <c r="G3" s="956"/>
    </row>
    <row r="4" spans="1:9" x14ac:dyDescent="0.2">
      <c r="A4" s="957" t="s">
        <v>754</v>
      </c>
      <c r="B4" s="958"/>
      <c r="C4" s="958"/>
      <c r="D4" s="958"/>
      <c r="E4" s="959"/>
      <c r="F4" s="960"/>
      <c r="G4" s="961"/>
      <c r="H4" s="252"/>
      <c r="I4" s="252"/>
    </row>
    <row r="5" spans="1:9" s="343" customFormat="1" ht="57" customHeight="1" x14ac:dyDescent="0.2">
      <c r="A5" s="2401" t="s">
        <v>1678</v>
      </c>
      <c r="B5" s="2402"/>
      <c r="C5" s="2402"/>
      <c r="D5" s="2402"/>
      <c r="E5" s="2402"/>
      <c r="F5" s="2402"/>
      <c r="G5" s="2403"/>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907</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1929</v>
      </c>
      <c r="B10" s="968"/>
      <c r="C10" s="973"/>
      <c r="D10" s="969"/>
      <c r="E10" s="970">
        <v>519170</v>
      </c>
      <c r="F10" s="971"/>
      <c r="G10" s="972"/>
      <c r="H10" s="162"/>
      <c r="I10" s="162"/>
    </row>
    <row r="11" spans="1:9" s="665" customFormat="1" ht="22.5" customHeight="1" x14ac:dyDescent="0.2">
      <c r="A11" s="2406" t="s">
        <v>1973</v>
      </c>
      <c r="B11" s="2407"/>
      <c r="C11" s="2407"/>
      <c r="D11" s="2408"/>
      <c r="E11" s="974">
        <v>114858</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370</v>
      </c>
      <c r="B15" s="964"/>
      <c r="C15" s="964"/>
      <c r="D15" s="964"/>
      <c r="E15" s="964"/>
      <c r="F15" s="964"/>
      <c r="G15" s="978"/>
      <c r="H15" s="162"/>
      <c r="I15" s="162"/>
    </row>
    <row r="16" spans="1:9" s="665" customFormat="1" x14ac:dyDescent="0.2">
      <c r="A16" s="979" t="s">
        <v>1375</v>
      </c>
      <c r="B16" s="980"/>
      <c r="C16" s="981"/>
      <c r="D16" s="960"/>
      <c r="E16" s="955"/>
      <c r="F16" s="955"/>
      <c r="G16" s="956"/>
      <c r="H16" s="162"/>
      <c r="I16" s="162"/>
    </row>
    <row r="17" spans="1:9" s="665" customFormat="1" ht="12" customHeight="1" x14ac:dyDescent="0.2">
      <c r="A17" s="982"/>
      <c r="B17" s="983"/>
      <c r="C17" s="329"/>
      <c r="D17" s="1635" t="s">
        <v>531</v>
      </c>
      <c r="E17" s="1636"/>
      <c r="F17" s="1635" t="s">
        <v>432</v>
      </c>
      <c r="G17" s="1637"/>
      <c r="H17" s="162"/>
      <c r="I17" s="162"/>
    </row>
    <row r="18" spans="1:9" s="259" customFormat="1" ht="11.25" x14ac:dyDescent="0.2">
      <c r="A18" s="985"/>
      <c r="C18" s="986" t="s">
        <v>433</v>
      </c>
      <c r="D18" s="1638" t="s">
        <v>434</v>
      </c>
      <c r="E18" s="1638" t="s">
        <v>53</v>
      </c>
      <c r="F18" s="1638" t="s">
        <v>434</v>
      </c>
      <c r="G18" s="1638" t="s">
        <v>53</v>
      </c>
      <c r="H18" s="178"/>
      <c r="I18" s="178"/>
    </row>
    <row r="19" spans="1:9" s="665" customFormat="1" ht="12" customHeight="1" x14ac:dyDescent="0.2">
      <c r="A19" s="987" t="s">
        <v>455</v>
      </c>
      <c r="B19" s="988"/>
      <c r="C19" s="989" t="s">
        <v>569</v>
      </c>
      <c r="D19" s="1796"/>
      <c r="E19" s="1797">
        <f>'Expenditures 15-22'!K33-SUM('Expenditures 15-22'!G33,'Expenditures 15-22'!I33)+'Expenditures 15-22'!D229</f>
        <v>22771119</v>
      </c>
      <c r="F19" s="1796"/>
      <c r="G19" s="1798">
        <f>'Expenditures 15-22'!K33-SUM('Expenditures 15-22'!G33,'Expenditures 15-22'!I33)+'Expenditures 15-22'!D229</f>
        <v>22771119</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400</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2005060</v>
      </c>
      <c r="F21" s="1799"/>
      <c r="G21" s="1802">
        <f>'Expenditures 15-22'!K42-SUM('Expenditures 15-22'!G42,'Expenditures 15-22'!I42)+'Expenditures 15-22'!K120-SUM('Expenditures 15-22'!G120,'Expenditures 15-22'!I120)+'Expenditures 15-22'!K180-SUM('Expenditures 15-22'!G180,'Expenditures 15-22'!I180)+'Expenditures 15-22'!D238</f>
        <v>2005060</v>
      </c>
      <c r="H21" s="984"/>
      <c r="I21" s="162"/>
    </row>
    <row r="22" spans="1:9" s="665" customFormat="1" ht="12" customHeight="1" x14ac:dyDescent="0.2">
      <c r="A22" s="991" t="s">
        <v>563</v>
      </c>
      <c r="B22" s="992"/>
      <c r="C22" s="990">
        <v>2200</v>
      </c>
      <c r="D22" s="1799"/>
      <c r="E22" s="1801">
        <f>'Expenditures 15-22'!K47-SUM('Expenditures 15-22'!G47,'Expenditures 15-22'!I47)+'Expenditures 15-22'!D243</f>
        <v>848838</v>
      </c>
      <c r="F22" s="1799"/>
      <c r="G22" s="1802">
        <f>'Expenditures 15-22'!K47-SUM('Expenditures 15-22'!G47,'Expenditures 15-22'!I47)+'Expenditures 15-22'!D243</f>
        <v>848838</v>
      </c>
      <c r="H22" s="984"/>
      <c r="I22" s="162"/>
    </row>
    <row r="23" spans="1:9" s="665" customFormat="1" ht="12" customHeight="1" x14ac:dyDescent="0.2">
      <c r="A23" s="991" t="s">
        <v>564</v>
      </c>
      <c r="B23" s="992"/>
      <c r="C23" s="990">
        <v>2300</v>
      </c>
      <c r="D23" s="1799"/>
      <c r="E23" s="1801">
        <f>'Expenditures 15-22'!K53-SUM('Expenditures 15-22'!G53,'Expenditures 15-22'!I53)+'Expenditures 15-22'!D257+'Expenditures 15-22'!K330-SUM('Expenditures 15-22'!G330,'Expenditures 15-22'!I330)</f>
        <v>1582298</v>
      </c>
      <c r="F23" s="1799"/>
      <c r="G23" s="1801">
        <f>'Expenditures 15-22'!K53-SUM('Expenditures 15-22'!G53,'Expenditures 15-22'!I53)+'Expenditures 15-22'!D257+'Expenditures 15-22'!K330-SUM('Expenditures 15-22'!G330,'Expenditures 15-22'!I330)</f>
        <v>1582298</v>
      </c>
      <c r="H23" s="984"/>
      <c r="I23" s="162"/>
    </row>
    <row r="24" spans="1:9" s="665" customFormat="1" ht="12" customHeight="1" x14ac:dyDescent="0.2">
      <c r="A24" s="991" t="s">
        <v>565</v>
      </c>
      <c r="B24" s="992"/>
      <c r="C24" s="990">
        <v>2400</v>
      </c>
      <c r="D24" s="1799"/>
      <c r="E24" s="1801">
        <f>'Expenditures 15-22'!K57-SUM('Expenditures 15-22'!G57,'Expenditures 15-22'!I57)+'Expenditures 15-22'!D261</f>
        <v>2401465</v>
      </c>
      <c r="F24" s="1799"/>
      <c r="G24" s="1802">
        <f>'Expenditures 15-22'!K57-SUM('Expenditures 15-22'!G57,'Expenditures 15-22'!I57)+'Expenditures 15-22'!D261</f>
        <v>2401465</v>
      </c>
      <c r="H24" s="984"/>
      <c r="I24" s="162"/>
    </row>
    <row r="25" spans="1:9" s="665" customFormat="1" ht="12" customHeight="1" x14ac:dyDescent="0.2">
      <c r="A25" s="987" t="s">
        <v>566</v>
      </c>
      <c r="B25" s="993"/>
      <c r="C25" s="990"/>
      <c r="D25" s="1799"/>
      <c r="E25" s="1801"/>
      <c r="F25" s="1799"/>
      <c r="G25" s="1802"/>
      <c r="H25" s="984"/>
      <c r="I25" s="162"/>
    </row>
    <row r="26" spans="1:9" s="665" customFormat="1" ht="12" customHeight="1" x14ac:dyDescent="0.2">
      <c r="A26" s="991" t="s">
        <v>514</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462</v>
      </c>
      <c r="B27" s="994"/>
      <c r="C27" s="990">
        <v>2520</v>
      </c>
      <c r="D27" s="1801">
        <f>'Expenditures 15-22'!K60-SUM('Expenditures 15-22'!G60,'Expenditures 15-22'!I60)+'Expenditures 15-22'!D264-E8</f>
        <v>268070</v>
      </c>
      <c r="E27" s="1801">
        <f>E8</f>
        <v>0</v>
      </c>
      <c r="F27" s="1801">
        <f>'Expenditures 15-22'!K60-SUM('Expenditures 15-22'!G60,'Expenditures 15-22'!I60)+'Expenditures 15-22'!D264-E8</f>
        <v>268070</v>
      </c>
      <c r="G27" s="1802">
        <f>E8</f>
        <v>0</v>
      </c>
      <c r="H27" s="984"/>
      <c r="I27" s="162"/>
    </row>
    <row r="28" spans="1:9" s="665" customFormat="1" ht="12" customHeight="1" x14ac:dyDescent="0.2">
      <c r="A28" s="991" t="s">
        <v>515</v>
      </c>
      <c r="B28" s="994"/>
      <c r="C28" s="990">
        <v>2540</v>
      </c>
      <c r="D28" s="1803"/>
      <c r="E28" s="1801">
        <f>'Expenditures 15-22'!K61-SUM('Expenditures 15-22'!G61,'Expenditures 15-22'!I61)+'Expenditures 15-22'!K124-SUM('Expenditures 15-22'!G124,'Expenditures 15-22'!I124)+'Expenditures 15-22'!D266</f>
        <v>3804719</v>
      </c>
      <c r="F28" s="1803">
        <f>'Expenditures 15-22'!K61-SUM('Expenditures 15-22'!G61,'Expenditures 15-22'!I61)+'Expenditures 15-22'!K124-SUM('Expenditures 15-22'!G124,'Expenditures 15-22'!I124)+'Expenditures 15-22'!D266-E9</f>
        <v>3804719</v>
      </c>
      <c r="G28" s="1802">
        <f>E9</f>
        <v>0</v>
      </c>
      <c r="H28" s="984"/>
      <c r="I28" s="162"/>
    </row>
    <row r="29" spans="1:9" ht="12" customHeight="1" x14ac:dyDescent="0.2">
      <c r="A29" s="991" t="s">
        <v>516</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2144603</v>
      </c>
      <c r="F29" s="1799"/>
      <c r="G29" s="1802">
        <f>'Expenditures 15-22'!K62-SUM('Expenditures 15-22'!G62,'Expenditures 15-22'!I62)+'Expenditures 15-22'!K125-SUM('Expenditures 15-22'!G125,'Expenditures 15-22'!I125)+'Expenditures 15-22'!K182-SUM('Expenditures 15-22'!G182,'Expenditures 15-22'!I182)+'Expenditures 15-22'!D267</f>
        <v>2144603</v>
      </c>
      <c r="H29" s="982"/>
    </row>
    <row r="30" spans="1:9" ht="12" customHeight="1" x14ac:dyDescent="0.2">
      <c r="A30" s="991" t="s">
        <v>100</v>
      </c>
      <c r="B30" s="994"/>
      <c r="C30" s="990">
        <v>2560</v>
      </c>
      <c r="D30" s="1799"/>
      <c r="E30" s="1801">
        <f>'Expenditures 15-22'!K63-SUM('Expenditures 15-22'!G63,'Expenditures 15-22'!I63)+'Expenditures 15-22'!D268-E10</f>
        <v>761834</v>
      </c>
      <c r="F30" s="1799"/>
      <c r="G30" s="1801">
        <f>'Expenditures 15-22'!K63-SUM('Expenditures 15-22'!G63,'Expenditures 15-22'!I63)+'Expenditures 15-22'!D268-E10</f>
        <v>761834</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517</v>
      </c>
      <c r="B32" s="993"/>
      <c r="C32" s="990"/>
      <c r="D32" s="1799"/>
      <c r="E32" s="1799"/>
      <c r="F32" s="1799"/>
      <c r="G32" s="1799"/>
    </row>
    <row r="33" spans="1:7" ht="12" customHeight="1" x14ac:dyDescent="0.2">
      <c r="A33" s="991" t="s">
        <v>518</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519</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1060</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402</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403</v>
      </c>
      <c r="B37" s="994"/>
      <c r="C37" s="990">
        <v>2660</v>
      </c>
      <c r="D37" s="1801">
        <f>'Expenditures 15-22'!K71-SUM('Expenditures 15-22'!G71,'Expenditures 15-22'!I71)+'Expenditures 15-22'!D276-E14</f>
        <v>23093</v>
      </c>
      <c r="E37" s="1801">
        <f>E14</f>
        <v>0</v>
      </c>
      <c r="F37" s="1801">
        <f>'Expenditures 15-22'!K71-SUM('Expenditures 15-22'!G71,'Expenditures 15-22'!I71)+'Expenditures 15-22'!D276-E14</f>
        <v>23093</v>
      </c>
      <c r="G37" s="1801">
        <f>E14</f>
        <v>0</v>
      </c>
    </row>
    <row r="38" spans="1:7" ht="12" customHeight="1" x14ac:dyDescent="0.2">
      <c r="A38" s="987" t="s">
        <v>520</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1057736</v>
      </c>
      <c r="F38" s="1799"/>
      <c r="G38" s="1801">
        <f>'Expenditures 15-22'!K73-SUM('Expenditures 15-22'!G73,'Expenditures 15-22'!I73)+'Expenditures 15-22'!K128-SUM('Expenditures 15-22'!G128,'Expenditures 15-22'!I128)+'Expenditures 15-22'!K183-SUM('Expenditures 15-22'!G183,'Expenditures 15-22'!I183)+'Expenditures 15-22'!D278</f>
        <v>1057736</v>
      </c>
    </row>
    <row r="39" spans="1:7" ht="12" customHeight="1" x14ac:dyDescent="0.2">
      <c r="A39" s="987" t="s">
        <v>448</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2084</v>
      </c>
      <c r="F39" s="1799"/>
      <c r="G39" s="1801">
        <f>'Expenditures 15-22'!K75-SUM('Expenditures 15-22'!G75,'Expenditures 15-22'!I75)+'Expenditures 15-22'!K130-SUM('Expenditures 15-22'!G130,'Expenditures 15-22'!I130)+'Expenditures 15-22'!K185-SUM('Expenditures 15-22'!G185,'Expenditures 15-22'!I185)+'Expenditures 15-22'!D280</f>
        <v>2084</v>
      </c>
    </row>
    <row r="40" spans="1:7" ht="12" customHeight="1" x14ac:dyDescent="0.2">
      <c r="A40" s="987" t="s">
        <v>1819</v>
      </c>
      <c r="B40" s="988"/>
      <c r="C40" s="990"/>
      <c r="D40" s="1799"/>
      <c r="E40" s="1803">
        <f>-'Contracts Paid in CY 29'!G141</f>
        <v>-11617</v>
      </c>
      <c r="F40" s="1799"/>
      <c r="G40" s="1803">
        <f>-'Contracts Paid in CY 29'!G141</f>
        <v>-11617</v>
      </c>
    </row>
    <row r="41" spans="1:7" ht="12" customHeight="1" x14ac:dyDescent="0.2">
      <c r="A41" s="995" t="s">
        <v>156</v>
      </c>
      <c r="B41" s="996"/>
      <c r="C41" s="997"/>
      <c r="D41" s="1803">
        <f>SUM(D19:D39)</f>
        <v>291163</v>
      </c>
      <c r="E41" s="1803">
        <f>SUM(E19:E40)</f>
        <v>37368139</v>
      </c>
      <c r="F41" s="1803">
        <f>SUM(F19:F39)</f>
        <v>4095882</v>
      </c>
      <c r="G41" s="1803">
        <f>SUM(G19:G40)</f>
        <v>33563420</v>
      </c>
    </row>
    <row r="42" spans="1:7" x14ac:dyDescent="0.2">
      <c r="A42" s="984"/>
      <c r="B42" s="162"/>
      <c r="C42" s="998"/>
      <c r="D42" s="2404" t="s">
        <v>521</v>
      </c>
      <c r="E42" s="2405"/>
      <c r="F42" s="999" t="s">
        <v>522</v>
      </c>
      <c r="G42" s="1000"/>
    </row>
    <row r="43" spans="1:7" ht="12" customHeight="1" x14ac:dyDescent="0.2">
      <c r="A43" s="984"/>
      <c r="B43" s="162"/>
      <c r="C43" s="998"/>
      <c r="D43" s="1804" t="s">
        <v>472</v>
      </c>
      <c r="E43" s="1805">
        <f>D41</f>
        <v>291163</v>
      </c>
      <c r="F43" s="1804" t="s">
        <v>472</v>
      </c>
      <c r="G43" s="1805">
        <f>F41</f>
        <v>4095882</v>
      </c>
    </row>
    <row r="44" spans="1:7" ht="12" customHeight="1" x14ac:dyDescent="0.2">
      <c r="A44" s="984"/>
      <c r="B44" s="162"/>
      <c r="C44" s="998"/>
      <c r="D44" s="1804" t="s">
        <v>473</v>
      </c>
      <c r="E44" s="1805">
        <f>E41</f>
        <v>37368139</v>
      </c>
      <c r="F44" s="1804" t="s">
        <v>473</v>
      </c>
      <c r="G44" s="1805">
        <f>G41</f>
        <v>33563420</v>
      </c>
    </row>
    <row r="45" spans="1:7" ht="12" customHeight="1" x14ac:dyDescent="0.2">
      <c r="A45" s="984"/>
      <c r="B45" s="162"/>
      <c r="C45" s="162"/>
      <c r="D45" s="1806" t="s">
        <v>1005</v>
      </c>
      <c r="E45" s="1807">
        <f>(E43/E44)</f>
        <v>7.7917447267042122E-3</v>
      </c>
      <c r="F45" s="1806" t="s">
        <v>1005</v>
      </c>
      <c r="G45" s="1807">
        <f>(G43/G44)</f>
        <v>0.12203410737046463</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B5" sqref="B5"/>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423" t="s">
        <v>1378</v>
      </c>
      <c r="B1" s="2423"/>
      <c r="C1" s="2423"/>
      <c r="D1" s="2423"/>
      <c r="E1" s="2423"/>
      <c r="F1" s="2423"/>
    </row>
    <row r="2" spans="1:10" x14ac:dyDescent="0.2">
      <c r="A2" s="1884" t="s">
        <v>1908</v>
      </c>
      <c r="B2" s="1845"/>
      <c r="C2" s="1884"/>
      <c r="D2" s="1845"/>
      <c r="E2" s="1845"/>
      <c r="F2" s="1846"/>
    </row>
    <row r="3" spans="1:10" x14ac:dyDescent="0.2">
      <c r="A3" s="1884" t="s">
        <v>1974</v>
      </c>
      <c r="B3" s="1845"/>
      <c r="C3" s="1884"/>
      <c r="D3" s="1845"/>
      <c r="E3" s="1845"/>
      <c r="F3" s="1846"/>
    </row>
    <row r="4" spans="1:10" ht="3.75" customHeight="1" x14ac:dyDescent="0.2">
      <c r="A4" s="1845"/>
      <c r="B4" s="1845"/>
      <c r="C4" s="1845"/>
      <c r="D4" s="1845"/>
      <c r="E4" s="1845"/>
      <c r="F4" s="1846"/>
    </row>
    <row r="5" spans="1:10" ht="15" x14ac:dyDescent="0.25">
      <c r="A5" s="2424" t="s">
        <v>1545</v>
      </c>
      <c r="B5" s="2425"/>
      <c r="C5" s="2426"/>
      <c r="D5" s="2426"/>
      <c r="E5" s="2426"/>
      <c r="F5" s="2426"/>
    </row>
    <row r="6" spans="1:10" ht="12" customHeight="1" x14ac:dyDescent="0.25">
      <c r="A6" s="1847"/>
      <c r="B6" s="1848"/>
      <c r="C6" s="2427" t="str">
        <f>COVER!A17</f>
        <v>Dunlap CUSD 323</v>
      </c>
      <c r="D6" s="2427"/>
      <c r="E6" s="2427"/>
      <c r="F6" s="1849"/>
    </row>
    <row r="7" spans="1:10" ht="11.25" customHeight="1" thickBot="1" x14ac:dyDescent="0.3">
      <c r="A7" s="1847"/>
      <c r="B7" s="1848"/>
      <c r="C7" s="2428">
        <f>COVER!A13</f>
        <v>48072323026</v>
      </c>
      <c r="D7" s="2428"/>
      <c r="E7" s="2428"/>
      <c r="F7" s="1849"/>
    </row>
    <row r="8" spans="1:10" ht="25.5" customHeight="1" thickBot="1" x14ac:dyDescent="0.25">
      <c r="A8" s="1890" t="s">
        <v>1904</v>
      </c>
      <c r="B8" s="1850"/>
      <c r="C8" s="1886" t="s">
        <v>1680</v>
      </c>
      <c r="D8" s="1885" t="s">
        <v>1681</v>
      </c>
      <c r="E8" s="1887" t="s">
        <v>1379</v>
      </c>
      <c r="F8" s="1885" t="s">
        <v>1682</v>
      </c>
      <c r="H8" s="1851" t="b">
        <v>0</v>
      </c>
    </row>
    <row r="9" spans="1:10" ht="15.75" customHeight="1" x14ac:dyDescent="0.2">
      <c r="A9" s="1852" t="s">
        <v>1541</v>
      </c>
      <c r="B9" s="1853"/>
      <c r="C9" s="1854"/>
      <c r="D9" s="1854"/>
      <c r="E9" s="1855"/>
      <c r="F9" s="1856"/>
    </row>
    <row r="10" spans="1:10" ht="27.75" customHeight="1" x14ac:dyDescent="0.2">
      <c r="A10" s="1857" t="s">
        <v>1679</v>
      </c>
      <c r="B10" s="1858"/>
      <c r="C10" s="1859"/>
      <c r="D10" s="1859"/>
      <c r="E10" s="1888" t="s">
        <v>1380</v>
      </c>
      <c r="F10" s="1889" t="s">
        <v>1381</v>
      </c>
    </row>
    <row r="11" spans="1:10" ht="12" customHeight="1" x14ac:dyDescent="0.2">
      <c r="A11" s="1860" t="s">
        <v>1382</v>
      </c>
      <c r="B11" s="1861"/>
      <c r="C11" s="1862"/>
      <c r="D11" s="1862"/>
      <c r="E11" s="1863"/>
      <c r="F11" s="1864"/>
      <c r="H11" s="1875">
        <f>IF(C11="X",5,0)</f>
        <v>0</v>
      </c>
      <c r="I11" s="1875">
        <f>IF(D11="X",5,0)</f>
        <v>0</v>
      </c>
      <c r="J11" s="1875">
        <f>IF(E11="X",5,0)</f>
        <v>0</v>
      </c>
    </row>
    <row r="12" spans="1:10" ht="12" customHeight="1" x14ac:dyDescent="0.2">
      <c r="A12" s="1860" t="s">
        <v>1383</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1384</v>
      </c>
      <c r="B13" s="1861"/>
      <c r="C13" s="1862"/>
      <c r="D13" s="1862"/>
      <c r="E13" s="1865"/>
      <c r="F13" s="1864"/>
      <c r="H13" s="1875">
        <f t="shared" si="0"/>
        <v>0</v>
      </c>
      <c r="I13" s="1875">
        <f t="shared" si="1"/>
        <v>0</v>
      </c>
      <c r="J13" s="1875">
        <f t="shared" si="2"/>
        <v>0</v>
      </c>
    </row>
    <row r="14" spans="1:10" ht="12" customHeight="1" x14ac:dyDescent="0.2">
      <c r="A14" s="1860" t="s">
        <v>1385</v>
      </c>
      <c r="B14" s="1861"/>
      <c r="C14" s="1862"/>
      <c r="D14" s="1862"/>
      <c r="E14" s="1865"/>
      <c r="F14" s="1864"/>
      <c r="H14" s="1875">
        <f t="shared" si="0"/>
        <v>0</v>
      </c>
      <c r="I14" s="1875">
        <f t="shared" si="1"/>
        <v>0</v>
      </c>
      <c r="J14" s="1875">
        <f t="shared" si="2"/>
        <v>0</v>
      </c>
    </row>
    <row r="15" spans="1:10" ht="12" customHeight="1" x14ac:dyDescent="0.2">
      <c r="A15" s="1860" t="s">
        <v>1386</v>
      </c>
      <c r="B15" s="1861"/>
      <c r="C15" s="1862"/>
      <c r="D15" s="1862"/>
      <c r="E15" s="1865"/>
      <c r="F15" s="1864"/>
      <c r="H15" s="1875">
        <f t="shared" si="0"/>
        <v>0</v>
      </c>
      <c r="I15" s="1875">
        <f t="shared" si="1"/>
        <v>0</v>
      </c>
      <c r="J15" s="1875">
        <f t="shared" si="2"/>
        <v>0</v>
      </c>
    </row>
    <row r="16" spans="1:10" ht="12" customHeight="1" x14ac:dyDescent="0.2">
      <c r="A16" s="1860" t="s">
        <v>1387</v>
      </c>
      <c r="B16" s="1861"/>
      <c r="C16" s="1862"/>
      <c r="D16" s="1862"/>
      <c r="E16" s="1865"/>
      <c r="F16" s="1864"/>
      <c r="H16" s="1875">
        <f t="shared" si="0"/>
        <v>0</v>
      </c>
      <c r="I16" s="1875">
        <f t="shared" si="1"/>
        <v>0</v>
      </c>
      <c r="J16" s="1875">
        <f t="shared" si="2"/>
        <v>0</v>
      </c>
    </row>
    <row r="17" spans="1:12" ht="12" customHeight="1" x14ac:dyDescent="0.2">
      <c r="A17" s="1860" t="s">
        <v>1388</v>
      </c>
      <c r="B17" s="1861"/>
      <c r="C17" s="1862"/>
      <c r="D17" s="1862"/>
      <c r="E17" s="1865"/>
      <c r="F17" s="1864"/>
      <c r="H17" s="1875">
        <f t="shared" si="0"/>
        <v>0</v>
      </c>
      <c r="I17" s="1875">
        <f t="shared" si="1"/>
        <v>0</v>
      </c>
      <c r="J17" s="1875">
        <f t="shared" si="2"/>
        <v>0</v>
      </c>
    </row>
    <row r="18" spans="1:12" ht="12" customHeight="1" x14ac:dyDescent="0.2">
      <c r="A18" s="1860" t="s">
        <v>1389</v>
      </c>
      <c r="B18" s="1861"/>
      <c r="C18" s="1862"/>
      <c r="D18" s="1862"/>
      <c r="E18" s="1865"/>
      <c r="F18" s="1864"/>
      <c r="H18" s="1875">
        <f t="shared" si="0"/>
        <v>0</v>
      </c>
      <c r="I18" s="1875">
        <f t="shared" si="1"/>
        <v>0</v>
      </c>
      <c r="J18" s="1875">
        <f t="shared" si="2"/>
        <v>0</v>
      </c>
    </row>
    <row r="19" spans="1:12" ht="12" customHeight="1" x14ac:dyDescent="0.2">
      <c r="A19" s="1860" t="s">
        <v>1526</v>
      </c>
      <c r="B19" s="1861"/>
      <c r="C19" s="1862" t="s">
        <v>2066</v>
      </c>
      <c r="D19" s="1862" t="s">
        <v>2066</v>
      </c>
      <c r="E19" s="1865"/>
      <c r="F19" s="1864" t="s">
        <v>2089</v>
      </c>
      <c r="H19" s="1875">
        <f t="shared" si="0"/>
        <v>5</v>
      </c>
      <c r="I19" s="1875">
        <f t="shared" si="1"/>
        <v>5</v>
      </c>
      <c r="J19" s="1875">
        <f t="shared" si="2"/>
        <v>0</v>
      </c>
    </row>
    <row r="20" spans="1:12" ht="12" customHeight="1" x14ac:dyDescent="0.2">
      <c r="A20" s="1860" t="s">
        <v>1527</v>
      </c>
      <c r="B20" s="1861"/>
      <c r="C20" s="1862"/>
      <c r="D20" s="1862"/>
      <c r="E20" s="1865"/>
      <c r="F20" s="1864"/>
      <c r="H20" s="1875">
        <f t="shared" si="0"/>
        <v>0</v>
      </c>
      <c r="I20" s="1875">
        <f t="shared" si="1"/>
        <v>0</v>
      </c>
      <c r="J20" s="1875">
        <f t="shared" si="2"/>
        <v>0</v>
      </c>
    </row>
    <row r="21" spans="1:12" ht="12" customHeight="1" x14ac:dyDescent="0.2">
      <c r="A21" s="1860" t="s">
        <v>1528</v>
      </c>
      <c r="B21" s="1861"/>
      <c r="C21" s="1862" t="s">
        <v>2066</v>
      </c>
      <c r="D21" s="1862" t="s">
        <v>2066</v>
      </c>
      <c r="E21" s="1865"/>
      <c r="F21" s="1864" t="s">
        <v>2090</v>
      </c>
      <c r="H21" s="1875">
        <f t="shared" si="0"/>
        <v>5</v>
      </c>
      <c r="I21" s="1875">
        <f t="shared" si="1"/>
        <v>5</v>
      </c>
      <c r="J21" s="1875">
        <f t="shared" si="2"/>
        <v>0</v>
      </c>
    </row>
    <row r="22" spans="1:12" ht="12" customHeight="1" x14ac:dyDescent="0.2">
      <c r="A22" s="1860" t="s">
        <v>1529</v>
      </c>
      <c r="B22" s="1861"/>
      <c r="C22" s="1862"/>
      <c r="D22" s="1862"/>
      <c r="E22" s="1865"/>
      <c r="F22" s="1864"/>
      <c r="H22" s="1875">
        <f t="shared" si="0"/>
        <v>0</v>
      </c>
      <c r="I22" s="1875">
        <f t="shared" si="1"/>
        <v>0</v>
      </c>
      <c r="J22" s="1875">
        <f t="shared" si="2"/>
        <v>0</v>
      </c>
    </row>
    <row r="23" spans="1:12" ht="12" customHeight="1" x14ac:dyDescent="0.2">
      <c r="A23" s="1860" t="s">
        <v>1530</v>
      </c>
      <c r="B23" s="1861"/>
      <c r="C23" s="1862"/>
      <c r="D23" s="1862"/>
      <c r="E23" s="1865"/>
      <c r="F23" s="1864"/>
      <c r="H23" s="1875">
        <f t="shared" si="0"/>
        <v>0</v>
      </c>
      <c r="I23" s="1875">
        <f t="shared" si="1"/>
        <v>0</v>
      </c>
      <c r="J23" s="1875">
        <f t="shared" si="2"/>
        <v>0</v>
      </c>
    </row>
    <row r="24" spans="1:12" ht="12" customHeight="1" x14ac:dyDescent="0.2">
      <c r="A24" s="1860" t="s">
        <v>1531</v>
      </c>
      <c r="B24" s="1861"/>
      <c r="C24" s="1862"/>
      <c r="D24" s="1862"/>
      <c r="E24" s="1865"/>
      <c r="F24" s="1864"/>
      <c r="H24" s="1875">
        <f t="shared" si="0"/>
        <v>0</v>
      </c>
      <c r="I24" s="1875">
        <f t="shared" si="1"/>
        <v>0</v>
      </c>
      <c r="J24" s="1875">
        <f t="shared" si="2"/>
        <v>0</v>
      </c>
    </row>
    <row r="25" spans="1:12" ht="12" customHeight="1" x14ac:dyDescent="0.2">
      <c r="A25" s="1860" t="s">
        <v>1532</v>
      </c>
      <c r="B25" s="1861"/>
      <c r="C25" s="1862"/>
      <c r="D25" s="1862"/>
      <c r="E25" s="1865"/>
      <c r="F25" s="1864"/>
      <c r="H25" s="1875">
        <f t="shared" si="0"/>
        <v>0</v>
      </c>
      <c r="I25" s="1875">
        <f t="shared" si="1"/>
        <v>0</v>
      </c>
      <c r="J25" s="1875">
        <f t="shared" si="2"/>
        <v>0</v>
      </c>
    </row>
    <row r="26" spans="1:12" ht="12" customHeight="1" x14ac:dyDescent="0.2">
      <c r="A26" s="1860" t="s">
        <v>1533</v>
      </c>
      <c r="B26" s="1861"/>
      <c r="C26" s="1862" t="s">
        <v>2066</v>
      </c>
      <c r="D26" s="1862" t="s">
        <v>2066</v>
      </c>
      <c r="E26" s="1865"/>
      <c r="F26" s="1864" t="s">
        <v>2091</v>
      </c>
      <c r="H26" s="1875">
        <f t="shared" si="0"/>
        <v>5</v>
      </c>
      <c r="I26" s="1875">
        <f t="shared" si="1"/>
        <v>5</v>
      </c>
      <c r="J26" s="1875">
        <f t="shared" si="2"/>
        <v>0</v>
      </c>
    </row>
    <row r="27" spans="1:12" ht="18.75" x14ac:dyDescent="0.2">
      <c r="A27" s="1860" t="s">
        <v>1534</v>
      </c>
      <c r="B27" s="1861"/>
      <c r="C27" s="1862"/>
      <c r="D27" s="1862"/>
      <c r="E27" s="1865"/>
      <c r="F27" s="1864"/>
      <c r="H27" s="1875">
        <f t="shared" si="0"/>
        <v>0</v>
      </c>
      <c r="I27" s="1875">
        <f t="shared" si="1"/>
        <v>0</v>
      </c>
      <c r="J27" s="1875">
        <f t="shared" si="2"/>
        <v>0</v>
      </c>
    </row>
    <row r="28" spans="1:12" ht="12" customHeight="1" x14ac:dyDescent="0.2">
      <c r="A28" s="1860" t="s">
        <v>1535</v>
      </c>
      <c r="B28" s="1861"/>
      <c r="C28" s="1862"/>
      <c r="D28" s="1862"/>
      <c r="E28" s="1865"/>
      <c r="F28" s="1864"/>
      <c r="H28" s="1875">
        <f t="shared" si="0"/>
        <v>0</v>
      </c>
      <c r="I28" s="1875">
        <f t="shared" si="1"/>
        <v>0</v>
      </c>
      <c r="J28" s="1875">
        <f t="shared" si="2"/>
        <v>0</v>
      </c>
    </row>
    <row r="29" spans="1:12" ht="12" customHeight="1" x14ac:dyDescent="0.2">
      <c r="A29" s="1860" t="s">
        <v>1536</v>
      </c>
      <c r="B29" s="1861"/>
      <c r="C29" s="1862"/>
      <c r="D29" s="1862"/>
      <c r="E29" s="1865"/>
      <c r="F29" s="1864"/>
      <c r="H29" s="1875">
        <f t="shared" si="0"/>
        <v>0</v>
      </c>
      <c r="I29" s="1875">
        <f t="shared" si="1"/>
        <v>0</v>
      </c>
      <c r="J29" s="1875">
        <f t="shared" si="2"/>
        <v>0</v>
      </c>
    </row>
    <row r="30" spans="1:12" ht="12" customHeight="1" x14ac:dyDescent="0.2">
      <c r="A30" s="1860" t="s">
        <v>1537</v>
      </c>
      <c r="B30" s="1861"/>
      <c r="C30" s="1862"/>
      <c r="D30" s="1862"/>
      <c r="E30" s="1865"/>
      <c r="F30" s="1864"/>
      <c r="H30" s="1875">
        <f t="shared" si="0"/>
        <v>0</v>
      </c>
      <c r="I30" s="1875">
        <f t="shared" si="1"/>
        <v>0</v>
      </c>
      <c r="J30" s="1875">
        <f t="shared" si="2"/>
        <v>0</v>
      </c>
    </row>
    <row r="31" spans="1:12" ht="12" customHeight="1" x14ac:dyDescent="0.2">
      <c r="A31" s="1860" t="s">
        <v>1538</v>
      </c>
      <c r="B31" s="1861"/>
      <c r="C31" s="1862"/>
      <c r="D31" s="1862"/>
      <c r="E31" s="1865"/>
      <c r="F31" s="1864"/>
      <c r="H31" s="1875">
        <f t="shared" si="0"/>
        <v>0</v>
      </c>
      <c r="I31" s="1875">
        <f t="shared" si="1"/>
        <v>0</v>
      </c>
      <c r="J31" s="1875">
        <f t="shared" si="2"/>
        <v>0</v>
      </c>
      <c r="L31" s="1866"/>
    </row>
    <row r="32" spans="1:12" ht="12" customHeight="1" x14ac:dyDescent="0.2">
      <c r="A32" s="1860" t="s">
        <v>1539</v>
      </c>
      <c r="B32" s="1861"/>
      <c r="C32" s="1862" t="s">
        <v>2066</v>
      </c>
      <c r="D32" s="1862" t="s">
        <v>2066</v>
      </c>
      <c r="E32" s="1865"/>
      <c r="F32" s="1864" t="s">
        <v>2092</v>
      </c>
      <c r="H32" s="1875">
        <f t="shared" si="0"/>
        <v>5</v>
      </c>
      <c r="I32" s="1875">
        <f t="shared" si="1"/>
        <v>5</v>
      </c>
      <c r="J32" s="1875">
        <f t="shared" si="2"/>
        <v>0</v>
      </c>
    </row>
    <row r="33" spans="1:11" ht="12" customHeight="1" x14ac:dyDescent="0.2">
      <c r="A33" s="1860" t="s">
        <v>1540</v>
      </c>
      <c r="B33" s="1861"/>
      <c r="C33" s="1862" t="s">
        <v>2066</v>
      </c>
      <c r="D33" s="1862" t="s">
        <v>2066</v>
      </c>
      <c r="E33" s="1865"/>
      <c r="F33" s="1864" t="s">
        <v>2093</v>
      </c>
      <c r="H33" s="1875">
        <f t="shared" si="0"/>
        <v>5</v>
      </c>
      <c r="I33" s="1875">
        <f t="shared" si="1"/>
        <v>5</v>
      </c>
      <c r="J33" s="1875">
        <f t="shared" si="2"/>
        <v>0</v>
      </c>
    </row>
    <row r="34" spans="1:11" ht="12" customHeight="1" x14ac:dyDescent="0.25">
      <c r="A34" s="1867"/>
      <c r="B34" s="1867"/>
      <c r="C34" s="1867"/>
      <c r="D34" s="1867"/>
      <c r="E34" s="1867"/>
      <c r="F34" s="1867"/>
      <c r="H34" s="1875">
        <f>SUM(H11:H32)</f>
        <v>20</v>
      </c>
      <c r="I34" s="1875">
        <f>SUM(I11:I32)</f>
        <v>20</v>
      </c>
      <c r="J34" s="1875">
        <f>SUM(J11:J32)</f>
        <v>0</v>
      </c>
      <c r="K34" s="1875">
        <f>SUM(H34:J34)</f>
        <v>40</v>
      </c>
    </row>
    <row r="35" spans="1:11" ht="12" customHeight="1" x14ac:dyDescent="0.2">
      <c r="A35" s="1868" t="s">
        <v>1391</v>
      </c>
      <c r="B35" s="1869"/>
      <c r="C35" s="2429"/>
      <c r="D35" s="2429"/>
      <c r="E35" s="2429"/>
      <c r="F35" s="2430"/>
    </row>
    <row r="36" spans="1:11" ht="12" customHeight="1" x14ac:dyDescent="0.2">
      <c r="A36" s="2412"/>
      <c r="B36" s="2413"/>
      <c r="C36" s="2413"/>
      <c r="D36" s="2413"/>
      <c r="E36" s="2413"/>
      <c r="F36" s="2414"/>
    </row>
    <row r="37" spans="1:11" ht="12" customHeight="1" x14ac:dyDescent="0.2">
      <c r="A37" s="2412"/>
      <c r="B37" s="2413"/>
      <c r="C37" s="2413"/>
      <c r="D37" s="2413"/>
      <c r="E37" s="2413"/>
      <c r="F37" s="2414"/>
    </row>
    <row r="38" spans="1:11" ht="12" customHeight="1" x14ac:dyDescent="0.2">
      <c r="A38" s="2415"/>
      <c r="B38" s="2416"/>
      <c r="C38" s="2416"/>
      <c r="D38" s="2416"/>
      <c r="E38" s="2416"/>
      <c r="F38" s="2417"/>
    </row>
    <row r="39" spans="1:11" ht="4.5" hidden="1" customHeight="1" x14ac:dyDescent="0.2">
      <c r="A39" s="1870"/>
      <c r="B39" s="1870"/>
      <c r="C39" s="1870"/>
      <c r="D39" s="1870"/>
      <c r="E39" s="1870"/>
      <c r="F39" s="1870"/>
    </row>
    <row r="40" spans="1:11" s="1867" customFormat="1" ht="12" customHeight="1" x14ac:dyDescent="0.25">
      <c r="A40" s="1871" t="s">
        <v>1390</v>
      </c>
      <c r="B40" s="1872"/>
      <c r="C40" s="2418"/>
      <c r="D40" s="2418"/>
      <c r="E40" s="2418"/>
      <c r="F40" s="2419"/>
      <c r="H40" s="1876"/>
      <c r="I40" s="1876"/>
      <c r="J40" s="1876"/>
      <c r="K40" s="1876"/>
    </row>
    <row r="41" spans="1:11" s="1867" customFormat="1" ht="12" customHeight="1" x14ac:dyDescent="0.25">
      <c r="A41" s="2420"/>
      <c r="B41" s="2421"/>
      <c r="C41" s="2421"/>
      <c r="D41" s="2421"/>
      <c r="E41" s="2421"/>
      <c r="F41" s="2422"/>
      <c r="H41" s="1876"/>
      <c r="I41" s="1876"/>
      <c r="J41" s="1876"/>
      <c r="K41" s="1876"/>
    </row>
    <row r="42" spans="1:11" s="1867" customFormat="1" ht="12" customHeight="1" x14ac:dyDescent="0.25">
      <c r="A42" s="2420"/>
      <c r="B42" s="2421"/>
      <c r="C42" s="2421"/>
      <c r="D42" s="2421"/>
      <c r="E42" s="2421"/>
      <c r="F42" s="2422"/>
      <c r="H42" s="1876"/>
      <c r="I42" s="1876"/>
      <c r="J42" s="1876"/>
      <c r="K42" s="1876"/>
    </row>
    <row r="43" spans="1:11" s="1867" customFormat="1" ht="15" x14ac:dyDescent="0.25">
      <c r="A43" s="2409"/>
      <c r="B43" s="2410"/>
      <c r="C43" s="2410"/>
      <c r="D43" s="2410"/>
      <c r="E43" s="2410"/>
      <c r="F43" s="2411"/>
      <c r="H43" s="1876"/>
      <c r="I43" s="1876"/>
      <c r="J43" s="1876"/>
      <c r="K43" s="1876"/>
    </row>
    <row r="44" spans="1:11" s="1867" customFormat="1" ht="12" hidden="1" customHeight="1" x14ac:dyDescent="0.25">
      <c r="A44" s="2409"/>
      <c r="B44" s="2410"/>
      <c r="C44" s="2410"/>
      <c r="D44" s="2410"/>
      <c r="E44" s="2410"/>
      <c r="F44" s="2411"/>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404</v>
      </c>
      <c r="G1" s="1010"/>
    </row>
    <row r="2" spans="1:17" ht="11.85" customHeight="1" x14ac:dyDescent="0.2">
      <c r="A2" s="1005"/>
      <c r="B2" s="1006"/>
      <c r="E2" s="1008"/>
      <c r="F2" s="1011" t="s">
        <v>289</v>
      </c>
      <c r="G2" s="1010"/>
    </row>
    <row r="3" spans="1:17" ht="11.85" customHeight="1" x14ac:dyDescent="0.2">
      <c r="E3" s="1008"/>
      <c r="F3" s="1011" t="s">
        <v>405</v>
      </c>
      <c r="G3" s="1008"/>
    </row>
    <row r="4" spans="1:17" ht="11.85" customHeight="1" x14ac:dyDescent="0.2">
      <c r="E4" s="1008"/>
      <c r="F4" s="1011" t="s">
        <v>867</v>
      </c>
      <c r="G4" s="1008"/>
    </row>
    <row r="5" spans="1:17" ht="12.2" customHeight="1" x14ac:dyDescent="0.2">
      <c r="F5" s="1011"/>
    </row>
    <row r="6" spans="1:17" x14ac:dyDescent="0.2">
      <c r="A6" s="1891" t="s">
        <v>671</v>
      </c>
      <c r="B6" s="1639"/>
      <c r="C6" s="1639"/>
      <c r="D6" s="1639"/>
      <c r="E6" s="1640"/>
      <c r="F6" s="1012"/>
      <c r="G6" s="1006"/>
      <c r="H6" s="1013" t="s">
        <v>1027</v>
      </c>
      <c r="I6" s="2436" t="str">
        <f>COVER!A17</f>
        <v>Dunlap CUSD 323</v>
      </c>
      <c r="J6" s="2437"/>
      <c r="Q6" s="1661"/>
    </row>
    <row r="7" spans="1:17" x14ac:dyDescent="0.2">
      <c r="A7" s="2438" t="s">
        <v>868</v>
      </c>
      <c r="B7" s="2439"/>
      <c r="C7" s="2439"/>
      <c r="D7" s="2439"/>
      <c r="E7" s="2440"/>
      <c r="F7" s="1014"/>
      <c r="G7" s="1006"/>
      <c r="H7" s="1013" t="s">
        <v>371</v>
      </c>
      <c r="I7" s="2441">
        <f>COVER!A13</f>
        <v>48072323026</v>
      </c>
      <c r="J7" s="2441"/>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1975</v>
      </c>
      <c r="F9" s="1020"/>
      <c r="G9" s="1020"/>
      <c r="H9" s="1893" t="s">
        <v>1976</v>
      </c>
      <c r="I9" s="1020"/>
      <c r="J9" s="1021"/>
    </row>
    <row r="10" spans="1:17" s="1029" customFormat="1" ht="13.5" customHeight="1" x14ac:dyDescent="0.2">
      <c r="A10" s="1022"/>
      <c r="B10" s="1023"/>
      <c r="C10" s="1024"/>
      <c r="D10" s="1025"/>
      <c r="E10" s="1026" t="s">
        <v>424</v>
      </c>
      <c r="F10" s="1027" t="s">
        <v>425</v>
      </c>
      <c r="G10" s="1028"/>
      <c r="H10" s="1027" t="s">
        <v>424</v>
      </c>
      <c r="I10" s="1027" t="s">
        <v>425</v>
      </c>
      <c r="J10" s="1027"/>
    </row>
    <row r="11" spans="1:17" s="1029" customFormat="1" ht="22.5" x14ac:dyDescent="0.2">
      <c r="A11" s="2442" t="s">
        <v>480</v>
      </c>
      <c r="B11" s="2443"/>
      <c r="C11" s="2444"/>
      <c r="D11" s="1030" t="s">
        <v>870</v>
      </c>
      <c r="E11" s="1030" t="s">
        <v>64</v>
      </c>
      <c r="F11" s="1030" t="s">
        <v>6</v>
      </c>
      <c r="G11" s="1031" t="s">
        <v>156</v>
      </c>
      <c r="H11" s="1031" t="s">
        <v>64</v>
      </c>
      <c r="I11" s="1030" t="s">
        <v>6</v>
      </c>
      <c r="J11" s="1031" t="s">
        <v>156</v>
      </c>
    </row>
    <row r="12" spans="1:17" ht="15" customHeight="1" x14ac:dyDescent="0.2">
      <c r="A12" s="1032">
        <v>1</v>
      </c>
      <c r="B12" s="1033" t="s">
        <v>817</v>
      </c>
      <c r="C12" s="1034"/>
      <c r="D12" s="1035">
        <v>2320</v>
      </c>
      <c r="E12" s="1808">
        <f>'Expenditures 15-22'!K50</f>
        <v>524717</v>
      </c>
      <c r="F12" s="1036"/>
      <c r="G12" s="1808">
        <f t="shared" ref="G12:G18" si="0">SUM(E12:F12)</f>
        <v>524717</v>
      </c>
      <c r="H12" s="1037">
        <v>435366</v>
      </c>
      <c r="I12" s="1036"/>
      <c r="J12" s="1808">
        <f t="shared" ref="J12:J18" si="1">SUM(H12:I12)</f>
        <v>435366</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1067</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1059</v>
      </c>
      <c r="C17" s="1034"/>
      <c r="D17" s="1035">
        <v>2610</v>
      </c>
      <c r="E17" s="1808">
        <f>'Expenditures 15-22'!K67</f>
        <v>0</v>
      </c>
      <c r="F17" s="1036"/>
      <c r="G17" s="1808">
        <f t="shared" si="0"/>
        <v>0</v>
      </c>
      <c r="H17" s="1037"/>
      <c r="I17" s="1036"/>
      <c r="J17" s="1808">
        <f t="shared" si="1"/>
        <v>0</v>
      </c>
    </row>
    <row r="18" spans="1:10" ht="22.5" customHeight="1" x14ac:dyDescent="0.2">
      <c r="A18" s="1039">
        <v>7</v>
      </c>
      <c r="B18" s="2445" t="s">
        <v>7</v>
      </c>
      <c r="C18" s="2446"/>
      <c r="D18" s="2447"/>
      <c r="E18" s="1040"/>
      <c r="F18" s="1040"/>
      <c r="G18" s="1809">
        <f t="shared" si="0"/>
        <v>0</v>
      </c>
      <c r="H18" s="1037"/>
      <c r="I18" s="1037"/>
      <c r="J18" s="1808">
        <f t="shared" si="1"/>
        <v>0</v>
      </c>
    </row>
    <row r="19" spans="1:10" ht="12.75" customHeight="1" thickBot="1" x14ac:dyDescent="0.25">
      <c r="A19" s="1032">
        <v>8</v>
      </c>
      <c r="B19" s="1041" t="s">
        <v>1160</v>
      </c>
      <c r="D19" s="1042"/>
      <c r="E19" s="1810">
        <f t="shared" ref="E19:J19" si="2">SUM(E12:E17)-E18</f>
        <v>524717</v>
      </c>
      <c r="F19" s="1810">
        <f t="shared" si="2"/>
        <v>0</v>
      </c>
      <c r="G19" s="1810">
        <f t="shared" si="2"/>
        <v>524717</v>
      </c>
      <c r="H19" s="1810">
        <f t="shared" si="2"/>
        <v>435366</v>
      </c>
      <c r="I19" s="1810">
        <f t="shared" si="2"/>
        <v>0</v>
      </c>
      <c r="J19" s="1810">
        <f t="shared" si="2"/>
        <v>435366</v>
      </c>
    </row>
    <row r="20" spans="1:10" ht="13.5" thickTop="1" x14ac:dyDescent="0.2">
      <c r="A20" s="1032">
        <v>9</v>
      </c>
      <c r="B20" s="2448" t="s">
        <v>1977</v>
      </c>
      <c r="C20" s="2448"/>
      <c r="D20" s="2449"/>
      <c r="E20" s="1043"/>
      <c r="F20" s="1043"/>
      <c r="G20" s="1043"/>
      <c r="H20" s="1043"/>
      <c r="I20" s="1043"/>
      <c r="J20" s="1811">
        <f>IF(AND(G19&gt;0,J19&gt;0),(((J19-G19)/G19)),"Enter Budget Data")</f>
        <v>-0.17028417222998302</v>
      </c>
    </row>
    <row r="21" spans="1:10" ht="9" customHeight="1" x14ac:dyDescent="0.2">
      <c r="B21" s="1044"/>
    </row>
    <row r="22" spans="1:10" x14ac:dyDescent="0.2">
      <c r="A22" s="1045" t="s">
        <v>133</v>
      </c>
      <c r="B22" s="1044"/>
    </row>
    <row r="23" spans="1:10" x14ac:dyDescent="0.2">
      <c r="A23" s="1008" t="s">
        <v>1978</v>
      </c>
      <c r="B23" s="1044"/>
    </row>
    <row r="24" spans="1:10" x14ac:dyDescent="0.2">
      <c r="A24" s="1008" t="s">
        <v>1991</v>
      </c>
      <c r="B24" s="1044"/>
    </row>
    <row r="25" spans="1:10" x14ac:dyDescent="0.2">
      <c r="A25" s="1046"/>
      <c r="B25" s="1044"/>
    </row>
    <row r="26" spans="1:10" ht="20.100000000000001" customHeight="1" x14ac:dyDescent="0.2">
      <c r="B26" s="1044"/>
      <c r="C26" s="2454"/>
      <c r="D26" s="2454"/>
      <c r="E26" s="1047"/>
      <c r="F26" s="2453"/>
      <c r="G26" s="2453"/>
    </row>
    <row r="27" spans="1:10" x14ac:dyDescent="0.2">
      <c r="B27" s="1044"/>
      <c r="C27" s="1048" t="s">
        <v>1032</v>
      </c>
      <c r="D27" s="1049"/>
      <c r="E27" s="1050"/>
      <c r="F27" s="2450" t="s">
        <v>1508</v>
      </c>
      <c r="G27" s="2450"/>
    </row>
    <row r="28" spans="1:10" ht="28.5" customHeight="1" x14ac:dyDescent="0.2">
      <c r="B28" s="1044"/>
      <c r="C28" s="2452"/>
      <c r="D28" s="2452"/>
      <c r="E28" s="1051"/>
      <c r="F28" s="2452"/>
      <c r="G28" s="2452"/>
    </row>
    <row r="29" spans="1:10" x14ac:dyDescent="0.2">
      <c r="B29" s="1044"/>
      <c r="C29" s="1052" t="s">
        <v>1560</v>
      </c>
      <c r="E29" s="1053"/>
      <c r="F29" s="2451" t="s">
        <v>1509</v>
      </c>
      <c r="G29" s="2451"/>
    </row>
    <row r="30" spans="1:10" ht="9" customHeight="1" x14ac:dyDescent="0.2">
      <c r="B30" s="1044"/>
      <c r="C30" s="1054"/>
      <c r="E30" s="1055"/>
      <c r="F30" s="1056"/>
      <c r="G30" s="1056"/>
    </row>
    <row r="31" spans="1:10" ht="15" customHeight="1" x14ac:dyDescent="0.2">
      <c r="A31" s="1008"/>
      <c r="B31" s="1057" t="s">
        <v>1033</v>
      </c>
    </row>
    <row r="32" spans="1:10" ht="9" customHeight="1" x14ac:dyDescent="0.2">
      <c r="A32" s="1008"/>
      <c r="B32" s="1045"/>
    </row>
    <row r="33" spans="1:10" ht="12.75" customHeight="1" x14ac:dyDescent="0.2">
      <c r="A33" s="1008"/>
      <c r="B33" s="1058"/>
      <c r="C33" s="2433" t="s">
        <v>132</v>
      </c>
      <c r="D33" s="2434"/>
      <c r="E33" s="2434"/>
      <c r="F33" s="2434"/>
      <c r="G33" s="2434"/>
      <c r="H33" s="2434"/>
      <c r="I33" s="2434"/>
    </row>
    <row r="34" spans="1:10" ht="10.35" customHeight="1" x14ac:dyDescent="0.2">
      <c r="C34" s="2434"/>
      <c r="D34" s="2434"/>
      <c r="E34" s="2434"/>
      <c r="F34" s="2434"/>
      <c r="G34" s="2434"/>
      <c r="H34" s="2434"/>
      <c r="I34" s="2434"/>
    </row>
    <row r="35" spans="1:10" ht="7.5" customHeight="1" x14ac:dyDescent="0.2">
      <c r="C35" s="1059"/>
    </row>
    <row r="36" spans="1:10" ht="13.5" customHeight="1" x14ac:dyDescent="0.2">
      <c r="B36" s="1058"/>
      <c r="C36" s="2435" t="s">
        <v>1979</v>
      </c>
      <c r="D36" s="2434"/>
      <c r="E36" s="2434"/>
      <c r="F36" s="2434"/>
      <c r="G36" s="2434"/>
      <c r="H36" s="2434"/>
      <c r="I36" s="2434"/>
      <c r="J36" s="1060"/>
    </row>
    <row r="37" spans="1:10" ht="22.5" customHeight="1" x14ac:dyDescent="0.2">
      <c r="C37" s="2434"/>
      <c r="D37" s="2434"/>
      <c r="E37" s="2434"/>
      <c r="F37" s="2434"/>
      <c r="G37" s="2434"/>
      <c r="H37" s="2434"/>
      <c r="I37" s="2434"/>
      <c r="J37" s="1060"/>
    </row>
    <row r="38" spans="1:10" ht="7.5" customHeight="1" x14ac:dyDescent="0.2">
      <c r="C38" s="1059"/>
      <c r="D38" s="1061"/>
      <c r="E38" s="1062"/>
      <c r="F38" s="1063"/>
      <c r="G38" s="1062"/>
    </row>
    <row r="39" spans="1:10" ht="13.5" customHeight="1" x14ac:dyDescent="0.2">
      <c r="B39" s="1058"/>
      <c r="C39" s="2431" t="s">
        <v>881</v>
      </c>
      <c r="D39" s="2432"/>
      <c r="E39" s="2432"/>
      <c r="F39" s="2432"/>
      <c r="G39" s="2432"/>
      <c r="H39" s="2432"/>
      <c r="I39" s="2432"/>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1"/>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2220</v>
      </c>
    </row>
    <row r="6" spans="1:2" x14ac:dyDescent="0.2">
      <c r="A6" s="1065">
        <v>2</v>
      </c>
      <c r="B6" s="329" t="s">
        <v>2221</v>
      </c>
    </row>
    <row r="7" spans="1:2" x14ac:dyDescent="0.2">
      <c r="A7" s="1065">
        <v>3</v>
      </c>
      <c r="B7" s="329" t="s">
        <v>2222</v>
      </c>
    </row>
    <row r="8" spans="1:2" x14ac:dyDescent="0.2">
      <c r="A8" s="1065">
        <v>4</v>
      </c>
      <c r="B8" s="329" t="s">
        <v>2235</v>
      </c>
    </row>
    <row r="9" spans="1:2" x14ac:dyDescent="0.2">
      <c r="A9" s="1065"/>
      <c r="B9" s="329" t="s">
        <v>2236</v>
      </c>
    </row>
    <row r="10" spans="1:2" x14ac:dyDescent="0.2">
      <c r="A10" s="1065"/>
      <c r="B10" s="329" t="s">
        <v>2234</v>
      </c>
    </row>
    <row r="11" spans="1:2" x14ac:dyDescent="0.2">
      <c r="A11" s="1065"/>
      <c r="B11" s="329" t="s">
        <v>2237</v>
      </c>
    </row>
    <row r="12" spans="1:2" x14ac:dyDescent="0.2">
      <c r="A12" s="1065"/>
      <c r="B12" s="329" t="s">
        <v>2238</v>
      </c>
    </row>
    <row r="13" spans="1:2" x14ac:dyDescent="0.2">
      <c r="A13" s="1065"/>
      <c r="B13" s="329" t="s">
        <v>2239</v>
      </c>
    </row>
    <row r="14" spans="1:2" x14ac:dyDescent="0.2">
      <c r="A14" s="1065"/>
      <c r="B14" s="329" t="s">
        <v>2240</v>
      </c>
    </row>
    <row r="15" spans="1:2" x14ac:dyDescent="0.2">
      <c r="A15" s="1066">
        <v>5</v>
      </c>
      <c r="B15" s="329" t="s">
        <v>2223</v>
      </c>
    </row>
    <row r="16" spans="1:2" x14ac:dyDescent="0.2">
      <c r="A16" s="1066">
        <v>6</v>
      </c>
      <c r="B16" s="329" t="s">
        <v>2224</v>
      </c>
    </row>
    <row r="17" spans="1:2" x14ac:dyDescent="0.2">
      <c r="A17" s="1066">
        <v>7</v>
      </c>
      <c r="B17" s="329" t="s">
        <v>2225</v>
      </c>
    </row>
    <row r="18" spans="1:2" x14ac:dyDescent="0.2">
      <c r="A18" s="1066">
        <v>8</v>
      </c>
      <c r="B18" s="329" t="s">
        <v>2226</v>
      </c>
    </row>
    <row r="19" spans="1:2" x14ac:dyDescent="0.2">
      <c r="A19" s="1066">
        <v>9</v>
      </c>
      <c r="B19" s="329" t="s">
        <v>2227</v>
      </c>
    </row>
    <row r="20" spans="1:2" x14ac:dyDescent="0.2">
      <c r="A20" s="1066">
        <v>10</v>
      </c>
      <c r="B20" s="329" t="s">
        <v>2228</v>
      </c>
    </row>
    <row r="21" spans="1:2" x14ac:dyDescent="0.2">
      <c r="A21" s="1066">
        <v>11</v>
      </c>
      <c r="B21" s="329" t="s">
        <v>2232</v>
      </c>
    </row>
    <row r="22" spans="1:2" x14ac:dyDescent="0.2">
      <c r="A22" s="1066">
        <v>12</v>
      </c>
      <c r="B22" s="329" t="s">
        <v>2233</v>
      </c>
    </row>
    <row r="23" spans="1:2" x14ac:dyDescent="0.2">
      <c r="A23" s="1066">
        <v>13</v>
      </c>
      <c r="B23" s="329" t="s">
        <v>2229</v>
      </c>
    </row>
    <row r="24" spans="1:2" x14ac:dyDescent="0.2">
      <c r="A24" s="1066">
        <v>14</v>
      </c>
      <c r="B24" s="329" t="s">
        <v>2230</v>
      </c>
    </row>
    <row r="25" spans="1:2" x14ac:dyDescent="0.2">
      <c r="A25" s="1066"/>
    </row>
    <row r="26" spans="1:2" x14ac:dyDescent="0.2">
      <c r="A26" s="1066"/>
    </row>
    <row r="27" spans="1:2" x14ac:dyDescent="0.2">
      <c r="A27" s="1066"/>
    </row>
    <row r="28" spans="1:2" x14ac:dyDescent="0.2">
      <c r="A28" s="1066"/>
    </row>
    <row r="29" spans="1:2" x14ac:dyDescent="0.2">
      <c r="A29" s="1066"/>
    </row>
    <row r="30" spans="1:2" x14ac:dyDescent="0.2">
      <c r="A30" s="1066"/>
    </row>
    <row r="31" spans="1:2" x14ac:dyDescent="0.2">
      <c r="A31" s="1066"/>
    </row>
    <row r="32" spans="1:2"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1" x14ac:dyDescent="0.2">
      <c r="A49" s="1066"/>
    </row>
    <row r="50" spans="1:1" x14ac:dyDescent="0.2">
      <c r="A50" s="1066"/>
    </row>
    <row r="51" spans="1:1" x14ac:dyDescent="0.2">
      <c r="A51" s="1066"/>
    </row>
    <row r="52" spans="1:1" x14ac:dyDescent="0.2">
      <c r="A52" s="1066"/>
    </row>
    <row r="53" spans="1:1" x14ac:dyDescent="0.2">
      <c r="A53" s="1066"/>
    </row>
    <row r="54" spans="1:1" x14ac:dyDescent="0.2">
      <c r="A54" s="1066"/>
    </row>
    <row r="55" spans="1:1" x14ac:dyDescent="0.2">
      <c r="A55" s="1066"/>
    </row>
    <row r="56" spans="1:1" x14ac:dyDescent="0.2">
      <c r="A56" s="1066"/>
    </row>
    <row r="57" spans="1:1" x14ac:dyDescent="0.2">
      <c r="A57" s="1066"/>
    </row>
    <row r="58" spans="1:1" x14ac:dyDescent="0.2">
      <c r="A58" s="1066"/>
    </row>
    <row r="59" spans="1:1" x14ac:dyDescent="0.2">
      <c r="A59" s="1066"/>
    </row>
    <row r="60" spans="1:1" x14ac:dyDescent="0.2">
      <c r="A60" s="1066"/>
    </row>
    <row r="61" spans="1:1" x14ac:dyDescent="0.2">
      <c r="A61" s="1066"/>
    </row>
    <row r="62" spans="1:1" x14ac:dyDescent="0.2">
      <c r="A62" s="1066"/>
    </row>
    <row r="63" spans="1:1" x14ac:dyDescent="0.2">
      <c r="A63" s="1066"/>
    </row>
    <row r="64" spans="1:1" x14ac:dyDescent="0.2">
      <c r="A64" s="1066"/>
    </row>
    <row r="65" spans="1:2" x14ac:dyDescent="0.2">
      <c r="A65" s="1066"/>
    </row>
    <row r="66" spans="1:2" x14ac:dyDescent="0.2">
      <c r="A66" s="1066"/>
    </row>
    <row r="67" spans="1:2" x14ac:dyDescent="0.2">
      <c r="A67" s="1066"/>
    </row>
    <row r="68" spans="1:2" x14ac:dyDescent="0.2">
      <c r="A68" s="1066"/>
    </row>
    <row r="69" spans="1:2" x14ac:dyDescent="0.2">
      <c r="A69" s="1066"/>
    </row>
    <row r="70" spans="1:2" x14ac:dyDescent="0.2">
      <c r="A70" s="1066"/>
      <c r="B70" s="258" t="str">
        <f>COVER!A17</f>
        <v>Dunlap CUSD 323</v>
      </c>
    </row>
    <row r="71" spans="1:2" x14ac:dyDescent="0.2">
      <c r="B71" s="1067">
        <f>COVER!A13</f>
        <v>48072323026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1492</v>
      </c>
    </row>
    <row r="15" spans="1:6" x14ac:dyDescent="0.2">
      <c r="A15" s="389" t="s">
        <v>856</v>
      </c>
    </row>
    <row r="16" spans="1:6" s="1068" customFormat="1" ht="45" customHeight="1" x14ac:dyDescent="0.2">
      <c r="A16" s="1070"/>
      <c r="B16" s="1070" t="s">
        <v>1683</v>
      </c>
    </row>
    <row r="17" spans="1:2" ht="6" customHeight="1" x14ac:dyDescent="0.2"/>
    <row r="18" spans="1:2" ht="24.75" customHeight="1" x14ac:dyDescent="0.2">
      <c r="A18" s="2455" t="s">
        <v>1684</v>
      </c>
      <c r="B18" s="24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56" t="s">
        <v>1689</v>
      </c>
      <c r="B1" s="2457"/>
      <c r="C1" s="2457"/>
      <c r="D1" s="2457"/>
      <c r="E1" s="2457"/>
      <c r="F1" s="2458"/>
    </row>
    <row r="2" spans="1:8" ht="45" customHeight="1" x14ac:dyDescent="0.2">
      <c r="A2" s="2466" t="s">
        <v>1983</v>
      </c>
      <c r="B2" s="2467"/>
      <c r="C2" s="2467"/>
      <c r="D2" s="2467"/>
      <c r="E2" s="2467"/>
      <c r="F2" s="2468"/>
      <c r="G2" s="1071"/>
      <c r="H2" s="1071"/>
    </row>
    <row r="3" spans="1:8" ht="57" customHeight="1" x14ac:dyDescent="0.2">
      <c r="A3" s="2469" t="s">
        <v>1685</v>
      </c>
      <c r="B3" s="2470"/>
      <c r="C3" s="2470"/>
      <c r="D3" s="2470"/>
      <c r="E3" s="2470"/>
      <c r="F3" s="2471"/>
      <c r="G3" s="1071"/>
      <c r="H3" s="1071"/>
    </row>
    <row r="4" spans="1:8" ht="14.25" customHeight="1" x14ac:dyDescent="0.2">
      <c r="A4" s="2475" t="s">
        <v>1984</v>
      </c>
      <c r="B4" s="2476"/>
      <c r="C4" s="2476"/>
      <c r="D4" s="2476"/>
      <c r="E4" s="2476"/>
      <c r="F4" s="2477"/>
      <c r="G4" s="1071"/>
      <c r="H4" s="1071"/>
    </row>
    <row r="5" spans="1:8" ht="14.25" customHeight="1" x14ac:dyDescent="0.2">
      <c r="A5" s="2478" t="s">
        <v>1980</v>
      </c>
      <c r="B5" s="2479"/>
      <c r="C5" s="2479"/>
      <c r="D5" s="2479"/>
      <c r="E5" s="2479"/>
      <c r="F5" s="2480"/>
      <c r="G5" s="1071"/>
      <c r="H5" s="1071"/>
    </row>
    <row r="6" spans="1:8" s="1072" customFormat="1" ht="41.25" customHeight="1" x14ac:dyDescent="0.2">
      <c r="A6" s="2472" t="s">
        <v>1690</v>
      </c>
      <c r="B6" s="2473"/>
      <c r="C6" s="2473"/>
      <c r="D6" s="2473"/>
      <c r="E6" s="2473"/>
      <c r="F6" s="2474"/>
    </row>
    <row r="7" spans="1:8" ht="42" customHeight="1" x14ac:dyDescent="0.2">
      <c r="A7" s="1073" t="s">
        <v>480</v>
      </c>
      <c r="B7" s="1074" t="s">
        <v>1495</v>
      </c>
      <c r="C7" s="1074" t="s">
        <v>1496</v>
      </c>
      <c r="D7" s="1074" t="s">
        <v>1494</v>
      </c>
      <c r="E7" s="1074" t="s">
        <v>1497</v>
      </c>
      <c r="F7" s="1074" t="s">
        <v>1366</v>
      </c>
    </row>
    <row r="8" spans="1:8" s="1076" customFormat="1" ht="14.25" customHeight="1" x14ac:dyDescent="0.2">
      <c r="A8" s="1075" t="s">
        <v>1367</v>
      </c>
      <c r="B8" s="1812">
        <f>'Acct Summary 7-8'!C8</f>
        <v>32770776</v>
      </c>
      <c r="C8" s="1812">
        <f>'Acct Summary 7-8'!D8</f>
        <v>4413383</v>
      </c>
      <c r="D8" s="1812">
        <f>'Acct Summary 7-8'!F8</f>
        <v>2641724</v>
      </c>
      <c r="E8" s="1812">
        <f>'Acct Summary 7-8'!I8</f>
        <v>464884</v>
      </c>
      <c r="F8" s="1812">
        <f>SUM(B8:E8)</f>
        <v>40290767</v>
      </c>
    </row>
    <row r="9" spans="1:8" s="1076" customFormat="1" ht="14.25" customHeight="1" thickBot="1" x14ac:dyDescent="0.25">
      <c r="A9" s="1075" t="s">
        <v>1368</v>
      </c>
      <c r="B9" s="1813">
        <f>'Acct Summary 7-8'!C17</f>
        <v>32319911</v>
      </c>
      <c r="C9" s="1813">
        <f>'Acct Summary 7-8'!D17</f>
        <v>3981305</v>
      </c>
      <c r="D9" s="1813">
        <f>'Acct Summary 7-8'!F17</f>
        <v>2323576</v>
      </c>
      <c r="E9" s="1812"/>
      <c r="F9" s="1812">
        <f>SUM(B9:E9)</f>
        <v>38624792</v>
      </c>
    </row>
    <row r="10" spans="1:8" s="1076" customFormat="1" ht="14.25" thickTop="1" thickBot="1" x14ac:dyDescent="0.25">
      <c r="A10" s="1077" t="s">
        <v>1369</v>
      </c>
      <c r="B10" s="1814">
        <f>(B8-B9)</f>
        <v>450865</v>
      </c>
      <c r="C10" s="1814">
        <f>(C8-C9)</f>
        <v>432078</v>
      </c>
      <c r="D10" s="1814">
        <f>(D8-D9)</f>
        <v>318148</v>
      </c>
      <c r="E10" s="1813">
        <f>(E8-E9)</f>
        <v>464884</v>
      </c>
      <c r="F10" s="1815">
        <f>SUM(F8-F9)</f>
        <v>1665975</v>
      </c>
    </row>
    <row r="11" spans="1:8" s="1076" customFormat="1" ht="14.25" thickTop="1" thickBot="1" x14ac:dyDescent="0.25">
      <c r="A11" s="1078" t="s">
        <v>1981</v>
      </c>
      <c r="B11" s="1816">
        <f>'Acct Summary 7-8'!C81</f>
        <v>35479074</v>
      </c>
      <c r="C11" s="1816">
        <f>'Acct Summary 7-8'!D81</f>
        <v>4516318</v>
      </c>
      <c r="D11" s="1816">
        <f>'Acct Summary 7-8'!F81</f>
        <v>6442540</v>
      </c>
      <c r="E11" s="1816">
        <f>'Acct Summary 7-8'!I81</f>
        <v>2130510</v>
      </c>
      <c r="F11" s="1817">
        <f>SUM(B11:E11)</f>
        <v>48568442</v>
      </c>
    </row>
    <row r="12" spans="1:8" ht="16.5" customHeight="1" thickTop="1" x14ac:dyDescent="0.2">
      <c r="A12" s="1079"/>
      <c r="B12" s="1080"/>
      <c r="C12" s="2460" t="str">
        <f>IF(AND(F10&lt;0,F11&gt;=0,ABS(F10*3)&gt;ABS(F11)),A16,IF(AND(F10&lt;0,F11&gt;0,ABS(F10*3)&lt;=ABS(F11)),A17,IF(AND(F10&lt;0,F11&lt;0),A16,IF(F11=0,A19,A18))))</f>
        <v>Balanced - no deficit reduction plan is required.</v>
      </c>
      <c r="D12" s="2461"/>
      <c r="E12" s="2461"/>
      <c r="F12" s="2462"/>
    </row>
    <row r="13" spans="1:8" ht="19.5" customHeight="1" x14ac:dyDescent="0.2">
      <c r="A13" s="1081"/>
      <c r="B13" s="1082"/>
      <c r="C13" s="2460"/>
      <c r="D13" s="2461"/>
      <c r="E13" s="2461"/>
      <c r="F13" s="2462"/>
      <c r="H13" s="1071"/>
    </row>
    <row r="14" spans="1:8" ht="19.5" customHeight="1" x14ac:dyDescent="0.2">
      <c r="A14" s="1081"/>
      <c r="B14" s="1082"/>
      <c r="C14" s="2460"/>
      <c r="D14" s="2461"/>
      <c r="E14" s="2461"/>
      <c r="F14" s="2462"/>
      <c r="H14" s="1071"/>
    </row>
    <row r="15" spans="1:8" ht="17.25" customHeight="1" x14ac:dyDescent="0.2">
      <c r="A15" s="1081"/>
      <c r="B15" s="1082"/>
      <c r="C15" s="2463"/>
      <c r="D15" s="2464"/>
      <c r="E15" s="2464"/>
      <c r="F15" s="2465"/>
      <c r="H15" s="1071"/>
    </row>
    <row r="16" spans="1:8" s="310" customFormat="1" ht="51.75" hidden="1" customHeight="1" x14ac:dyDescent="0.2">
      <c r="A16" s="2459" t="s">
        <v>1686</v>
      </c>
      <c r="B16" s="2459"/>
      <c r="C16" s="2459"/>
      <c r="D16" s="2459"/>
      <c r="E16" s="2459"/>
      <c r="F16" s="310" t="s">
        <v>1370</v>
      </c>
    </row>
    <row r="17" spans="1:6" hidden="1" x14ac:dyDescent="0.2">
      <c r="A17" s="316" t="s">
        <v>1687</v>
      </c>
      <c r="F17" s="108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481" t="s">
        <v>664</v>
      </c>
      <c r="B3" s="2482"/>
      <c r="C3" s="2482"/>
      <c r="D3" s="2483"/>
    </row>
    <row r="4" spans="1:4" x14ac:dyDescent="0.2">
      <c r="A4" s="1149" t="s">
        <v>1691</v>
      </c>
      <c r="B4" s="1150"/>
      <c r="C4" s="1151"/>
      <c r="D4" s="1152"/>
    </row>
    <row r="5" spans="1:4" ht="21" customHeight="1" x14ac:dyDescent="0.2">
      <c r="A5" s="1145"/>
      <c r="B5" s="1146">
        <v>1</v>
      </c>
      <c r="C5" s="1147" t="s">
        <v>1831</v>
      </c>
      <c r="D5" s="1148"/>
    </row>
    <row r="6" spans="1:4" s="665" customFormat="1" ht="14.25" customHeight="1" x14ac:dyDescent="0.2">
      <c r="A6" s="1135"/>
      <c r="B6" s="1090">
        <f t="shared" ref="B6:B13" si="0">B5+1</f>
        <v>2</v>
      </c>
      <c r="C6" s="1091" t="s">
        <v>863</v>
      </c>
      <c r="D6" s="1092"/>
    </row>
    <row r="7" spans="1:4" s="665" customFormat="1" ht="12.75" x14ac:dyDescent="0.2">
      <c r="A7" s="1135"/>
      <c r="B7" s="1090">
        <f t="shared" si="0"/>
        <v>3</v>
      </c>
      <c r="C7" s="2492" t="s">
        <v>1503</v>
      </c>
      <c r="D7" s="2493"/>
    </row>
    <row r="8" spans="1:4" s="665" customFormat="1" ht="12.75" x14ac:dyDescent="0.2">
      <c r="A8" s="1135"/>
      <c r="B8" s="1090"/>
      <c r="C8" s="1093" t="s">
        <v>1502</v>
      </c>
      <c r="D8" s="1094"/>
    </row>
    <row r="9" spans="1:4" s="665" customFormat="1" ht="14.25" customHeight="1" x14ac:dyDescent="0.2">
      <c r="A9" s="1135"/>
      <c r="B9" s="1090">
        <f>B7+1</f>
        <v>4</v>
      </c>
      <c r="C9" s="1091" t="s">
        <v>1909</v>
      </c>
      <c r="D9" s="1092"/>
    </row>
    <row r="10" spans="1:4" s="665" customFormat="1" ht="14.25" customHeight="1" x14ac:dyDescent="0.2">
      <c r="A10" s="1135"/>
      <c r="B10" s="1090">
        <f t="shared" si="0"/>
        <v>5</v>
      </c>
      <c r="C10" s="1091" t="s">
        <v>638</v>
      </c>
      <c r="D10" s="1092"/>
    </row>
    <row r="11" spans="1:4" s="665" customFormat="1" ht="14.25" customHeight="1" x14ac:dyDescent="0.2">
      <c r="A11" s="1135"/>
      <c r="B11" s="1090">
        <f t="shared" si="0"/>
        <v>6</v>
      </c>
      <c r="C11" s="1091" t="s">
        <v>777</v>
      </c>
      <c r="D11" s="1092"/>
    </row>
    <row r="12" spans="1:4" s="665" customFormat="1" ht="14.25" customHeight="1" x14ac:dyDescent="0.2">
      <c r="A12" s="1135"/>
      <c r="B12" s="1090">
        <f t="shared" si="0"/>
        <v>7</v>
      </c>
      <c r="C12" s="1091" t="s">
        <v>1061</v>
      </c>
      <c r="D12" s="1092"/>
    </row>
    <row r="13" spans="1:4" s="665" customFormat="1" ht="14.25" customHeight="1" x14ac:dyDescent="0.2">
      <c r="A13" s="1135"/>
      <c r="B13" s="1090">
        <f t="shared" si="0"/>
        <v>8</v>
      </c>
      <c r="C13" s="1131" t="s">
        <v>778</v>
      </c>
      <c r="D13" s="1092"/>
    </row>
    <row r="14" spans="1:4" s="665" customFormat="1" ht="14.25" customHeight="1" x14ac:dyDescent="0.2">
      <c r="A14" s="1135"/>
      <c r="B14" s="1132">
        <v>9</v>
      </c>
      <c r="C14" s="1133" t="s">
        <v>1504</v>
      </c>
      <c r="D14" s="1134"/>
    </row>
    <row r="15" spans="1:4" s="665" customFormat="1" ht="21.75" customHeight="1" x14ac:dyDescent="0.2">
      <c r="A15" s="2484" t="s">
        <v>1007</v>
      </c>
      <c r="B15" s="2485"/>
      <c r="C15" s="2485"/>
      <c r="D15" s="2486"/>
    </row>
    <row r="16" spans="1:4" s="665" customFormat="1" ht="24" customHeight="1" x14ac:dyDescent="0.2">
      <c r="A16" s="2487" t="s">
        <v>662</v>
      </c>
      <c r="B16" s="2488"/>
      <c r="C16" s="2488"/>
      <c r="D16" s="2489"/>
    </row>
    <row r="17" spans="1:10" s="665" customFormat="1" ht="12.75" customHeight="1" x14ac:dyDescent="0.2">
      <c r="A17" s="1153" t="s">
        <v>1692</v>
      </c>
      <c r="B17" s="1154"/>
      <c r="C17" s="1155"/>
      <c r="D17" s="1156"/>
    </row>
    <row r="18" spans="1:10" s="665" customFormat="1" ht="12.75" customHeight="1" x14ac:dyDescent="0.2">
      <c r="A18" s="1157" t="s">
        <v>1693</v>
      </c>
      <c r="B18" s="1158"/>
      <c r="C18" s="1159"/>
      <c r="D18" s="1160"/>
    </row>
    <row r="19" spans="1:10" ht="6.75" customHeight="1" thickBot="1" x14ac:dyDescent="0.25">
      <c r="A19" s="1161"/>
      <c r="B19" s="1162"/>
      <c r="C19" s="1163"/>
      <c r="D19" s="1164"/>
    </row>
    <row r="20" spans="1:10" s="1168" customFormat="1" ht="12.75" thickTop="1" x14ac:dyDescent="0.2">
      <c r="A20" s="1165"/>
      <c r="B20" s="1166" t="s">
        <v>1694</v>
      </c>
      <c r="C20" s="1167"/>
      <c r="D20" s="1170" t="s">
        <v>709</v>
      </c>
    </row>
    <row r="21" spans="1:10" x14ac:dyDescent="0.2">
      <c r="A21" s="1095"/>
      <c r="B21" s="1096">
        <v>1</v>
      </c>
      <c r="C21" s="2496" t="s">
        <v>313</v>
      </c>
      <c r="D21" s="2497"/>
    </row>
    <row r="22" spans="1:10" ht="12.75" x14ac:dyDescent="0.2">
      <c r="A22" s="1136"/>
      <c r="B22" s="1137">
        <v>2</v>
      </c>
      <c r="C22" s="2494" t="s">
        <v>1523</v>
      </c>
      <c r="D22" s="2495"/>
    </row>
    <row r="23" spans="1:10" ht="12.2" customHeight="1" x14ac:dyDescent="0.2">
      <c r="A23" s="1136"/>
      <c r="B23" s="1137"/>
      <c r="C23" s="1138" t="s">
        <v>953</v>
      </c>
      <c r="D23" s="1139" t="str">
        <f>IF(COVER!O11="X","CASH",IF(COVER!O12="X","ACCRUAL ","PLEASE CHECK AN ACCOUNTING BASIS."))</f>
        <v>CASH</v>
      </c>
    </row>
    <row r="24" spans="1:10" ht="12.2" customHeight="1" x14ac:dyDescent="0.2">
      <c r="A24" s="1136"/>
      <c r="B24" s="1137"/>
      <c r="C24" s="1138" t="s">
        <v>1331</v>
      </c>
      <c r="D24" s="1139" t="str">
        <f>IF(COVER!O11="X","OK",IF(AND('Aud Quest 2'!J90=0,'Aud Quest 2'!I77&lt;DATE(2017,12,31)),"ENTER ACCOUNTING INFO",IF(AND('Aud Quest 2'!J90&gt;0,'Aud Quest 2'!I77&lt;DATE(2017,12,31)),"OK")))</f>
        <v>OK</v>
      </c>
    </row>
    <row r="25" spans="1:10" x14ac:dyDescent="0.2">
      <c r="A25" s="1097"/>
      <c r="B25" s="1098"/>
      <c r="C25" s="1099" t="s">
        <v>1525</v>
      </c>
      <c r="D25" s="1100" t="str">
        <f>IF(AND(COVER!J29="X",COVER!J30="X",COVER!L30&lt;&gt;"X"),"OK",IF(AND(COVER!J29="X",COVER!J30&lt;&gt;"X",COVER!L30="X"),"OK",IF(AND(COVER!L29="X",COVER!J30&lt;&gt;"X"),"OK","PLEASE CHECK YES or NO.")))</f>
        <v>OK</v>
      </c>
    </row>
    <row r="26" spans="1:10" x14ac:dyDescent="0.2">
      <c r="A26" s="1097"/>
      <c r="B26" s="1140"/>
      <c r="C26" s="1101" t="s">
        <v>1524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974</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841</v>
      </c>
      <c r="D28" s="1104" t="b">
        <f>IF('Aud Quest 2'!B53="X",IF('Aud Quest 2'!F53&gt;"00/00/00 ","Enter Effective Date","ok"))</f>
        <v>0</v>
      </c>
    </row>
    <row r="29" spans="1:10" x14ac:dyDescent="0.2">
      <c r="A29" s="1097"/>
      <c r="B29" s="1140"/>
      <c r="C29" s="1101" t="s">
        <v>1372</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824</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977</v>
      </c>
      <c r="D32" s="1100" t="str">
        <f>IF(OR(COVER!B6="x",'FP Info 3'!B31="X",'FP Info 3'!B32="X"),"OK","ENTRY IS REQUIRED!")</f>
        <v>OK</v>
      </c>
    </row>
    <row r="33" spans="1:12" s="1113" customFormat="1" ht="12.75" customHeight="1" x14ac:dyDescent="0.2">
      <c r="A33" s="1110"/>
      <c r="B33" s="1137">
        <f>B30+1</f>
        <v>4</v>
      </c>
      <c r="C33" s="1111" t="s">
        <v>779</v>
      </c>
      <c r="D33" s="1112"/>
    </row>
    <row r="34" spans="1:12" s="1113" customFormat="1" x14ac:dyDescent="0.2">
      <c r="A34" s="1114"/>
      <c r="B34" s="1137"/>
      <c r="C34" s="1115" t="s">
        <v>825</v>
      </c>
      <c r="D34" s="1100" t="str">
        <f>IF('Assets-Liab 5-6'!C4&lt;-0.49, "ERROR!","OK")</f>
        <v>OK</v>
      </c>
    </row>
    <row r="35" spans="1:12" x14ac:dyDescent="0.2">
      <c r="A35" s="1114"/>
      <c r="B35" s="1137"/>
      <c r="C35" s="1115" t="s">
        <v>305</v>
      </c>
      <c r="D35" s="1100" t="str">
        <f>IF('Assets-Liab 5-6'!D4&lt;-0.49, "ERROR!","OK")</f>
        <v>OK</v>
      </c>
      <c r="L35" s="1169"/>
    </row>
    <row r="36" spans="1:12" x14ac:dyDescent="0.2">
      <c r="A36" s="1114"/>
      <c r="B36" s="1137"/>
      <c r="C36" s="1115" t="s">
        <v>780</v>
      </c>
      <c r="D36" s="1100" t="str">
        <f>IF('Assets-Liab 5-6'!E4&lt;-0.49, "ERROR!","OK")</f>
        <v>OK</v>
      </c>
    </row>
    <row r="37" spans="1:12" x14ac:dyDescent="0.2">
      <c r="A37" s="1114"/>
      <c r="B37" s="1137"/>
      <c r="C37" s="1115" t="s">
        <v>306</v>
      </c>
      <c r="D37" s="1100" t="str">
        <f>IF('Assets-Liab 5-6'!F4&lt;-0.49, "ERROR!","OK")</f>
        <v>OK</v>
      </c>
    </row>
    <row r="38" spans="1:12" x14ac:dyDescent="0.2">
      <c r="A38" s="1114"/>
      <c r="B38" s="1137"/>
      <c r="C38" s="1115" t="s">
        <v>307</v>
      </c>
      <c r="D38" s="1100" t="str">
        <f>IF('Assets-Liab 5-6'!G4&lt;-0.49, "ERROR!","OK")</f>
        <v>OK</v>
      </c>
    </row>
    <row r="39" spans="1:12" x14ac:dyDescent="0.2">
      <c r="A39" s="1114"/>
      <c r="B39" s="1137"/>
      <c r="C39" s="1115" t="s">
        <v>781</v>
      </c>
      <c r="D39" s="1100" t="str">
        <f>IF('Assets-Liab 5-6'!H4&lt;-0.49, "ERROR!","OK")</f>
        <v>OK</v>
      </c>
    </row>
    <row r="40" spans="1:12" x14ac:dyDescent="0.2">
      <c r="A40" s="1114"/>
      <c r="B40" s="1137"/>
      <c r="C40" s="1115" t="s">
        <v>308</v>
      </c>
      <c r="D40" s="1100" t="str">
        <f>IF('Assets-Liab 5-6'!I4&lt;-0.49, "ERROR!","OK")</f>
        <v>OK</v>
      </c>
    </row>
    <row r="41" spans="1:12" x14ac:dyDescent="0.2">
      <c r="A41" s="1114"/>
      <c r="B41" s="1137"/>
      <c r="C41" s="1115" t="s">
        <v>782</v>
      </c>
      <c r="D41" s="1100" t="str">
        <f>IF('Assets-Liab 5-6'!J4&lt;-0.49, "ERROR!","OK")</f>
        <v>OK</v>
      </c>
    </row>
    <row r="42" spans="1:12" x14ac:dyDescent="0.2">
      <c r="A42" s="1114"/>
      <c r="B42" s="1137"/>
      <c r="C42" s="1115" t="s">
        <v>309</v>
      </c>
      <c r="D42" s="1100" t="str">
        <f>IF('Assets-Liab 5-6'!K4&lt;-0.49, "ERROR!","OK")</f>
        <v>OK</v>
      </c>
    </row>
    <row r="43" spans="1:12" x14ac:dyDescent="0.2">
      <c r="A43" s="1116"/>
      <c r="B43" s="1117">
        <f>B33+1</f>
        <v>5</v>
      </c>
      <c r="C43" s="2498" t="s">
        <v>535</v>
      </c>
      <c r="D43" s="2499"/>
    </row>
    <row r="44" spans="1:12" x14ac:dyDescent="0.2">
      <c r="A44" s="1116"/>
      <c r="B44" s="1118"/>
      <c r="C44" s="1119" t="s">
        <v>1334</v>
      </c>
      <c r="D44" s="1120" t="str">
        <f>IF(SUM('Assets-Liab 5-6'!C13)&lt;&gt;SUM('Assets-Liab 5-6'!C41),"ERROR!","OK")</f>
        <v>OK</v>
      </c>
    </row>
    <row r="45" spans="1:12" x14ac:dyDescent="0.2">
      <c r="A45" s="1116"/>
      <c r="B45" s="1118"/>
      <c r="C45" s="1119" t="s">
        <v>1335</v>
      </c>
      <c r="D45" s="1120" t="str">
        <f>IF(SUM('Assets-Liab 5-6'!D13)&lt;&gt;SUM('Assets-Liab 5-6'!D41),"ERROR!","OK")</f>
        <v>OK</v>
      </c>
    </row>
    <row r="46" spans="1:12" x14ac:dyDescent="0.2">
      <c r="A46" s="1116"/>
      <c r="B46" s="1118"/>
      <c r="C46" s="1119" t="s">
        <v>1336</v>
      </c>
      <c r="D46" s="1120" t="str">
        <f>IF(SUM('Assets-Liab 5-6'!E13)&lt;&gt;SUM('Assets-Liab 5-6'!E41),"ERROR!","OK")</f>
        <v>OK</v>
      </c>
    </row>
    <row r="47" spans="1:12" x14ac:dyDescent="0.2">
      <c r="A47" s="1116"/>
      <c r="B47" s="1118"/>
      <c r="C47" s="1119" t="s">
        <v>1337</v>
      </c>
      <c r="D47" s="1120" t="str">
        <f>IF(SUM('Assets-Liab 5-6'!F13)&lt;&gt;SUM('Assets-Liab 5-6'!F41),"ERROR!","OK")</f>
        <v>OK</v>
      </c>
    </row>
    <row r="48" spans="1:12" x14ac:dyDescent="0.2">
      <c r="A48" s="1116"/>
      <c r="B48" s="1118"/>
      <c r="C48" s="1119" t="s">
        <v>1338</v>
      </c>
      <c r="D48" s="1120" t="str">
        <f>IF(SUM('Assets-Liab 5-6'!G13)&lt;&gt;SUM('Assets-Liab 5-6'!G41),"ERROR!","OK")</f>
        <v>OK</v>
      </c>
    </row>
    <row r="49" spans="1:4" x14ac:dyDescent="0.2">
      <c r="A49" s="1116"/>
      <c r="B49" s="1118"/>
      <c r="C49" s="1119" t="s">
        <v>1339</v>
      </c>
      <c r="D49" s="1120" t="str">
        <f>IF(SUM('Assets-Liab 5-6'!H13)&lt;&gt;SUM('Assets-Liab 5-6'!H41),"ERROR!","OK")</f>
        <v>OK</v>
      </c>
    </row>
    <row r="50" spans="1:4" x14ac:dyDescent="0.2">
      <c r="A50" s="1116"/>
      <c r="B50" s="1118"/>
      <c r="C50" s="1119" t="s">
        <v>1340</v>
      </c>
      <c r="D50" s="1120" t="str">
        <f>IF(SUM('Assets-Liab 5-6'!I13)&lt;&gt;SUM('Assets-Liab 5-6'!I41),"ERROR!","OK")</f>
        <v>OK</v>
      </c>
    </row>
    <row r="51" spans="1:4" x14ac:dyDescent="0.2">
      <c r="A51" s="1116"/>
      <c r="B51" s="1118"/>
      <c r="C51" s="1119" t="s">
        <v>1341</v>
      </c>
      <c r="D51" s="1120" t="str">
        <f>IF(SUM('Assets-Liab 5-6'!J13)&lt;&gt;SUM('Assets-Liab 5-6'!J41),"ERROR!","OK")</f>
        <v>OK</v>
      </c>
    </row>
    <row r="52" spans="1:4" x14ac:dyDescent="0.2">
      <c r="A52" s="1116"/>
      <c r="B52" s="1118"/>
      <c r="C52" s="1119" t="s">
        <v>1342</v>
      </c>
      <c r="D52" s="1120" t="str">
        <f>IF(SUM('Assets-Liab 5-6'!K13)&lt;&gt;SUM('Assets-Liab 5-6'!K41),"ERROR!","OK")</f>
        <v>OK</v>
      </c>
    </row>
    <row r="53" spans="1:4" x14ac:dyDescent="0.2">
      <c r="A53" s="1116"/>
      <c r="B53" s="1118"/>
      <c r="C53" s="1119" t="s">
        <v>1343</v>
      </c>
      <c r="D53" s="1120" t="str">
        <f>IF(SUM('Assets-Liab 5-6'!L13)&lt;&gt;('Assets-Liab 5-6'!L41),"ERROR!","OK")</f>
        <v>OK</v>
      </c>
    </row>
    <row r="54" spans="1:4" x14ac:dyDescent="0.2">
      <c r="A54" s="1116"/>
      <c r="B54" s="1118"/>
      <c r="C54" s="1119" t="s">
        <v>1344</v>
      </c>
      <c r="D54" s="1120" t="str">
        <f>IF(SUM('Assets-Liab 5-6'!M23)&lt;&gt;('Assets-Liab 5-6'!M41),"ERROR!","OK")</f>
        <v>OK</v>
      </c>
    </row>
    <row r="55" spans="1:4" x14ac:dyDescent="0.2">
      <c r="A55" s="1116"/>
      <c r="B55" s="1118"/>
      <c r="C55" s="1119" t="s">
        <v>1345</v>
      </c>
      <c r="D55" s="1120" t="str">
        <f>IF(SUM('Assets-Liab 5-6'!N23)&lt;&gt;('Assets-Liab 5-6'!N41),"ERROR!","OK")</f>
        <v>OK</v>
      </c>
    </row>
    <row r="56" spans="1:4" x14ac:dyDescent="0.2">
      <c r="A56" s="1097"/>
      <c r="B56" s="1117">
        <f>B43+1</f>
        <v>6</v>
      </c>
      <c r="C56" s="2490" t="s">
        <v>783</v>
      </c>
      <c r="D56" s="2491"/>
    </row>
    <row r="57" spans="1:4" s="1113" customFormat="1" x14ac:dyDescent="0.2">
      <c r="A57" s="1097"/>
      <c r="B57" s="1107"/>
      <c r="C57" s="1115" t="s">
        <v>1346</v>
      </c>
      <c r="D57" s="1121" t="str">
        <f>IF('Assets-Liab 5-6'!C38+'Assets-Liab 5-6'!C39='Acct Summary 7-8'!C81,"OK","ERROR!")</f>
        <v>OK</v>
      </c>
    </row>
    <row r="58" spans="1:4" x14ac:dyDescent="0.2">
      <c r="A58" s="1097"/>
      <c r="B58" s="1107"/>
      <c r="C58" s="1115" t="s">
        <v>1347</v>
      </c>
      <c r="D58" s="1121" t="str">
        <f>IF((('Assets-Liab 5-6'!D38+'Assets-Liab 5-6'!D39) ='Acct Summary 7-8'!D81), "OK", "ERROR!" )</f>
        <v>OK</v>
      </c>
    </row>
    <row r="59" spans="1:4" s="1113" customFormat="1" x14ac:dyDescent="0.2">
      <c r="A59" s="1097"/>
      <c r="B59" s="1107"/>
      <c r="C59" s="1115" t="s">
        <v>1348</v>
      </c>
      <c r="D59" s="1121" t="str">
        <f>IF((('Assets-Liab 5-6'!E38 + 'Assets-Liab 5-6'!E39) ='Acct Summary 7-8'!E81), "OK", "ERROR!" )</f>
        <v>OK</v>
      </c>
    </row>
    <row r="60" spans="1:4" x14ac:dyDescent="0.2">
      <c r="A60" s="1097"/>
      <c r="B60" s="1107"/>
      <c r="C60" s="1115" t="s">
        <v>1349</v>
      </c>
      <c r="D60" s="1121" t="str">
        <f>IF((('Assets-Liab 5-6'!F38 + 'Assets-Liab 5-6'!F39) ='Acct Summary 7-8'!F81), "OK", "ERROR!" )</f>
        <v>OK</v>
      </c>
    </row>
    <row r="61" spans="1:4" ht="12.75" customHeight="1" x14ac:dyDescent="0.2">
      <c r="A61" s="1097"/>
      <c r="B61" s="1107"/>
      <c r="C61" s="1115" t="s">
        <v>1362</v>
      </c>
      <c r="D61" s="1121" t="str">
        <f>IF((('Assets-Liab 5-6'!G38 + 'Assets-Liab 5-6'!G39) ='Acct Summary 7-8'!G81), "OK", "ERROR!" )</f>
        <v>OK</v>
      </c>
    </row>
    <row r="62" spans="1:4" x14ac:dyDescent="0.2">
      <c r="A62" s="1097"/>
      <c r="B62" s="1107"/>
      <c r="C62" s="1115" t="s">
        <v>1350</v>
      </c>
      <c r="D62" s="1121" t="str">
        <f>IF((('Assets-Liab 5-6'!H38 + 'Assets-Liab 5-6'!H39) ='Acct Summary 7-8'!H81), "OK", "ERROR!" )</f>
        <v>OK</v>
      </c>
    </row>
    <row r="63" spans="1:4" ht="12.75" customHeight="1" x14ac:dyDescent="0.2">
      <c r="A63" s="1097"/>
      <c r="B63" s="1107"/>
      <c r="C63" s="1115" t="s">
        <v>1351</v>
      </c>
      <c r="D63" s="1121" t="str">
        <f>IF((('Assets-Liab 5-6'!I38 + 'Assets-Liab 5-6'!I39) ='Acct Summary 7-8'!I81), "OK", "ERROR!" )</f>
        <v>OK</v>
      </c>
    </row>
    <row r="64" spans="1:4" x14ac:dyDescent="0.2">
      <c r="A64" s="1097"/>
      <c r="B64" s="1107"/>
      <c r="C64" s="1115" t="s">
        <v>1352</v>
      </c>
      <c r="D64" s="1121" t="str">
        <f>IF((('Assets-Liab 5-6'!J38 + 'Assets-Liab 5-6'!J39) ='Acct Summary 7-8'!J81), "OK", "ERROR!" )</f>
        <v>OK</v>
      </c>
    </row>
    <row r="65" spans="1:4" x14ac:dyDescent="0.2">
      <c r="A65" s="1114"/>
      <c r="B65" s="1107"/>
      <c r="C65" s="1115" t="s">
        <v>1363</v>
      </c>
      <c r="D65" s="1121" t="str">
        <f>IF((('Assets-Liab 5-6'!K38 + 'Assets-Liab 5-6'!K39) ='Acct Summary 7-8'!K81), "OK", "ERROR!" )</f>
        <v>OK</v>
      </c>
    </row>
    <row r="66" spans="1:4" x14ac:dyDescent="0.2">
      <c r="A66" s="1095"/>
      <c r="B66" s="1137">
        <f>B56+1+1</f>
        <v>8</v>
      </c>
      <c r="C66" s="1143" t="s">
        <v>1910</v>
      </c>
      <c r="D66" s="1122"/>
    </row>
    <row r="67" spans="1:4" x14ac:dyDescent="0.2">
      <c r="A67" s="1116"/>
      <c r="B67" s="1137"/>
      <c r="C67" s="1144" t="s">
        <v>1020</v>
      </c>
      <c r="D67" s="1122"/>
    </row>
    <row r="68" spans="1:4" x14ac:dyDescent="0.2">
      <c r="A68" s="1097"/>
      <c r="B68" s="1107"/>
      <c r="C68" s="1099" t="s">
        <v>1911</v>
      </c>
      <c r="D68" s="1121" t="str">
        <f>IF('Short-Term Long-Term Debt 24'!F49=SUM(,'Acct Summary 7-8'!C33:K33),"OK","ERROR!")</f>
        <v>OK</v>
      </c>
    </row>
    <row r="69" spans="1:4" x14ac:dyDescent="0.2">
      <c r="A69" s="1097"/>
      <c r="B69" s="1107"/>
      <c r="C69" s="1099" t="s">
        <v>1912</v>
      </c>
      <c r="D69" s="1121" t="str">
        <f>IF('Expenditures 15-22'!H170&lt;&gt;'Short-Term Long-Term Debt 24'!H49,"ERROR!","OK")</f>
        <v>OK</v>
      </c>
    </row>
    <row r="70" spans="1:4" x14ac:dyDescent="0.2">
      <c r="A70" s="1095"/>
      <c r="B70" s="1117">
        <f>B66+1</f>
        <v>9</v>
      </c>
      <c r="C70" s="2490" t="s">
        <v>1695</v>
      </c>
      <c r="D70" s="2491"/>
    </row>
    <row r="71" spans="1:4" x14ac:dyDescent="0.2">
      <c r="A71" s="1095"/>
      <c r="B71" s="1117"/>
      <c r="C71" s="1099" t="s">
        <v>1353</v>
      </c>
      <c r="D71" s="1123" t="str">
        <f>IF(SUM('Acct Summary 7-8'!C27:K27) =SUM( 'Acct Summary 7-8'!C49:K49),"OK", "ERROR")</f>
        <v>OK</v>
      </c>
    </row>
    <row r="72" spans="1:4" x14ac:dyDescent="0.2">
      <c r="A72" s="1097"/>
      <c r="B72" s="1107"/>
      <c r="C72" s="1115" t="s">
        <v>1354</v>
      </c>
      <c r="D72" s="1121" t="str">
        <f>IF(SUM('Acct Summary 7-8'!C28:K28)=SUM('Acct Summary 7-8'!C50:K50),"OK","ERROR!")</f>
        <v>OK</v>
      </c>
    </row>
    <row r="73" spans="1:4" ht="24" x14ac:dyDescent="0.2">
      <c r="A73" s="1124"/>
      <c r="B73" s="1107"/>
      <c r="C73" s="1115" t="s">
        <v>1696</v>
      </c>
      <c r="D73" s="1123" t="str">
        <f>IF(SUM('Acct Summary 7-8'!C42:K42)&gt;=SUM( 'Acct Summary 7-8'!C74:K74),"OK", "ERROR")</f>
        <v>OK</v>
      </c>
    </row>
    <row r="74" spans="1:4" x14ac:dyDescent="0.2">
      <c r="A74" s="1095"/>
      <c r="B74" s="1117">
        <f>B70+1</f>
        <v>10</v>
      </c>
      <c r="C74" s="1111" t="s">
        <v>1913</v>
      </c>
      <c r="D74" s="1125"/>
    </row>
    <row r="75" spans="1:4" x14ac:dyDescent="0.2">
      <c r="A75" s="1097"/>
      <c r="B75" s="1107"/>
      <c r="C75" s="1115" t="s">
        <v>1376</v>
      </c>
      <c r="D75" s="1121" t="str">
        <f>IF(SUM('Assets-Liab 5-6'!C38:H38)&gt;=SUM('Rest Tax Levies-Tort Im 25'!G25:K25),"OK","ERROR")</f>
        <v>OK</v>
      </c>
    </row>
    <row r="76" spans="1:4" x14ac:dyDescent="0.2">
      <c r="A76" s="1097"/>
      <c r="B76" s="1107"/>
      <c r="C76" s="1115" t="s">
        <v>1417</v>
      </c>
      <c r="D76" s="1121" t="str">
        <f>IF(SUM('Assets-Liab 5-6'!C39:K39)&gt;0,"OK","ENTRY IS REQUIRED!")</f>
        <v>OK</v>
      </c>
    </row>
    <row r="77" spans="1:4" x14ac:dyDescent="0.2">
      <c r="A77" s="1097"/>
      <c r="B77" s="1126">
        <f>B74+1</f>
        <v>11</v>
      </c>
      <c r="C77" s="1171" t="s">
        <v>1377</v>
      </c>
      <c r="D77" s="1121"/>
    </row>
    <row r="78" spans="1:4" x14ac:dyDescent="0.2">
      <c r="A78" s="1097"/>
      <c r="B78" s="1107"/>
      <c r="C78" s="1115" t="s">
        <v>1914</v>
      </c>
      <c r="D78" s="1121" t="str">
        <f>IF(ISNUMBER('Acct Summary 7-8'!C9),"OK","ENTRY IS REQUIRED!")</f>
        <v>OK</v>
      </c>
    </row>
    <row r="79" spans="1:4" x14ac:dyDescent="0.2">
      <c r="A79" s="1116"/>
      <c r="B79" s="1117">
        <f>B74+1+1</f>
        <v>12</v>
      </c>
      <c r="C79" s="1127" t="s">
        <v>1899</v>
      </c>
      <c r="D79" s="1128" t="str">
        <f>IF(OR(COVER!$B$6="X",'PCTC-OEPP 27-28'!F78&gt;0),"OK","PLEASE ENTER 9 MO ADA.")</f>
        <v>OK</v>
      </c>
    </row>
    <row r="80" spans="1:4" x14ac:dyDescent="0.2">
      <c r="A80" s="1095"/>
      <c r="B80" s="1117">
        <v>13</v>
      </c>
      <c r="C80" s="1127" t="s">
        <v>1915</v>
      </c>
      <c r="D80" s="1128" t="str">
        <f>IF('Contracts Paid in CY 29'!D141&gt;0,"OK","PLEASE ENTER CONTRACTS PAID IN CURRENT YEAR.")</f>
        <v>OK</v>
      </c>
    </row>
    <row r="81" spans="1:4" x14ac:dyDescent="0.2">
      <c r="A81" s="1095"/>
      <c r="B81" s="1117">
        <v>14</v>
      </c>
      <c r="C81" s="1127" t="s">
        <v>1423</v>
      </c>
      <c r="D81" s="1120" t="str">
        <f>IF('Shared Outsourced Services 31'!B8="X","OK",IF('Shared Outsourced Services 31'!K34&gt;0,"OK","ENTRY REQUIRED!"))</f>
        <v>OK</v>
      </c>
    </row>
    <row r="82" spans="1:4" x14ac:dyDescent="0.2">
      <c r="A82" s="1116"/>
      <c r="B82" s="1117">
        <v>15</v>
      </c>
      <c r="C82" s="1127" t="s">
        <v>1422</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48072323026</v>
      </c>
    </row>
    <row r="3" spans="1:2" x14ac:dyDescent="0.2">
      <c r="A3" t="s">
        <v>955</v>
      </c>
      <c r="B3" s="138" t="str">
        <f>COVER!A15</f>
        <v>Peoria</v>
      </c>
    </row>
    <row r="4" spans="1:2" x14ac:dyDescent="0.2">
      <c r="A4" t="s">
        <v>1006</v>
      </c>
      <c r="B4" s="138" t="str">
        <f>COVER!A17</f>
        <v>Dunlap CUSD 323</v>
      </c>
    </row>
    <row r="5" spans="1:2" x14ac:dyDescent="0.2">
      <c r="A5" t="s">
        <v>703</v>
      </c>
      <c r="B5" s="138" t="str">
        <f>COVER!A38</f>
        <v>Dr. Scott Dearman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066-005027</v>
      </c>
    </row>
    <row r="16" spans="1:2" x14ac:dyDescent="0.2">
      <c r="A16" t="s">
        <v>421</v>
      </c>
      <c r="B16" s="138" t="str">
        <f>COVER!T13</f>
        <v>Gorenz and Associates, Ltd.</v>
      </c>
    </row>
    <row r="17" spans="1:2" x14ac:dyDescent="0.2">
      <c r="A17" t="s">
        <v>883</v>
      </c>
      <c r="B17" s="138" t="str">
        <f>COVER!T15</f>
        <v>Russel J. Rumbold II, CPA</v>
      </c>
    </row>
    <row r="18" spans="1:2" x14ac:dyDescent="0.2">
      <c r="A18" t="s">
        <v>1149</v>
      </c>
      <c r="B18" s="138" t="str">
        <f>COVER!T17</f>
        <v>4200 N Knoxville Ave</v>
      </c>
    </row>
    <row r="19" spans="1:2" x14ac:dyDescent="0.2">
      <c r="A19" t="s">
        <v>885</v>
      </c>
      <c r="B19" s="138" t="str">
        <f>COVER!T25</f>
        <v>rrumbold@gorenzcpa.com</v>
      </c>
    </row>
    <row r="20" spans="1:2" x14ac:dyDescent="0.2">
      <c r="A20" t="s">
        <v>886</v>
      </c>
      <c r="B20" s="138" t="str">
        <f>COVER!T19</f>
        <v>Peoria</v>
      </c>
    </row>
    <row r="21" spans="1:2" x14ac:dyDescent="0.2">
      <c r="A21" t="s">
        <v>478</v>
      </c>
      <c r="B21" s="138" t="str">
        <f>COVER!X19</f>
        <v>IL</v>
      </c>
    </row>
    <row r="22" spans="1:2" x14ac:dyDescent="0.2">
      <c r="A22" t="s">
        <v>887</v>
      </c>
      <c r="B22" s="138">
        <f>COVER!Z19</f>
        <v>61614</v>
      </c>
    </row>
    <row r="23" spans="1:2" x14ac:dyDescent="0.2">
      <c r="A23" t="s">
        <v>1151</v>
      </c>
      <c r="B23" s="138" t="str">
        <f>COVER!T21</f>
        <v>309-685-7621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16144090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35479074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35180093</v>
      </c>
      <c r="D92" s="2" t="str">
        <f t="shared" si="0"/>
        <v>Error?</v>
      </c>
    </row>
    <row r="93" spans="1:4" x14ac:dyDescent="0.2">
      <c r="A93" s="5">
        <v>32</v>
      </c>
      <c r="B93" s="138">
        <f>'Assets-Liab 5-6'!C41</f>
        <v>35479074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4516318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4516318</v>
      </c>
      <c r="D123" s="2" t="str">
        <f t="shared" si="0"/>
        <v>Error?</v>
      </c>
    </row>
    <row r="124" spans="1:4" x14ac:dyDescent="0.2">
      <c r="A124" s="5">
        <v>63</v>
      </c>
      <c r="B124" s="138">
        <f>'Assets-Liab 5-6'!D41</f>
        <v>4516318</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3631006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2351030</v>
      </c>
      <c r="D140" s="2" t="str">
        <f t="shared" si="1"/>
        <v>Error?</v>
      </c>
    </row>
    <row r="141" spans="1:4" x14ac:dyDescent="0.2">
      <c r="A141" s="5">
        <v>80</v>
      </c>
      <c r="B141" s="138">
        <f>'Assets-Liab 5-6'!E41</f>
        <v>3631006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6442540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6442540</v>
      </c>
      <c r="D170" s="2" t="str">
        <f t="shared" si="1"/>
        <v>Error?</v>
      </c>
    </row>
    <row r="171" spans="1:4" x14ac:dyDescent="0.2">
      <c r="A171" s="5">
        <v>110</v>
      </c>
      <c r="B171" s="138">
        <f>'Assets-Liab 5-6'!F41</f>
        <v>6442540</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4213469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2225083</v>
      </c>
      <c r="D189" s="2" t="str">
        <f t="shared" si="1"/>
        <v>Error?</v>
      </c>
    </row>
    <row r="190" spans="1:4" x14ac:dyDescent="0.2">
      <c r="A190" s="5">
        <v>129</v>
      </c>
      <c r="B190" s="138">
        <f>'Assets-Liab 5-6'!G41</f>
        <v>4213469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2517112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2517112</v>
      </c>
      <c r="D212" s="2" t="str">
        <f t="shared" si="2"/>
        <v>Error?</v>
      </c>
    </row>
    <row r="213" spans="1:4" x14ac:dyDescent="0.2">
      <c r="A213" s="12">
        <v>152</v>
      </c>
      <c r="B213" s="138">
        <f>'Assets-Liab 5-6'!H41</f>
        <v>2517112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2812408</v>
      </c>
      <c r="D273" s="2" t="str">
        <f t="shared" si="3"/>
        <v>Error?</v>
      </c>
    </row>
    <row r="274" spans="1:4" x14ac:dyDescent="0.2">
      <c r="A274" s="5">
        <v>213</v>
      </c>
      <c r="B274" s="138">
        <f>'Assets-Liab 5-6'!M17</f>
        <v>106743233</v>
      </c>
      <c r="D274" s="2" t="str">
        <f t="shared" si="3"/>
        <v>Error?</v>
      </c>
    </row>
    <row r="275" spans="1:4" x14ac:dyDescent="0.2">
      <c r="A275" s="5">
        <v>214</v>
      </c>
      <c r="B275" s="138">
        <f>'Assets-Liab 5-6'!M18</f>
        <v>11193701</v>
      </c>
      <c r="D275" s="2" t="str">
        <f t="shared" si="3"/>
        <v>Error?</v>
      </c>
    </row>
    <row r="276" spans="1:4" x14ac:dyDescent="0.2">
      <c r="A276" s="5">
        <v>215</v>
      </c>
      <c r="B276" s="138">
        <f>'Assets-Liab 5-6'!M19</f>
        <v>13147045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140344066</v>
      </c>
      <c r="C279" s="2" t="s">
        <v>572</v>
      </c>
      <c r="D279" s="2" t="str">
        <f t="shared" si="3"/>
        <v>Error?</v>
      </c>
    </row>
    <row r="280" spans="1:4" x14ac:dyDescent="0.2">
      <c r="A280" s="5">
        <v>219</v>
      </c>
      <c r="B280" s="138">
        <f>'Assets-Liab 5-6'!M40</f>
        <v>140344066</v>
      </c>
      <c r="D280" s="2" t="str">
        <f t="shared" si="3"/>
        <v>Error?</v>
      </c>
    </row>
    <row r="281" spans="1:4" x14ac:dyDescent="0.2">
      <c r="A281" s="5">
        <v>220</v>
      </c>
      <c r="B281" s="138">
        <f>'Assets-Liab 5-6'!M41</f>
        <v>140344066</v>
      </c>
      <c r="C281" s="2" t="s">
        <v>572</v>
      </c>
      <c r="D281" s="2" t="str">
        <f t="shared" si="3"/>
        <v>Error?</v>
      </c>
    </row>
    <row r="282" spans="1:4" x14ac:dyDescent="0.2">
      <c r="A282" s="5">
        <v>221</v>
      </c>
      <c r="B282" s="138">
        <f>'Assets-Liab 5-6'!N21</f>
        <v>3631006</v>
      </c>
      <c r="D282" s="2" t="str">
        <f t="shared" si="3"/>
        <v>Error?</v>
      </c>
    </row>
    <row r="283" spans="1:4" x14ac:dyDescent="0.2">
      <c r="A283" s="5">
        <v>222</v>
      </c>
      <c r="B283" s="138">
        <f>'Assets-Liab 5-6'!N22</f>
        <v>51272074</v>
      </c>
      <c r="D283" s="2" t="str">
        <f t="shared" si="3"/>
        <v>Error?</v>
      </c>
    </row>
    <row r="284" spans="1:4" x14ac:dyDescent="0.2">
      <c r="A284" s="5">
        <v>223</v>
      </c>
      <c r="B284" s="138">
        <f>'Assets-Liab 5-6'!N23</f>
        <v>54903080</v>
      </c>
      <c r="C284" s="2" t="s">
        <v>572</v>
      </c>
      <c r="D284" s="2" t="str">
        <f t="shared" si="3"/>
        <v>Error?</v>
      </c>
    </row>
    <row r="285" spans="1:4" x14ac:dyDescent="0.2">
      <c r="A285" s="5">
        <v>224</v>
      </c>
      <c r="B285" s="138">
        <f>'Assets-Liab 5-6'!N36</f>
        <v>54903080</v>
      </c>
      <c r="D285" s="2" t="str">
        <f t="shared" si="3"/>
        <v>Error?</v>
      </c>
    </row>
    <row r="286" spans="1:4" x14ac:dyDescent="0.2">
      <c r="A286" s="10">
        <v>225</v>
      </c>
      <c r="D286" s="2" t="str">
        <f t="shared" si="3"/>
        <v>OK</v>
      </c>
    </row>
    <row r="287" spans="1:4" x14ac:dyDescent="0.2">
      <c r="A287" s="5">
        <v>226</v>
      </c>
      <c r="B287" s="138">
        <f>'Assets-Liab 5-6'!N37</f>
        <v>54903080</v>
      </c>
      <c r="C287" s="2" t="s">
        <v>572</v>
      </c>
      <c r="D287" s="2" t="str">
        <f t="shared" si="3"/>
        <v>Error?</v>
      </c>
    </row>
    <row r="288" spans="1:4" x14ac:dyDescent="0.2">
      <c r="A288" s="5">
        <v>227</v>
      </c>
      <c r="B288" s="138">
        <f>'Assets-Liab 5-6'!N41</f>
        <v>54903080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12889820</v>
      </c>
      <c r="D705" s="2" t="str">
        <f t="shared" si="10"/>
        <v>Error?</v>
      </c>
    </row>
    <row r="706" spans="1:4" x14ac:dyDescent="0.2">
      <c r="A706" s="5">
        <v>645</v>
      </c>
      <c r="B706" s="138">
        <f>'Expenditures 15-22'!C16</f>
        <v>14940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321959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915989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17866428</v>
      </c>
      <c r="C720" s="2" t="s">
        <v>572</v>
      </c>
      <c r="D720" s="2" t="str">
        <f t="shared" si="10"/>
        <v>Error?</v>
      </c>
    </row>
    <row r="721" spans="1:4" x14ac:dyDescent="0.2">
      <c r="A721" s="5">
        <v>660</v>
      </c>
      <c r="B721" s="138">
        <f>'Expenditures 15-22'!C36</f>
        <v>141230</v>
      </c>
      <c r="D721" s="2" t="str">
        <f t="shared" si="10"/>
        <v>Error?</v>
      </c>
    </row>
    <row r="722" spans="1:4" x14ac:dyDescent="0.2">
      <c r="A722" s="5">
        <v>661</v>
      </c>
      <c r="B722" s="138">
        <f>'Expenditures 15-22'!C37</f>
        <v>675224</v>
      </c>
      <c r="D722" s="2" t="str">
        <f t="shared" si="10"/>
        <v>Error?</v>
      </c>
    </row>
    <row r="723" spans="1:4" x14ac:dyDescent="0.2">
      <c r="A723" s="5">
        <v>662</v>
      </c>
      <c r="B723" s="138">
        <f>'Expenditures 15-22'!C38</f>
        <v>169503</v>
      </c>
      <c r="D723" s="2" t="str">
        <f t="shared" si="10"/>
        <v>Error?</v>
      </c>
    </row>
    <row r="724" spans="1:4" x14ac:dyDescent="0.2">
      <c r="A724" s="5">
        <v>663</v>
      </c>
      <c r="B724" s="138">
        <f>'Expenditures 15-22'!C39</f>
        <v>127885</v>
      </c>
      <c r="D724" s="2" t="str">
        <f t="shared" si="10"/>
        <v>Error?</v>
      </c>
    </row>
    <row r="725" spans="1:4" x14ac:dyDescent="0.2">
      <c r="A725" s="5">
        <v>664</v>
      </c>
      <c r="B725" s="138">
        <f>'Expenditures 15-22'!C40</f>
        <v>464217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1578059</v>
      </c>
      <c r="C727" s="2" t="s">
        <v>572</v>
      </c>
      <c r="D727" s="2" t="str">
        <f t="shared" si="10"/>
        <v>Error?</v>
      </c>
    </row>
    <row r="728" spans="1:4" x14ac:dyDescent="0.2">
      <c r="A728" s="5">
        <v>667</v>
      </c>
      <c r="B728" s="138">
        <f>'Expenditures 15-22'!C44</f>
        <v>402824</v>
      </c>
      <c r="D728" s="2" t="str">
        <f t="shared" si="10"/>
        <v>Error?</v>
      </c>
    </row>
    <row r="729" spans="1:4" x14ac:dyDescent="0.2">
      <c r="A729" s="5">
        <v>668</v>
      </c>
      <c r="B729" s="138">
        <f>'Expenditures 15-22'!C45</f>
        <v>162900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565724</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387549</v>
      </c>
      <c r="D733" s="2" t="str">
        <f t="shared" si="10"/>
        <v>Error?</v>
      </c>
    </row>
    <row r="734" spans="1:4" x14ac:dyDescent="0.2">
      <c r="A734" s="5">
        <v>673</v>
      </c>
      <c r="B734" s="138">
        <f>'Expenditures 15-22'!C53</f>
        <v>387549</v>
      </c>
      <c r="C734" s="2" t="s">
        <v>572</v>
      </c>
      <c r="D734" s="2" t="str">
        <f t="shared" si="10"/>
        <v>Error?</v>
      </c>
    </row>
    <row r="735" spans="1:4" x14ac:dyDescent="0.2">
      <c r="A735" s="5">
        <v>674</v>
      </c>
      <c r="B735" s="138">
        <f>'Expenditures 15-22'!C55</f>
        <v>1779485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1779485</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179829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607661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787490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229788</v>
      </c>
      <c r="D754" s="2" t="str">
        <f t="shared" si="10"/>
        <v>Error?</v>
      </c>
    </row>
    <row r="755" spans="1:4" x14ac:dyDescent="0.2">
      <c r="A755" s="5">
        <v>694</v>
      </c>
      <c r="B755" s="138">
        <f>'Expenditures 15-22'!C74</f>
        <v>5328095</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23194523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2689170</v>
      </c>
      <c r="D763" s="2" t="str">
        <f t="shared" si="10"/>
        <v>Error?</v>
      </c>
    </row>
    <row r="764" spans="1:4" x14ac:dyDescent="0.2">
      <c r="A764" s="5">
        <v>703</v>
      </c>
      <c r="B764" s="138">
        <f>'Expenditures 15-22'!D16</f>
        <v>224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60825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32592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3207675</v>
      </c>
      <c r="C778" s="2" t="s">
        <v>572</v>
      </c>
      <c r="D778" s="2" t="str">
        <f t="shared" si="11"/>
        <v>Error?</v>
      </c>
    </row>
    <row r="779" spans="1:4" x14ac:dyDescent="0.2">
      <c r="A779" s="5">
        <v>718</v>
      </c>
      <c r="B779" s="138">
        <f>'Expenditures 15-22'!D36</f>
        <v>27478</v>
      </c>
      <c r="D779" s="2" t="str">
        <f t="shared" si="11"/>
        <v>Error?</v>
      </c>
    </row>
    <row r="780" spans="1:4" x14ac:dyDescent="0.2">
      <c r="A780" s="5">
        <v>719</v>
      </c>
      <c r="B780" s="138">
        <f>'Expenditures 15-22'!D37</f>
        <v>163358</v>
      </c>
      <c r="D780" s="2" t="str">
        <f t="shared" si="11"/>
        <v>Error?</v>
      </c>
    </row>
    <row r="781" spans="1:4" x14ac:dyDescent="0.2">
      <c r="A781" s="5">
        <v>720</v>
      </c>
      <c r="B781" s="138">
        <f>'Expenditures 15-22'!D38</f>
        <v>888</v>
      </c>
      <c r="D781" s="2" t="str">
        <f t="shared" si="11"/>
        <v>Error?</v>
      </c>
    </row>
    <row r="782" spans="1:4" x14ac:dyDescent="0.2">
      <c r="A782" s="5">
        <v>721</v>
      </c>
      <c r="B782" s="138">
        <f>'Expenditures 15-22'!D39</f>
        <v>23010</v>
      </c>
      <c r="D782" s="2" t="str">
        <f t="shared" si="11"/>
        <v>Error?</v>
      </c>
    </row>
    <row r="783" spans="1:4" x14ac:dyDescent="0.2">
      <c r="A783" s="5">
        <v>722</v>
      </c>
      <c r="B783" s="138">
        <f>'Expenditures 15-22'!D40</f>
        <v>92119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306853</v>
      </c>
      <c r="C785" s="2" t="s">
        <v>572</v>
      </c>
      <c r="D785" s="2" t="str">
        <f t="shared" si="11"/>
        <v>Error?</v>
      </c>
    </row>
    <row r="786" spans="1:4" x14ac:dyDescent="0.2">
      <c r="A786" s="5">
        <v>725</v>
      </c>
      <c r="B786" s="138">
        <f>'Expenditures 15-22'!D44</f>
        <v>60798</v>
      </c>
      <c r="D786" s="2" t="str">
        <f t="shared" si="11"/>
        <v>Error?</v>
      </c>
    </row>
    <row r="787" spans="1:4" x14ac:dyDescent="0.2">
      <c r="A787" s="5">
        <v>726</v>
      </c>
      <c r="B787" s="138">
        <f>'Expenditures 15-22'!D45</f>
        <v>10619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71417</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55517</v>
      </c>
      <c r="D791" s="2" t="str">
        <f t="shared" si="11"/>
        <v>Error?</v>
      </c>
    </row>
    <row r="792" spans="1:4" x14ac:dyDescent="0.2">
      <c r="A792" s="5">
        <v>731</v>
      </c>
      <c r="B792" s="138">
        <f>'Expenditures 15-22'!D53</f>
        <v>55517</v>
      </c>
      <c r="C792" s="2" t="s">
        <v>572</v>
      </c>
      <c r="D792" s="2" t="str">
        <f t="shared" si="11"/>
        <v>Error?</v>
      </c>
    </row>
    <row r="793" spans="1:4" x14ac:dyDescent="0.2">
      <c r="A793" s="5">
        <v>732</v>
      </c>
      <c r="B793" s="138">
        <f>'Expenditures 15-22'!D55</f>
        <v>284141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284141</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23929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11378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35307</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10564</v>
      </c>
      <c r="D812" s="2" t="str">
        <f t="shared" si="11"/>
        <v>Error?</v>
      </c>
    </row>
    <row r="813" spans="1:4" x14ac:dyDescent="0.2">
      <c r="A813" s="5">
        <v>752</v>
      </c>
      <c r="B813" s="138">
        <f>'Expenditures 15-22'!D74</f>
        <v>763799</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3971474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43791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5619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146359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232448</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219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43511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43730</v>
      </c>
      <c r="C843" s="2" t="s">
        <v>572</v>
      </c>
      <c r="D843" s="2" t="str">
        <f t="shared" si="12"/>
        <v>Error?</v>
      </c>
    </row>
    <row r="844" spans="1:4" x14ac:dyDescent="0.2">
      <c r="A844" s="5">
        <v>783</v>
      </c>
      <c r="B844" s="138">
        <f>'Expenditures 15-22'!E44</f>
        <v>128506</v>
      </c>
      <c r="D844" s="2" t="str">
        <f t="shared" si="12"/>
        <v>Error?</v>
      </c>
    </row>
    <row r="845" spans="1:4" x14ac:dyDescent="0.2">
      <c r="A845" s="5">
        <v>784</v>
      </c>
      <c r="B845" s="138">
        <f>'Expenditures 15-22'!E45</f>
        <v>1540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130046</v>
      </c>
      <c r="C847" s="2" t="s">
        <v>572</v>
      </c>
      <c r="D847" s="2" t="str">
        <f t="shared" si="12"/>
        <v>Error?</v>
      </c>
    </row>
    <row r="848" spans="1:4" x14ac:dyDescent="0.2">
      <c r="A848" s="5">
        <v>787</v>
      </c>
      <c r="B848" s="138">
        <f>'Expenditures 15-22'!E49</f>
        <v>31177</v>
      </c>
      <c r="D848" s="2" t="str">
        <f t="shared" si="12"/>
        <v>Error?</v>
      </c>
    </row>
    <row r="849" spans="1:4" x14ac:dyDescent="0.2">
      <c r="A849" s="5">
        <v>788</v>
      </c>
      <c r="B849" s="138">
        <f>'Expenditures 15-22'!E50</f>
        <v>34609</v>
      </c>
      <c r="D849" s="2" t="str">
        <f t="shared" si="12"/>
        <v>Error?</v>
      </c>
    </row>
    <row r="850" spans="1:4" x14ac:dyDescent="0.2">
      <c r="A850" s="5">
        <v>789</v>
      </c>
      <c r="B850" s="138">
        <f>'Expenditures 15-22'!E53</f>
        <v>65786</v>
      </c>
      <c r="C850" s="2" t="s">
        <v>572</v>
      </c>
      <c r="D850" s="2" t="str">
        <f t="shared" si="12"/>
        <v>Error?</v>
      </c>
    </row>
    <row r="851" spans="1:4" x14ac:dyDescent="0.2">
      <c r="A851" s="5">
        <v>790</v>
      </c>
      <c r="B851" s="138">
        <f>'Expenditures 15-22'!E55</f>
        <v>189325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189325</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37281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18147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55428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23093</v>
      </c>
      <c r="D867" s="2" t="str">
        <f t="shared" si="12"/>
        <v>Error?</v>
      </c>
    </row>
    <row r="868" spans="1:4" x14ac:dyDescent="0.2">
      <c r="A868" s="10">
        <v>807</v>
      </c>
      <c r="D868" s="2" t="str">
        <f t="shared" si="12"/>
        <v>OK</v>
      </c>
    </row>
    <row r="869" spans="1:4" x14ac:dyDescent="0.2">
      <c r="A869" s="5">
        <v>808</v>
      </c>
      <c r="B869" s="138">
        <f>'Expenditures 15-22'!E72</f>
        <v>23093</v>
      </c>
      <c r="C869" s="2" t="s">
        <v>572</v>
      </c>
      <c r="D869" s="2" t="str">
        <f t="shared" si="12"/>
        <v>Error?</v>
      </c>
    </row>
    <row r="870" spans="1:4" x14ac:dyDescent="0.2">
      <c r="A870" s="5">
        <v>809</v>
      </c>
      <c r="B870" s="138">
        <f>'Expenditures 15-22'!E73</f>
        <v>761641</v>
      </c>
      <c r="D870" s="2" t="str">
        <f t="shared" si="12"/>
        <v>Error?</v>
      </c>
    </row>
    <row r="871" spans="1:4" x14ac:dyDescent="0.2">
      <c r="A871" s="5">
        <v>810</v>
      </c>
      <c r="B871" s="138">
        <f>'Expenditures 15-22'!E74</f>
        <v>1269049</v>
      </c>
      <c r="C871" s="2" t="s">
        <v>572</v>
      </c>
      <c r="D871" s="2" t="str">
        <f t="shared" si="12"/>
        <v>Error?</v>
      </c>
    </row>
    <row r="872" spans="1:4" x14ac:dyDescent="0.2">
      <c r="A872" s="5">
        <v>811</v>
      </c>
      <c r="B872" s="138">
        <f>'Expenditures 15-22'!E75</f>
        <v>2084</v>
      </c>
      <c r="D872" s="2" t="str">
        <f t="shared" si="12"/>
        <v>Error?</v>
      </c>
    </row>
    <row r="873" spans="1:4" x14ac:dyDescent="0.2">
      <c r="A873" s="5">
        <v>812</v>
      </c>
      <c r="B873" s="138">
        <f>'Expenditures 15-22'!E114</f>
        <v>1503581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464632</v>
      </c>
      <c r="D879" s="2" t="str">
        <f t="shared" si="12"/>
        <v>Error?</v>
      </c>
    </row>
    <row r="880" spans="1:4" x14ac:dyDescent="0.2">
      <c r="A880" s="5">
        <v>819</v>
      </c>
      <c r="B880" s="138">
        <f>'Expenditures 15-22'!F16</f>
        <v>5389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17851</v>
      </c>
      <c r="D891" s="2" t="str">
        <f t="shared" si="12"/>
        <v>Error?</v>
      </c>
    </row>
    <row r="892" spans="1:4" x14ac:dyDescent="0.2">
      <c r="A892" s="5">
        <v>831</v>
      </c>
      <c r="B892" s="138">
        <f>'Expenditures 15-22'!F14</f>
        <v>93844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633528</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2920</v>
      </c>
      <c r="D899" s="2" t="str">
        <f t="shared" si="13"/>
        <v>Error?</v>
      </c>
    </row>
    <row r="900" spans="1:4" x14ac:dyDescent="0.2">
      <c r="A900" s="5">
        <v>839</v>
      </c>
      <c r="B900" s="138">
        <f>'Expenditures 15-22'!F41</f>
        <v>27717</v>
      </c>
      <c r="D900" s="2" t="str">
        <f t="shared" si="13"/>
        <v>Error?</v>
      </c>
    </row>
    <row r="901" spans="1:4" x14ac:dyDescent="0.2">
      <c r="A901" s="5">
        <v>840</v>
      </c>
      <c r="B901" s="138">
        <f>'Expenditures 15-22'!F42</f>
        <v>30771</v>
      </c>
      <c r="C901" s="2" t="s">
        <v>572</v>
      </c>
      <c r="D901" s="2" t="str">
        <f t="shared" si="13"/>
        <v>Error?</v>
      </c>
    </row>
    <row r="902" spans="1:4" x14ac:dyDescent="0.2">
      <c r="A902" s="5">
        <v>841</v>
      </c>
      <c r="B902" s="138">
        <f>'Expenditures 15-22'!F44</f>
        <v>12951</v>
      </c>
      <c r="D902" s="2" t="str">
        <f t="shared" si="13"/>
        <v>Error?</v>
      </c>
    </row>
    <row r="903" spans="1:4" x14ac:dyDescent="0.2">
      <c r="A903" s="5">
        <v>842</v>
      </c>
      <c r="B903" s="138">
        <f>'Expenditures 15-22'!F45</f>
        <v>9818</v>
      </c>
      <c r="D903" s="2" t="str">
        <f t="shared" si="13"/>
        <v>Error?</v>
      </c>
    </row>
    <row r="904" spans="1:4" x14ac:dyDescent="0.2">
      <c r="A904" s="5">
        <v>843</v>
      </c>
      <c r="B904" s="138">
        <f>'Expenditures 15-22'!F46</f>
        <v>35217</v>
      </c>
      <c r="D904" s="2" t="str">
        <f t="shared" si="13"/>
        <v>Error?</v>
      </c>
    </row>
    <row r="905" spans="1:4" x14ac:dyDescent="0.2">
      <c r="A905" s="5">
        <v>844</v>
      </c>
      <c r="B905" s="138">
        <f>'Expenditures 15-22'!F47</f>
        <v>57986</v>
      </c>
      <c r="C905" s="2" t="s">
        <v>572</v>
      </c>
      <c r="D905" s="2" t="str">
        <f t="shared" si="13"/>
        <v>Error?</v>
      </c>
    </row>
    <row r="906" spans="1:4" x14ac:dyDescent="0.2">
      <c r="A906" s="5">
        <v>845</v>
      </c>
      <c r="B906" s="138">
        <f>'Expenditures 15-22'!F49</f>
        <v>254</v>
      </c>
      <c r="D906" s="2" t="str">
        <f t="shared" si="13"/>
        <v>Error?</v>
      </c>
    </row>
    <row r="907" spans="1:4" x14ac:dyDescent="0.2">
      <c r="A907" s="5">
        <v>846</v>
      </c>
      <c r="B907" s="138">
        <f>'Expenditures 15-22'!F50</f>
        <v>36530</v>
      </c>
      <c r="D907" s="2" t="str">
        <f t="shared" si="13"/>
        <v>Error?</v>
      </c>
    </row>
    <row r="908" spans="1:4" x14ac:dyDescent="0.2">
      <c r="A908" s="5">
        <v>847</v>
      </c>
      <c r="B908" s="138">
        <f>'Expenditures 15-22'!F53</f>
        <v>36784</v>
      </c>
      <c r="C908" s="2" t="s">
        <v>572</v>
      </c>
      <c r="D908" s="2" t="str">
        <f t="shared" si="13"/>
        <v>Error?</v>
      </c>
    </row>
    <row r="909" spans="1:4" x14ac:dyDescent="0.2">
      <c r="A909" s="5">
        <v>848</v>
      </c>
      <c r="B909" s="138">
        <f>'Expenditures 15-22'!F55</f>
        <v>58192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58192</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555722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555722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19864</v>
      </c>
      <c r="D928" s="2" t="str">
        <f t="shared" si="13"/>
        <v>Error?</v>
      </c>
    </row>
    <row r="929" spans="1:4" x14ac:dyDescent="0.2">
      <c r="A929" s="5">
        <v>868</v>
      </c>
      <c r="B929" s="138">
        <f>'Expenditures 15-22'!F74</f>
        <v>759319</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1392847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4600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5931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13532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10512</v>
      </c>
      <c r="D965" s="2" t="str">
        <f t="shared" si="14"/>
        <v>Error?</v>
      </c>
    </row>
    <row r="966" spans="1:4" x14ac:dyDescent="0.2">
      <c r="A966" s="5">
        <v>905</v>
      </c>
      <c r="B966" s="138">
        <f>'Expenditures 15-22'!G53</f>
        <v>10512</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629005</v>
      </c>
      <c r="D986" s="2" t="str">
        <f t="shared" si="14"/>
        <v>Error?</v>
      </c>
    </row>
    <row r="987" spans="1:4" x14ac:dyDescent="0.2">
      <c r="A987" s="5">
        <v>926</v>
      </c>
      <c r="B987" s="138">
        <f>'Expenditures 15-22'!G74</f>
        <v>639517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653049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275059</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1329378</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1604437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16092013</v>
      </c>
      <c r="C1093" s="2" t="s">
        <v>572</v>
      </c>
      <c r="D1093" s="2" t="str">
        <f t="shared" si="16"/>
        <v>Error?</v>
      </c>
    </row>
    <row r="1094" spans="1:4" x14ac:dyDescent="0.2">
      <c r="A1094" s="5">
        <v>1033</v>
      </c>
      <c r="B1094" s="138">
        <f>'Expenditures 15-22'!K16</f>
        <v>20553</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388403</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17851</v>
      </c>
      <c r="C1105" s="2" t="s">
        <v>572</v>
      </c>
      <c r="D1105" s="2" t="str">
        <f t="shared" si="16"/>
        <v>Error?</v>
      </c>
    </row>
    <row r="1106" spans="1:4" x14ac:dyDescent="0.2">
      <c r="A1106" s="5">
        <v>1045</v>
      </c>
      <c r="B1106" s="138">
        <f>'Expenditures 15-22'!K14</f>
        <v>1194715</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22228670</v>
      </c>
      <c r="C1108" s="2" t="s">
        <v>572</v>
      </c>
      <c r="D1108" s="2" t="str">
        <f t="shared" si="16"/>
        <v>Error?</v>
      </c>
    </row>
    <row r="1109" spans="1:4" x14ac:dyDescent="0.2">
      <c r="A1109" s="5">
        <v>1048</v>
      </c>
      <c r="B1109" s="138">
        <f>'Expenditures 15-22'!K36</f>
        <v>168708</v>
      </c>
      <c r="C1109" s="2" t="s">
        <v>572</v>
      </c>
      <c r="D1109" s="2" t="str">
        <f t="shared" si="16"/>
        <v>Error?</v>
      </c>
    </row>
    <row r="1110" spans="1:4" x14ac:dyDescent="0.2">
      <c r="A1110" s="5">
        <v>1049</v>
      </c>
      <c r="B1110" s="138">
        <f>'Expenditures 15-22'!K37</f>
        <v>838582</v>
      </c>
      <c r="C1110" s="2" t="s">
        <v>572</v>
      </c>
      <c r="D1110" s="2" t="str">
        <f t="shared" si="16"/>
        <v>Error?</v>
      </c>
    </row>
    <row r="1111" spans="1:4" x14ac:dyDescent="0.2">
      <c r="A1111" s="5">
        <v>1050</v>
      </c>
      <c r="B1111" s="138">
        <f>'Expenditures 15-22'!K38</f>
        <v>170744</v>
      </c>
      <c r="C1111" s="2" t="s">
        <v>572</v>
      </c>
      <c r="D1111" s="2" t="str">
        <f t="shared" si="16"/>
        <v>Error?</v>
      </c>
    </row>
    <row r="1112" spans="1:4" x14ac:dyDescent="0.2">
      <c r="A1112" s="5">
        <v>1051</v>
      </c>
      <c r="B1112" s="138">
        <f>'Expenditures 15-22'!K39</f>
        <v>150895</v>
      </c>
      <c r="C1112" s="2" t="s">
        <v>572</v>
      </c>
      <c r="D1112" s="2" t="str">
        <f t="shared" si="16"/>
        <v>Error?</v>
      </c>
    </row>
    <row r="1113" spans="1:4" x14ac:dyDescent="0.2">
      <c r="A1113" s="5">
        <v>1052</v>
      </c>
      <c r="B1113" s="138">
        <f>'Expenditures 15-22'!K40</f>
        <v>602767</v>
      </c>
      <c r="C1113" s="2" t="s">
        <v>572</v>
      </c>
      <c r="D1113" s="2" t="str">
        <f t="shared" si="16"/>
        <v>Error?</v>
      </c>
    </row>
    <row r="1114" spans="1:4" x14ac:dyDescent="0.2">
      <c r="A1114" s="5">
        <v>1053</v>
      </c>
      <c r="B1114" s="138">
        <f>'Expenditures 15-22'!K41</f>
        <v>27717</v>
      </c>
      <c r="C1114" s="2" t="s">
        <v>572</v>
      </c>
      <c r="D1114" s="2" t="str">
        <f t="shared" si="16"/>
        <v>Error?</v>
      </c>
    </row>
    <row r="1115" spans="1:4" x14ac:dyDescent="0.2">
      <c r="A1115" s="5">
        <v>1054</v>
      </c>
      <c r="B1115" s="138">
        <f>'Expenditures 15-22'!K42</f>
        <v>1959413</v>
      </c>
      <c r="C1115" s="2" t="s">
        <v>572</v>
      </c>
      <c r="D1115" s="2" t="str">
        <f t="shared" si="16"/>
        <v>Error?</v>
      </c>
    </row>
    <row r="1116" spans="1:4" x14ac:dyDescent="0.2">
      <c r="A1116" s="5">
        <v>1055</v>
      </c>
      <c r="B1116" s="138">
        <f>'Expenditures 15-22'!K44</f>
        <v>605079</v>
      </c>
      <c r="C1116" s="2" t="s">
        <v>572</v>
      </c>
      <c r="D1116" s="2" t="str">
        <f t="shared" si="16"/>
        <v>Error?</v>
      </c>
    </row>
    <row r="1117" spans="1:4" x14ac:dyDescent="0.2">
      <c r="A1117" s="5">
        <v>1056</v>
      </c>
      <c r="B1117" s="138">
        <f>'Expenditures 15-22'!K45</f>
        <v>184877</v>
      </c>
      <c r="C1117" s="2" t="s">
        <v>572</v>
      </c>
      <c r="D1117" s="2" t="str">
        <f t="shared" si="16"/>
        <v>Error?</v>
      </c>
    </row>
    <row r="1118" spans="1:4" x14ac:dyDescent="0.2">
      <c r="A1118" s="5">
        <v>1057</v>
      </c>
      <c r="B1118" s="138">
        <f>'Expenditures 15-22'!K46</f>
        <v>35217</v>
      </c>
      <c r="C1118" s="2" t="s">
        <v>572</v>
      </c>
      <c r="D1118" s="2" t="str">
        <f t="shared" si="16"/>
        <v>Error?</v>
      </c>
    </row>
    <row r="1119" spans="1:4" x14ac:dyDescent="0.2">
      <c r="A1119" s="5">
        <v>1058</v>
      </c>
      <c r="B1119" s="138">
        <f>'Expenditures 15-22'!K47</f>
        <v>825173</v>
      </c>
      <c r="C1119" s="2" t="s">
        <v>572</v>
      </c>
      <c r="D1119" s="2" t="str">
        <f t="shared" si="16"/>
        <v>Error?</v>
      </c>
    </row>
    <row r="1120" spans="1:4" x14ac:dyDescent="0.2">
      <c r="A1120" s="5">
        <v>1059</v>
      </c>
      <c r="B1120" s="138">
        <f>'Expenditures 15-22'!K49</f>
        <v>31431</v>
      </c>
      <c r="C1120" s="2" t="s">
        <v>572</v>
      </c>
      <c r="D1120" s="2" t="str">
        <f t="shared" si="16"/>
        <v>Error?</v>
      </c>
    </row>
    <row r="1121" spans="1:4" x14ac:dyDescent="0.2">
      <c r="A1121" s="5">
        <v>1060</v>
      </c>
      <c r="B1121" s="138">
        <f>'Expenditures 15-22'!K50</f>
        <v>524717</v>
      </c>
      <c r="C1121" s="2" t="s">
        <v>572</v>
      </c>
      <c r="D1121" s="2" t="str">
        <f t="shared" si="16"/>
        <v>Error?</v>
      </c>
    </row>
    <row r="1122" spans="1:4" x14ac:dyDescent="0.2">
      <c r="A1122" s="5">
        <v>1061</v>
      </c>
      <c r="B1122" s="138">
        <f>'Expenditures 15-22'!K53</f>
        <v>556148</v>
      </c>
      <c r="C1122" s="2" t="s">
        <v>572</v>
      </c>
      <c r="D1122" s="2" t="str">
        <f t="shared" si="16"/>
        <v>Error?</v>
      </c>
    </row>
    <row r="1123" spans="1:4" x14ac:dyDescent="0.2">
      <c r="A1123" s="5">
        <v>1062</v>
      </c>
      <c r="B1123" s="138">
        <f>'Expenditures 15-22'!K55</f>
        <v>2311143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2311143</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241039</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1192908</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1433947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23093</v>
      </c>
      <c r="C1139" s="2" t="s">
        <v>572</v>
      </c>
      <c r="D1139" s="2" t="str">
        <f t="shared" si="16"/>
        <v>Error?</v>
      </c>
    </row>
    <row r="1140" spans="1:4" x14ac:dyDescent="0.2">
      <c r="A1140" s="10">
        <v>1079</v>
      </c>
      <c r="D1140" s="2" t="str">
        <f t="shared" si="16"/>
        <v>OK</v>
      </c>
    </row>
    <row r="1141" spans="1:4" x14ac:dyDescent="0.2">
      <c r="A1141" s="5">
        <v>1080</v>
      </c>
      <c r="B1141" s="138">
        <f>'Expenditures 15-22'!K72</f>
        <v>23093</v>
      </c>
      <c r="C1141" s="2" t="s">
        <v>572</v>
      </c>
      <c r="D1141" s="2" t="str">
        <f t="shared" si="16"/>
        <v>Error?</v>
      </c>
    </row>
    <row r="1142" spans="1:4" x14ac:dyDescent="0.2">
      <c r="A1142" s="5">
        <v>1081</v>
      </c>
      <c r="B1142" s="138">
        <f>'Expenditures 15-22'!K73</f>
        <v>1650862</v>
      </c>
      <c r="C1142" s="2" t="s">
        <v>572</v>
      </c>
      <c r="D1142" s="2" t="str">
        <f t="shared" si="16"/>
        <v>Error?</v>
      </c>
    </row>
    <row r="1143" spans="1:4" x14ac:dyDescent="0.2">
      <c r="A1143" s="5">
        <v>1082</v>
      </c>
      <c r="B1143" s="138">
        <f>'Expenditures 15-22'!K74</f>
        <v>8759779</v>
      </c>
      <c r="C1143" s="2" t="s">
        <v>572</v>
      </c>
      <c r="D1143" s="2" t="str">
        <f t="shared" si="16"/>
        <v>Error?</v>
      </c>
    </row>
    <row r="1144" spans="1:4" x14ac:dyDescent="0.2">
      <c r="A1144" s="5">
        <v>1083</v>
      </c>
      <c r="B1144" s="138">
        <f>'Expenditures 15-22'!K75</f>
        <v>2084</v>
      </c>
      <c r="C1144" s="2" t="s">
        <v>572</v>
      </c>
      <c r="D1144" s="2" t="str">
        <f t="shared" si="16"/>
        <v>Error?</v>
      </c>
    </row>
    <row r="1145" spans="1:4" x14ac:dyDescent="0.2">
      <c r="A1145" s="5">
        <v>1084</v>
      </c>
      <c r="B1145" s="138">
        <f>'Expenditures 15-22'!K102</f>
        <v>1329378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32319911</v>
      </c>
      <c r="C1152" s="2" t="s">
        <v>572</v>
      </c>
      <c r="D1152" s="2" t="str">
        <f t="shared" si="17"/>
        <v>Error?</v>
      </c>
    </row>
    <row r="1153" spans="1:4" x14ac:dyDescent="0.2">
      <c r="A1153" s="5">
        <v>1092</v>
      </c>
      <c r="B1153" s="138">
        <f>'Expenditures 15-22'!K115</f>
        <v>450865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1476795</v>
      </c>
      <c r="D1221" s="2" t="str">
        <f t="shared" si="18"/>
        <v>Error?</v>
      </c>
    </row>
    <row r="1222" spans="1:4" x14ac:dyDescent="0.2">
      <c r="A1222" s="10">
        <v>1161</v>
      </c>
      <c r="D1222" s="2" t="str">
        <f t="shared" si="18"/>
        <v>OK</v>
      </c>
    </row>
    <row r="1223" spans="1:4" x14ac:dyDescent="0.2">
      <c r="A1223" s="5">
        <v>1162</v>
      </c>
      <c r="B1223" s="138">
        <f>'Expenditures 15-22'!C127</f>
        <v>1476795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1476795</v>
      </c>
      <c r="C1225" s="2" t="s">
        <v>572</v>
      </c>
      <c r="D1225" s="2" t="str">
        <f t="shared" si="18"/>
        <v>Error?</v>
      </c>
    </row>
    <row r="1226" spans="1:4" x14ac:dyDescent="0.2">
      <c r="A1226" s="5">
        <v>1165</v>
      </c>
      <c r="B1226" s="138">
        <f>'Expenditures 15-22'!C151</f>
        <v>1476795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119871</v>
      </c>
      <c r="D1229" s="2" t="str">
        <f t="shared" si="18"/>
        <v>Error?</v>
      </c>
    </row>
    <row r="1230" spans="1:4" x14ac:dyDescent="0.2">
      <c r="A1230" s="10">
        <v>1169</v>
      </c>
      <c r="D1230" s="2" t="str">
        <f t="shared" si="18"/>
        <v>OK</v>
      </c>
    </row>
    <row r="1231" spans="1:4" x14ac:dyDescent="0.2">
      <c r="A1231" s="5">
        <v>1170</v>
      </c>
      <c r="B1231" s="138">
        <f>'Expenditures 15-22'!D127</f>
        <v>119871</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119871</v>
      </c>
      <c r="C1233" s="2" t="s">
        <v>572</v>
      </c>
      <c r="D1233" s="2" t="str">
        <f t="shared" si="18"/>
        <v>Error?</v>
      </c>
    </row>
    <row r="1234" spans="1:4" x14ac:dyDescent="0.2">
      <c r="A1234" s="5">
        <v>1173</v>
      </c>
      <c r="B1234" s="138">
        <f>'Expenditures 15-22'!D151</f>
        <v>119871</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781270</v>
      </c>
      <c r="D1237" s="2" t="str">
        <f t="shared" si="18"/>
        <v>Error?</v>
      </c>
    </row>
    <row r="1238" spans="1:4" x14ac:dyDescent="0.2">
      <c r="A1238" s="10">
        <v>1177</v>
      </c>
      <c r="D1238" s="2" t="str">
        <f t="shared" si="18"/>
        <v>OK</v>
      </c>
    </row>
    <row r="1239" spans="1:4" x14ac:dyDescent="0.2">
      <c r="A1239" s="5">
        <v>1178</v>
      </c>
      <c r="B1239" s="138">
        <f>'Expenditures 15-22'!E127</f>
        <v>781270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781270</v>
      </c>
      <c r="C1241" s="2" t="s">
        <v>572</v>
      </c>
      <c r="D1241" s="2" t="str">
        <f t="shared" si="18"/>
        <v>Error?</v>
      </c>
    </row>
    <row r="1242" spans="1:4" x14ac:dyDescent="0.2">
      <c r="A1242" s="5">
        <v>1181</v>
      </c>
      <c r="B1242" s="138">
        <f>'Expenditures 15-22'!E151</f>
        <v>781270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1209546</v>
      </c>
      <c r="D1245" s="2" t="str">
        <f t="shared" si="18"/>
        <v>Error?</v>
      </c>
    </row>
    <row r="1246" spans="1:4" x14ac:dyDescent="0.2">
      <c r="A1246" s="10">
        <v>1185</v>
      </c>
      <c r="D1246" s="2" t="str">
        <f t="shared" si="18"/>
        <v>OK</v>
      </c>
    </row>
    <row r="1247" spans="1:4" x14ac:dyDescent="0.2">
      <c r="A1247" s="5">
        <v>1186</v>
      </c>
      <c r="B1247" s="138">
        <f>'Expenditures 15-22'!F127</f>
        <v>1209546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1209546</v>
      </c>
      <c r="C1249" s="2" t="s">
        <v>572</v>
      </c>
      <c r="D1249" s="2" t="str">
        <f t="shared" si="18"/>
        <v>Error?</v>
      </c>
    </row>
    <row r="1250" spans="1:4" x14ac:dyDescent="0.2">
      <c r="A1250" s="5">
        <v>1189</v>
      </c>
      <c r="B1250" s="138">
        <f>'Expenditures 15-22'!F151</f>
        <v>1209546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393823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393823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393823</v>
      </c>
      <c r="C1258" s="2" t="s">
        <v>572</v>
      </c>
      <c r="D1258" s="2" t="str">
        <f t="shared" si="18"/>
        <v>Error?</v>
      </c>
    </row>
    <row r="1259" spans="1:4" x14ac:dyDescent="0.2">
      <c r="A1259" s="5">
        <v>1198</v>
      </c>
      <c r="B1259" s="138">
        <f>'Expenditures 15-22'!G151</f>
        <v>393823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3981305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3981305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3981305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3981305</v>
      </c>
      <c r="C1288" s="2" t="s">
        <v>572</v>
      </c>
      <c r="D1288" s="2" t="str">
        <f t="shared" si="19"/>
        <v>Error?</v>
      </c>
    </row>
    <row r="1289" spans="1:4" x14ac:dyDescent="0.2">
      <c r="A1289" s="5">
        <v>1228</v>
      </c>
      <c r="B1289" s="138">
        <f>'Expenditures 15-22'!K152</f>
        <v>432078</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7139</v>
      </c>
      <c r="D1307" s="2" t="str">
        <f t="shared" si="19"/>
        <v>Error?</v>
      </c>
    </row>
    <row r="1308" spans="1:4" x14ac:dyDescent="0.2">
      <c r="A1308" s="5">
        <v>1247</v>
      </c>
      <c r="B1308" s="138">
        <f>'Expenditures 15-22'!E172</f>
        <v>7139</v>
      </c>
      <c r="C1308" s="2" t="s">
        <v>572</v>
      </c>
      <c r="D1308" s="2" t="str">
        <f t="shared" si="19"/>
        <v>Error?</v>
      </c>
    </row>
    <row r="1309" spans="1:4" x14ac:dyDescent="0.2">
      <c r="A1309" s="5">
        <v>1248</v>
      </c>
      <c r="B1309" s="138">
        <f>'Expenditures 15-22'!E174</f>
        <v>7139</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2465765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3505000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5970765</v>
      </c>
      <c r="C1317" s="2" t="s">
        <v>572</v>
      </c>
      <c r="D1317" s="2" t="str">
        <f t="shared" si="19"/>
        <v>Error?</v>
      </c>
    </row>
    <row r="1318" spans="1:4" x14ac:dyDescent="0.2">
      <c r="A1318" s="5">
        <v>1257</v>
      </c>
      <c r="B1318" s="138">
        <f>'Expenditures 15-22'!H174</f>
        <v>5970765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2465765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3505000</v>
      </c>
      <c r="C1329" s="2" t="s">
        <v>572</v>
      </c>
      <c r="D1329" s="2" t="str">
        <f t="shared" si="19"/>
        <v>Error?</v>
      </c>
    </row>
    <row r="1330" spans="1:4" x14ac:dyDescent="0.2">
      <c r="A1330" s="5">
        <v>1269</v>
      </c>
      <c r="B1330" s="138">
        <f>'Expenditures 15-22'!K171</f>
        <v>7139</v>
      </c>
      <c r="C1330" s="2" t="s">
        <v>572</v>
      </c>
      <c r="D1330" s="2" t="str">
        <f t="shared" si="19"/>
        <v>Error?</v>
      </c>
    </row>
    <row r="1331" spans="1:4" x14ac:dyDescent="0.2">
      <c r="A1331" s="5">
        <v>1270</v>
      </c>
      <c r="B1331" s="138">
        <f>'Expenditures 15-22'!K172</f>
        <v>5977904</v>
      </c>
      <c r="C1331" s="2" t="s">
        <v>572</v>
      </c>
      <c r="D1331" s="2" t="str">
        <f t="shared" si="19"/>
        <v>Error?</v>
      </c>
    </row>
    <row r="1332" spans="1:4" x14ac:dyDescent="0.2">
      <c r="A1332" s="5">
        <v>1271</v>
      </c>
      <c r="B1332" s="138">
        <f>'Expenditures 15-22'!K174</f>
        <v>5977904</v>
      </c>
      <c r="C1332" s="2" t="s">
        <v>572</v>
      </c>
      <c r="D1332" s="2" t="str">
        <f t="shared" si="19"/>
        <v>Error?</v>
      </c>
    </row>
    <row r="1333" spans="1:4" x14ac:dyDescent="0.2">
      <c r="A1333" s="5">
        <v>1272</v>
      </c>
      <c r="B1333" s="138">
        <f>'Expenditures 15-22'!K175</f>
        <v>-2228</v>
      </c>
      <c r="C1333" s="2" t="s">
        <v>572</v>
      </c>
      <c r="D1333" s="2" t="str">
        <f t="shared" si="19"/>
        <v>Error?</v>
      </c>
    </row>
    <row r="1334" spans="1:4" x14ac:dyDescent="0.2">
      <c r="A1334" s="10">
        <v>1273</v>
      </c>
      <c r="D1334" s="2" t="str">
        <f t="shared" si="19"/>
        <v>OK</v>
      </c>
    </row>
    <row r="1335" spans="1:4" x14ac:dyDescent="0.2">
      <c r="A1335" s="5">
        <v>1274</v>
      </c>
      <c r="B1335" s="138">
        <f>'Expenditures 15-22'!C182</f>
        <v>1325907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1325907</v>
      </c>
      <c r="C1339" s="2" t="s">
        <v>572</v>
      </c>
      <c r="D1339" s="2" t="str">
        <f t="shared" si="19"/>
        <v>Error?</v>
      </c>
    </row>
    <row r="1340" spans="1:4" x14ac:dyDescent="0.2">
      <c r="A1340" s="5">
        <v>1279</v>
      </c>
      <c r="B1340" s="138">
        <f>'Expenditures 15-22'!C210</f>
        <v>1325907</v>
      </c>
      <c r="C1340" s="2" t="s">
        <v>572</v>
      </c>
      <c r="D1340" s="2" t="str">
        <f t="shared" si="19"/>
        <v>Error?</v>
      </c>
    </row>
    <row r="1341" spans="1:4" x14ac:dyDescent="0.2">
      <c r="A1341" s="5">
        <v>1280</v>
      </c>
      <c r="B1341" s="138">
        <f>'Expenditures 15-22'!D182</f>
        <v>41639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41639</v>
      </c>
      <c r="C1345" s="2" t="s">
        <v>572</v>
      </c>
      <c r="D1345" s="2" t="str">
        <f t="shared" si="20"/>
        <v>Error?</v>
      </c>
    </row>
    <row r="1346" spans="1:4" x14ac:dyDescent="0.2">
      <c r="A1346" s="5">
        <v>1285</v>
      </c>
      <c r="B1346" s="138">
        <f>'Expenditures 15-22'!D210</f>
        <v>41639</v>
      </c>
      <c r="C1346" s="2" t="s">
        <v>572</v>
      </c>
      <c r="D1346" s="2" t="str">
        <f t="shared" si="20"/>
        <v>Error?</v>
      </c>
    </row>
    <row r="1347" spans="1:4" x14ac:dyDescent="0.2">
      <c r="A1347" s="5">
        <v>1286</v>
      </c>
      <c r="B1347" s="138">
        <f>'Expenditures 15-22'!E182</f>
        <v>202534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202534</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202534</v>
      </c>
      <c r="C1353" s="2" t="s">
        <v>572</v>
      </c>
      <c r="D1353" s="2" t="str">
        <f t="shared" si="20"/>
        <v>Error?</v>
      </c>
    </row>
    <row r="1354" spans="1:4" x14ac:dyDescent="0.2">
      <c r="A1354" s="5">
        <v>1293</v>
      </c>
      <c r="B1354" s="138">
        <f>'Expenditures 15-22'!F182</f>
        <v>375013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375013</v>
      </c>
      <c r="C1358" s="2" t="s">
        <v>572</v>
      </c>
      <c r="D1358" s="2" t="str">
        <f t="shared" si="20"/>
        <v>Error?</v>
      </c>
    </row>
    <row r="1359" spans="1:4" x14ac:dyDescent="0.2">
      <c r="A1359" s="5">
        <v>1298</v>
      </c>
      <c r="B1359" s="138">
        <f>'Expenditures 15-22'!F210</f>
        <v>375013</v>
      </c>
      <c r="C1359" s="2" t="s">
        <v>572</v>
      </c>
      <c r="D1359" s="2" t="str">
        <f t="shared" si="20"/>
        <v>Error?</v>
      </c>
    </row>
    <row r="1360" spans="1:4" x14ac:dyDescent="0.2">
      <c r="A1360" s="5">
        <v>1299</v>
      </c>
      <c r="B1360" s="138">
        <f>'Expenditures 15-22'!G182</f>
        <v>378483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378483</v>
      </c>
      <c r="C1364" s="2" t="s">
        <v>572</v>
      </c>
      <c r="D1364" s="2" t="str">
        <f t="shared" si="20"/>
        <v>Error?</v>
      </c>
    </row>
    <row r="1365" spans="1:4" x14ac:dyDescent="0.2">
      <c r="A1365" s="5">
        <v>1304</v>
      </c>
      <c r="B1365" s="138">
        <f>'Expenditures 15-22'!G210</f>
        <v>378483</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2323576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2323576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2323576</v>
      </c>
      <c r="C1388" s="2" t="s">
        <v>572</v>
      </c>
      <c r="D1388" s="2" t="str">
        <f t="shared" si="20"/>
        <v>Error?</v>
      </c>
    </row>
    <row r="1389" spans="1:4" x14ac:dyDescent="0.2">
      <c r="A1389" s="5">
        <v>1328</v>
      </c>
      <c r="B1389" s="138">
        <f>'Expenditures 15-22'!K211</f>
        <v>318148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212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4552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29125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555981</v>
      </c>
      <c r="C1410" s="2" t="s">
        <v>572</v>
      </c>
      <c r="D1410" s="2" t="str">
        <f t="shared" si="21"/>
        <v>Error?</v>
      </c>
    </row>
    <row r="1411" spans="1:4" x14ac:dyDescent="0.2">
      <c r="A1411" s="5">
        <v>1350</v>
      </c>
      <c r="B1411" s="138">
        <f>'Expenditures 15-22'!D232</f>
        <v>1923</v>
      </c>
      <c r="D1411" s="2" t="str">
        <f t="shared" si="21"/>
        <v>Error?</v>
      </c>
    </row>
    <row r="1412" spans="1:4" x14ac:dyDescent="0.2">
      <c r="A1412" s="5">
        <v>1351</v>
      </c>
      <c r="B1412" s="138">
        <f>'Expenditures 15-22'!D233</f>
        <v>9137</v>
      </c>
      <c r="D1412" s="2" t="str">
        <f t="shared" si="21"/>
        <v>Error?</v>
      </c>
    </row>
    <row r="1413" spans="1:4" x14ac:dyDescent="0.2">
      <c r="A1413" s="5">
        <v>1352</v>
      </c>
      <c r="B1413" s="138">
        <f>'Expenditures 15-22'!D234</f>
        <v>25524</v>
      </c>
      <c r="D1413" s="2" t="str">
        <f t="shared" si="21"/>
        <v>Error?</v>
      </c>
    </row>
    <row r="1414" spans="1:4" x14ac:dyDescent="0.2">
      <c r="A1414" s="5">
        <v>1353</v>
      </c>
      <c r="B1414" s="138">
        <f>'Expenditures 15-22'!D235</f>
        <v>1831</v>
      </c>
      <c r="D1414" s="2" t="str">
        <f t="shared" si="21"/>
        <v>Error?</v>
      </c>
    </row>
    <row r="1415" spans="1:4" x14ac:dyDescent="0.2">
      <c r="A1415" s="5">
        <v>1354</v>
      </c>
      <c r="B1415" s="138">
        <f>'Expenditures 15-22'!D236</f>
        <v>7232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45647</v>
      </c>
      <c r="C1417" s="2" t="s">
        <v>572</v>
      </c>
      <c r="D1417" s="2" t="str">
        <f t="shared" si="21"/>
        <v>Error?</v>
      </c>
    </row>
    <row r="1418" spans="1:4" x14ac:dyDescent="0.2">
      <c r="A1418" s="5">
        <v>1357</v>
      </c>
      <c r="B1418" s="138">
        <f>'Expenditures 15-22'!D240</f>
        <v>5598</v>
      </c>
      <c r="D1418" s="2" t="str">
        <f t="shared" si="21"/>
        <v>Error?</v>
      </c>
    </row>
    <row r="1419" spans="1:4" x14ac:dyDescent="0.2">
      <c r="A1419" s="5">
        <v>1358</v>
      </c>
      <c r="B1419" s="138">
        <f>'Expenditures 15-22'!D241</f>
        <v>18067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23665</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16063</v>
      </c>
      <c r="D1423" s="2" t="str">
        <f t="shared" si="21"/>
        <v>Error?</v>
      </c>
    </row>
    <row r="1424" spans="1:4" x14ac:dyDescent="0.2">
      <c r="A1424" s="5">
        <v>1363</v>
      </c>
      <c r="B1424" s="138">
        <f>'Expenditures 15-22'!D257</f>
        <v>29531</v>
      </c>
      <c r="C1424" s="2" t="s">
        <v>572</v>
      </c>
      <c r="D1424" s="2" t="str">
        <f t="shared" si="21"/>
        <v>Error?</v>
      </c>
    </row>
    <row r="1425" spans="1:4" x14ac:dyDescent="0.2">
      <c r="A1425" s="5">
        <v>1364</v>
      </c>
      <c r="B1425" s="138">
        <f>'Expenditures 15-22'!D259</f>
        <v>90322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90322</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27031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217237</v>
      </c>
      <c r="D1431" s="2" t="str">
        <f t="shared" si="21"/>
        <v>Error?</v>
      </c>
    </row>
    <row r="1432" spans="1:4" x14ac:dyDescent="0.2">
      <c r="A1432" s="5">
        <v>1371</v>
      </c>
      <c r="B1432" s="138">
        <f>'Expenditures 15-22'!D267</f>
        <v>199510</v>
      </c>
      <c r="D1432" s="2" t="str">
        <f t="shared" si="21"/>
        <v>Error?</v>
      </c>
    </row>
    <row r="1433" spans="1:4" x14ac:dyDescent="0.2">
      <c r="A1433" s="5">
        <v>1372</v>
      </c>
      <c r="B1433" s="138">
        <f>'Expenditures 15-22'!D268</f>
        <v>88096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531874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35879</v>
      </c>
      <c r="D1445" s="2" t="str">
        <f t="shared" si="21"/>
        <v>Error?</v>
      </c>
    </row>
    <row r="1446" spans="1:4" x14ac:dyDescent="0.2">
      <c r="A1446" s="5">
        <v>1385</v>
      </c>
      <c r="B1446" s="138">
        <f>'Expenditures 15-22'!D279</f>
        <v>756918</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1312899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212</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4552</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29125</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555981</v>
      </c>
      <c r="C1474" s="2" t="s">
        <v>572</v>
      </c>
      <c r="D1474" s="2" t="str">
        <f t="shared" si="22"/>
        <v>Error?</v>
      </c>
    </row>
    <row r="1475" spans="1:4" x14ac:dyDescent="0.2">
      <c r="A1475" s="5">
        <v>1414</v>
      </c>
      <c r="B1475" s="138">
        <f>'Expenditures 15-22'!K232</f>
        <v>1923</v>
      </c>
      <c r="C1475" s="2" t="s">
        <v>572</v>
      </c>
      <c r="D1475" s="2" t="str">
        <f t="shared" si="22"/>
        <v>Error?</v>
      </c>
    </row>
    <row r="1476" spans="1:4" x14ac:dyDescent="0.2">
      <c r="A1476" s="5">
        <v>1415</v>
      </c>
      <c r="B1476" s="138">
        <f>'Expenditures 15-22'!K233</f>
        <v>9137</v>
      </c>
      <c r="C1476" s="2" t="s">
        <v>572</v>
      </c>
      <c r="D1476" s="2" t="str">
        <f t="shared" si="22"/>
        <v>Error?</v>
      </c>
    </row>
    <row r="1477" spans="1:4" x14ac:dyDescent="0.2">
      <c r="A1477" s="5">
        <v>1416</v>
      </c>
      <c r="B1477" s="138">
        <f>'Expenditures 15-22'!K234</f>
        <v>25524</v>
      </c>
      <c r="C1477" s="2" t="s">
        <v>572</v>
      </c>
      <c r="D1477" s="2" t="str">
        <f t="shared" si="22"/>
        <v>Error?</v>
      </c>
    </row>
    <row r="1478" spans="1:4" x14ac:dyDescent="0.2">
      <c r="A1478" s="5">
        <v>1417</v>
      </c>
      <c r="B1478" s="138">
        <f>'Expenditures 15-22'!K235</f>
        <v>1831</v>
      </c>
      <c r="C1478" s="2" t="s">
        <v>572</v>
      </c>
      <c r="D1478" s="2" t="str">
        <f t="shared" si="22"/>
        <v>Error?</v>
      </c>
    </row>
    <row r="1479" spans="1:4" x14ac:dyDescent="0.2">
      <c r="A1479" s="5">
        <v>1418</v>
      </c>
      <c r="B1479" s="138">
        <f>'Expenditures 15-22'!K236</f>
        <v>7232</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45647</v>
      </c>
      <c r="C1481" s="2" t="s">
        <v>572</v>
      </c>
      <c r="D1481" s="2" t="str">
        <f t="shared" si="22"/>
        <v>Error?</v>
      </c>
    </row>
    <row r="1482" spans="1:4" x14ac:dyDescent="0.2">
      <c r="A1482" s="5">
        <v>1421</v>
      </c>
      <c r="B1482" s="138">
        <f>'Expenditures 15-22'!K240</f>
        <v>5598</v>
      </c>
      <c r="C1482" s="2" t="s">
        <v>572</v>
      </c>
      <c r="D1482" s="2" t="str">
        <f t="shared" si="22"/>
        <v>Error?</v>
      </c>
    </row>
    <row r="1483" spans="1:4" x14ac:dyDescent="0.2">
      <c r="A1483" s="5">
        <v>1422</v>
      </c>
      <c r="B1483" s="138">
        <f>'Expenditures 15-22'!K241</f>
        <v>18067</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23665</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16063</v>
      </c>
      <c r="C1487" s="2" t="s">
        <v>572</v>
      </c>
      <c r="D1487" s="2" t="str">
        <f t="shared" si="22"/>
        <v>Error?</v>
      </c>
    </row>
    <row r="1488" spans="1:4" x14ac:dyDescent="0.2">
      <c r="A1488" s="5">
        <v>1427</v>
      </c>
      <c r="B1488" s="138">
        <f>'Expenditures 15-22'!K257</f>
        <v>29531</v>
      </c>
      <c r="C1488" s="2" t="s">
        <v>572</v>
      </c>
      <c r="D1488" s="2" t="str">
        <f t="shared" si="22"/>
        <v>Error?</v>
      </c>
    </row>
    <row r="1489" spans="1:4" x14ac:dyDescent="0.2">
      <c r="A1489" s="5">
        <v>1428</v>
      </c>
      <c r="B1489" s="138">
        <f>'Expenditures 15-22'!K259</f>
        <v>90322</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90322</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27031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217237</v>
      </c>
      <c r="C1495" s="2" t="s">
        <v>572</v>
      </c>
      <c r="D1495" s="2" t="str">
        <f t="shared" si="22"/>
        <v>Error?</v>
      </c>
    </row>
    <row r="1496" spans="1:4" x14ac:dyDescent="0.2">
      <c r="A1496" s="5">
        <v>1435</v>
      </c>
      <c r="B1496" s="138">
        <f>'Expenditures 15-22'!K267</f>
        <v>199510</v>
      </c>
      <c r="C1496" s="2" t="s">
        <v>572</v>
      </c>
      <c r="D1496" s="2" t="str">
        <f t="shared" si="22"/>
        <v>Error?</v>
      </c>
    </row>
    <row r="1497" spans="1:4" x14ac:dyDescent="0.2">
      <c r="A1497" s="5">
        <v>1436</v>
      </c>
      <c r="B1497" s="138">
        <f>'Expenditures 15-22'!K268</f>
        <v>88096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531874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35879</v>
      </c>
      <c r="C1509" s="2" t="s">
        <v>572</v>
      </c>
      <c r="D1509" s="2" t="str">
        <f t="shared" si="22"/>
        <v>Error?</v>
      </c>
    </row>
    <row r="1510" spans="1:4" x14ac:dyDescent="0.2">
      <c r="A1510" s="5">
        <v>1449</v>
      </c>
      <c r="B1510" s="138">
        <f>'Expenditures 15-22'!K279</f>
        <v>756918</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1312899</v>
      </c>
      <c r="C1517" s="2" t="s">
        <v>572</v>
      </c>
      <c r="D1517" s="2" t="str">
        <f t="shared" si="22"/>
        <v>Error?</v>
      </c>
    </row>
    <row r="1518" spans="1:4" x14ac:dyDescent="0.2">
      <c r="A1518" s="5">
        <v>1457</v>
      </c>
      <c r="B1518" s="138">
        <f>'Expenditures 15-22'!K296</f>
        <v>809322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6117414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6117414</v>
      </c>
      <c r="C1547" s="2" t="s">
        <v>572</v>
      </c>
      <c r="D1547" s="2" t="str">
        <f t="shared" si="23"/>
        <v>Error?</v>
      </c>
    </row>
    <row r="1548" spans="1:4" x14ac:dyDescent="0.2">
      <c r="A1548" s="5">
        <v>1487</v>
      </c>
      <c r="B1548" s="138">
        <f>'Expenditures 15-22'!G312</f>
        <v>6117414</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6117414</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6117414</v>
      </c>
      <c r="C1559" s="2" t="s">
        <v>572</v>
      </c>
      <c r="D1559" s="2" t="str">
        <f t="shared" si="23"/>
        <v>Error?</v>
      </c>
    </row>
    <row r="1560" spans="1:4" x14ac:dyDescent="0.2">
      <c r="A1560" s="5">
        <v>1499</v>
      </c>
      <c r="B1560" s="138">
        <f>'Expenditures 15-22'!K312</f>
        <v>6117414</v>
      </c>
      <c r="C1560" s="2" t="s">
        <v>572</v>
      </c>
      <c r="D1560" s="2" t="str">
        <f t="shared" si="23"/>
        <v>Error?</v>
      </c>
    </row>
    <row r="1561" spans="1:4" x14ac:dyDescent="0.2">
      <c r="A1561" s="5">
        <v>1500</v>
      </c>
      <c r="B1561" s="138">
        <f>'Expenditures 15-22'!K313</f>
        <v>-5524232</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35028209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35479074</v>
      </c>
      <c r="C1630" s="2" t="s">
        <v>572</v>
      </c>
      <c r="D1630" s="2" t="str">
        <f t="shared" si="24"/>
        <v>Error?</v>
      </c>
    </row>
    <row r="1631" spans="1:4" x14ac:dyDescent="0.2">
      <c r="A1631" s="5">
        <v>1570</v>
      </c>
      <c r="B1631" s="138">
        <f>'Acct Summary 7-8'!D79</f>
        <v>4084240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4516318</v>
      </c>
      <c r="C1644" s="2" t="s">
        <v>572</v>
      </c>
      <c r="D1644" s="2" t="str">
        <f t="shared" si="24"/>
        <v>Error?</v>
      </c>
    </row>
    <row r="1645" spans="1:4" x14ac:dyDescent="0.2">
      <c r="A1645" s="5">
        <v>1584</v>
      </c>
      <c r="B1645" s="138">
        <f>'Acct Summary 7-8'!E79</f>
        <v>3633234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3631006</v>
      </c>
      <c r="C1658" s="2" t="s">
        <v>572</v>
      </c>
      <c r="D1658" s="2" t="str">
        <f t="shared" si="24"/>
        <v>Error?</v>
      </c>
    </row>
    <row r="1659" spans="1:4" x14ac:dyDescent="0.2">
      <c r="A1659" s="5">
        <v>1598</v>
      </c>
      <c r="B1659" s="138">
        <f>'Acct Summary 7-8'!F79</f>
        <v>6124392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6442540</v>
      </c>
      <c r="C1672" s="2" t="s">
        <v>572</v>
      </c>
      <c r="D1672" s="2" t="str">
        <f t="shared" si="25"/>
        <v>Error?</v>
      </c>
    </row>
    <row r="1673" spans="1:4" x14ac:dyDescent="0.2">
      <c r="A1673" s="5">
        <v>1612</v>
      </c>
      <c r="B1673" s="138">
        <f>'Acct Summary 7-8'!G79</f>
        <v>3404147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4213469</v>
      </c>
      <c r="C1686" s="2" t="s">
        <v>572</v>
      </c>
      <c r="D1686" s="2" t="str">
        <f t="shared" si="25"/>
        <v>Error?</v>
      </c>
    </row>
    <row r="1687" spans="1:4" x14ac:dyDescent="0.2">
      <c r="A1687" s="5">
        <v>1626</v>
      </c>
      <c r="B1687" s="138">
        <f>'Acct Summary 7-8'!H79</f>
        <v>8041344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2517112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24174241</v>
      </c>
      <c r="C1744" s="2" t="s">
        <v>572</v>
      </c>
      <c r="D1744" s="2" t="str">
        <f t="shared" si="26"/>
        <v>Error?</v>
      </c>
    </row>
    <row r="1745" spans="1:5" x14ac:dyDescent="0.2">
      <c r="A1745" s="5">
        <v>1684</v>
      </c>
      <c r="B1745" s="138">
        <f>'Tax Sched 23'!B5</f>
        <v>4252875</v>
      </c>
      <c r="C1745" s="2" t="s">
        <v>572</v>
      </c>
      <c r="D1745" s="2" t="str">
        <f t="shared" si="26"/>
        <v>Error?</v>
      </c>
    </row>
    <row r="1746" spans="1:5" x14ac:dyDescent="0.2">
      <c r="A1746" s="5">
        <v>1685</v>
      </c>
      <c r="B1746" s="138">
        <f>'Tax Sched 23'!B6</f>
        <v>4839532</v>
      </c>
      <c r="C1746" s="2" t="s">
        <v>572</v>
      </c>
      <c r="D1746" s="2" t="str">
        <f t="shared" si="26"/>
        <v>Error?</v>
      </c>
    </row>
    <row r="1747" spans="1:5" x14ac:dyDescent="0.2">
      <c r="A1747" s="5">
        <v>1686</v>
      </c>
      <c r="B1747" s="138">
        <f>'Tax Sched 23'!B7</f>
        <v>1790684</v>
      </c>
      <c r="C1747" s="2" t="s">
        <v>572</v>
      </c>
      <c r="D1747" s="2" t="str">
        <f t="shared" si="26"/>
        <v>Error?</v>
      </c>
    </row>
    <row r="1748" spans="1:5" x14ac:dyDescent="0.2">
      <c r="A1748" s="5">
        <v>1687</v>
      </c>
      <c r="B1748" s="138">
        <f>'Tax Sched 23'!B8</f>
        <v>898333</v>
      </c>
      <c r="C1748" s="2" t="s">
        <v>572</v>
      </c>
      <c r="D1748" s="2" t="str">
        <f t="shared" si="26"/>
        <v>Error?</v>
      </c>
    </row>
    <row r="1749" spans="1:5" x14ac:dyDescent="0.2">
      <c r="A1749" s="5">
        <v>1688</v>
      </c>
      <c r="B1749" s="138">
        <f>'Tax Sched 23'!B10</f>
        <v>447671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1639429</v>
      </c>
      <c r="C1752" s="2" t="s">
        <v>572</v>
      </c>
      <c r="D1752" s="2" t="str">
        <f t="shared" si="26"/>
        <v>Error?</v>
      </c>
    </row>
    <row r="1753" spans="1:5" x14ac:dyDescent="0.2">
      <c r="A1753" s="5">
        <v>1692</v>
      </c>
      <c r="B1753" s="138">
        <f>'Tax Sched 23'!B12</f>
        <v>447671</v>
      </c>
      <c r="C1753" s="2" t="s">
        <v>572</v>
      </c>
      <c r="D1753" s="2" t="str">
        <f t="shared" si="26"/>
        <v>Error?</v>
      </c>
    </row>
    <row r="1754" spans="1:5" x14ac:dyDescent="0.2">
      <c r="A1754" s="5">
        <v>1693</v>
      </c>
      <c r="B1754" s="138">
        <f>'Tax Sched 23'!B14</f>
        <v>358136</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40384466</v>
      </c>
      <c r="C1759" s="2" t="s">
        <v>572</v>
      </c>
      <c r="D1759" s="2" t="str">
        <f t="shared" si="26"/>
        <v>Error?</v>
      </c>
    </row>
    <row r="1760" spans="1:5" x14ac:dyDescent="0.2">
      <c r="A1760" s="5">
        <v>1699</v>
      </c>
      <c r="B1760" s="138">
        <f>'Tax Sched 23'!D4</f>
        <v>12823071</v>
      </c>
      <c r="C1760" s="2" t="s">
        <v>572</v>
      </c>
      <c r="D1760" s="2" t="str">
        <f t="shared" si="26"/>
        <v>Error?</v>
      </c>
    </row>
    <row r="1761" spans="1:5" x14ac:dyDescent="0.2">
      <c r="A1761" s="5">
        <v>1700</v>
      </c>
      <c r="B1761" s="138">
        <f>'Tax Sched 23'!D5</f>
        <v>2255910</v>
      </c>
      <c r="C1761" s="2" t="s">
        <v>572</v>
      </c>
      <c r="D1761" s="2" t="str">
        <f t="shared" si="26"/>
        <v>Error?</v>
      </c>
    </row>
    <row r="1762" spans="1:5" s="8" customFormat="1" x14ac:dyDescent="0.2">
      <c r="A1762" s="5">
        <v>1701</v>
      </c>
      <c r="B1762" s="138">
        <f>'Tax Sched 23'!D6</f>
        <v>2790562</v>
      </c>
      <c r="C1762" s="2" t="s">
        <v>572</v>
      </c>
      <c r="D1762" s="2" t="str">
        <f t="shared" si="26"/>
        <v>Error?</v>
      </c>
      <c r="E1762" s="9"/>
    </row>
    <row r="1763" spans="1:5" x14ac:dyDescent="0.2">
      <c r="A1763" s="5">
        <v>1702</v>
      </c>
      <c r="B1763" s="138">
        <f>'Tax Sched 23'!D7</f>
        <v>949857</v>
      </c>
      <c r="C1763" s="2" t="s">
        <v>572</v>
      </c>
      <c r="D1763" s="2" t="str">
        <f t="shared" si="26"/>
        <v>Error?</v>
      </c>
    </row>
    <row r="1764" spans="1:5" x14ac:dyDescent="0.2">
      <c r="A1764" s="5">
        <v>1703</v>
      </c>
      <c r="B1764" s="138">
        <f>'Tax Sched 23'!D8</f>
        <v>462154</v>
      </c>
      <c r="C1764" s="2" t="s">
        <v>572</v>
      </c>
      <c r="D1764" s="2" t="str">
        <f t="shared" si="26"/>
        <v>Error?</v>
      </c>
    </row>
    <row r="1765" spans="1:5" x14ac:dyDescent="0.2">
      <c r="A1765" s="5">
        <v>1704</v>
      </c>
      <c r="B1765" s="138">
        <f>'Tax Sched 23'!D10</f>
        <v>237464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843418</v>
      </c>
      <c r="C1768" s="2" t="s">
        <v>572</v>
      </c>
      <c r="D1768" s="2" t="str">
        <f t="shared" si="26"/>
        <v>Error?</v>
      </c>
    </row>
    <row r="1769" spans="1:5" x14ac:dyDescent="0.2">
      <c r="A1769" s="5">
        <v>1708</v>
      </c>
      <c r="B1769" s="138">
        <f>'Tax Sched 23'!D12</f>
        <v>237464</v>
      </c>
      <c r="C1769" s="2" t="s">
        <v>572</v>
      </c>
      <c r="D1769" s="2" t="str">
        <f t="shared" si="26"/>
        <v>Error?</v>
      </c>
    </row>
    <row r="1770" spans="1:5" x14ac:dyDescent="0.2">
      <c r="A1770" s="5">
        <v>1709</v>
      </c>
      <c r="B1770" s="138">
        <f>'Tax Sched 23'!D14</f>
        <v>189971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21587182</v>
      </c>
      <c r="C1775" s="2" t="s">
        <v>572</v>
      </c>
      <c r="D1775" s="2" t="str">
        <f t="shared" si="26"/>
        <v>Error?</v>
      </c>
    </row>
    <row r="1776" spans="1:5" x14ac:dyDescent="0.2">
      <c r="A1776" s="5">
        <v>1715</v>
      </c>
      <c r="B1776" s="138">
        <f>'Tax Sched 23'!C4</f>
        <v>11351170</v>
      </c>
      <c r="D1776" s="2" t="str">
        <f t="shared" si="26"/>
        <v>Error?</v>
      </c>
    </row>
    <row r="1777" spans="1:4" x14ac:dyDescent="0.2">
      <c r="A1777" s="5">
        <v>1716</v>
      </c>
      <c r="B1777" s="138">
        <f>'Tax Sched 23'!C5</f>
        <v>1996965</v>
      </c>
      <c r="D1777" s="2" t="str">
        <f t="shared" si="26"/>
        <v>Error?</v>
      </c>
    </row>
    <row r="1778" spans="1:4" x14ac:dyDescent="0.2">
      <c r="A1778" s="5">
        <v>1717</v>
      </c>
      <c r="B1778" s="138">
        <f>'Tax Sched 23'!C6</f>
        <v>2048970</v>
      </c>
      <c r="D1778" s="2" t="str">
        <f t="shared" si="26"/>
        <v>Error?</v>
      </c>
    </row>
    <row r="1779" spans="1:4" x14ac:dyDescent="0.2">
      <c r="A1779" s="5">
        <v>1718</v>
      </c>
      <c r="B1779" s="138">
        <f>'Tax Sched 23'!C7</f>
        <v>840827</v>
      </c>
      <c r="D1779" s="2" t="str">
        <f t="shared" si="26"/>
        <v>Error?</v>
      </c>
    </row>
    <row r="1780" spans="1:4" x14ac:dyDescent="0.2">
      <c r="A1780" s="5">
        <v>1719</v>
      </c>
      <c r="B1780" s="138">
        <f>'Tax Sched 23'!C8</f>
        <v>436179</v>
      </c>
      <c r="D1780" s="2" t="str">
        <f t="shared" si="26"/>
        <v>Error?</v>
      </c>
    </row>
    <row r="1781" spans="1:4" x14ac:dyDescent="0.2">
      <c r="A1781" s="5">
        <v>1720</v>
      </c>
      <c r="B1781" s="138">
        <f>'Tax Sched 23'!C10</f>
        <v>210207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796011</v>
      </c>
      <c r="D1784" s="2" t="str">
        <f t="shared" si="26"/>
        <v>Error?</v>
      </c>
    </row>
    <row r="1785" spans="1:4" x14ac:dyDescent="0.2">
      <c r="A1785" s="5">
        <v>1724</v>
      </c>
      <c r="B1785" s="138">
        <f>'Tax Sched 23'!C12</f>
        <v>210207</v>
      </c>
      <c r="D1785" s="2" t="str">
        <f t="shared" si="26"/>
        <v>Error?</v>
      </c>
    </row>
    <row r="1786" spans="1:4" x14ac:dyDescent="0.2">
      <c r="A1786" s="5">
        <v>1725</v>
      </c>
      <c r="B1786" s="138">
        <f>'Tax Sched 23'!C14</f>
        <v>168165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18797284</v>
      </c>
      <c r="C1791" s="2" t="s">
        <v>572</v>
      </c>
      <c r="D1791" s="2" t="str">
        <f t="shared" ref="D1791:D1854" si="27">IF(ISBLANK(B1791),"OK",IF(A1791-B1791=0,"OK","Error?"))</f>
        <v>Error?</v>
      </c>
    </row>
    <row r="1792" spans="1:4" x14ac:dyDescent="0.2">
      <c r="A1792" s="5">
        <v>1731</v>
      </c>
      <c r="B1792" s="138">
        <f>'Tax Sched 23'!F4</f>
        <v>12884663</v>
      </c>
      <c r="C1792" s="2" t="s">
        <v>572</v>
      </c>
      <c r="D1792" s="2" t="str">
        <f t="shared" si="27"/>
        <v>Error?</v>
      </c>
    </row>
    <row r="1793" spans="1:4" x14ac:dyDescent="0.2">
      <c r="A1793" s="5">
        <v>1732</v>
      </c>
      <c r="B1793" s="138">
        <f>'Tax Sched 23'!F5</f>
        <v>2266746</v>
      </c>
      <c r="C1793" s="2" t="s">
        <v>572</v>
      </c>
      <c r="D1793" s="2" t="str">
        <f t="shared" si="27"/>
        <v>Error?</v>
      </c>
    </row>
    <row r="1794" spans="1:4" x14ac:dyDescent="0.2">
      <c r="A1794" s="5">
        <v>1733</v>
      </c>
      <c r="B1794" s="138">
        <f>'Tax Sched 23'!F6</f>
        <v>2325777</v>
      </c>
      <c r="C1794" s="2" t="s">
        <v>572</v>
      </c>
      <c r="D1794" s="2" t="str">
        <f t="shared" si="27"/>
        <v>Error?</v>
      </c>
    </row>
    <row r="1795" spans="1:4" x14ac:dyDescent="0.2">
      <c r="A1795" s="5">
        <v>1734</v>
      </c>
      <c r="B1795" s="138">
        <f>'Tax Sched 23'!F7</f>
        <v>954420</v>
      </c>
      <c r="C1795" s="2" t="s">
        <v>572</v>
      </c>
      <c r="D1795" s="2" t="str">
        <f t="shared" si="27"/>
        <v>Error?</v>
      </c>
    </row>
    <row r="1796" spans="1:4" x14ac:dyDescent="0.2">
      <c r="A1796" s="5">
        <v>1735</v>
      </c>
      <c r="B1796" s="138">
        <f>'Tax Sched 23'!F8</f>
        <v>495105</v>
      </c>
      <c r="C1796" s="2" t="s">
        <v>572</v>
      </c>
      <c r="D1796" s="2" t="str">
        <f t="shared" si="27"/>
        <v>Error?</v>
      </c>
    </row>
    <row r="1797" spans="1:4" x14ac:dyDescent="0.2">
      <c r="A1797" s="5">
        <v>1736</v>
      </c>
      <c r="B1797" s="138">
        <f>'Tax Sched 23'!F10</f>
        <v>238605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903549</v>
      </c>
      <c r="C1800" s="2" t="s">
        <v>572</v>
      </c>
      <c r="D1800" s="2" t="str">
        <f t="shared" si="27"/>
        <v>Error?</v>
      </c>
    </row>
    <row r="1801" spans="1:4" x14ac:dyDescent="0.2">
      <c r="A1801" s="5">
        <v>1740</v>
      </c>
      <c r="B1801" s="138">
        <f>'Tax Sched 23'!F12</f>
        <v>238605</v>
      </c>
      <c r="C1801" s="2" t="s">
        <v>572</v>
      </c>
      <c r="D1801" s="2" t="str">
        <f t="shared" si="27"/>
        <v>Error?</v>
      </c>
    </row>
    <row r="1802" spans="1:4" x14ac:dyDescent="0.2">
      <c r="A1802" s="5">
        <v>1741</v>
      </c>
      <c r="B1802" s="138">
        <f>'Tax Sched 23'!F14</f>
        <v>190884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21336716</v>
      </c>
      <c r="C1807" s="2" t="s">
        <v>572</v>
      </c>
      <c r="D1807" s="2" t="str">
        <f t="shared" si="27"/>
        <v>Error?</v>
      </c>
    </row>
    <row r="1808" spans="1:4" x14ac:dyDescent="0.2">
      <c r="A1808" s="5">
        <v>1747</v>
      </c>
      <c r="B1808" s="138">
        <f>'Tax Sched 23'!E4</f>
        <v>24235833</v>
      </c>
      <c r="D1808" s="2" t="str">
        <f t="shared" si="27"/>
        <v>Error?</v>
      </c>
    </row>
    <row r="1809" spans="1:4" x14ac:dyDescent="0.2">
      <c r="A1809" s="5">
        <v>1748</v>
      </c>
      <c r="B1809" s="138">
        <f>'Tax Sched 23'!E5</f>
        <v>4263711</v>
      </c>
      <c r="D1809" s="2" t="str">
        <f t="shared" si="27"/>
        <v>Error?</v>
      </c>
    </row>
    <row r="1810" spans="1:4" x14ac:dyDescent="0.2">
      <c r="A1810" s="5">
        <v>1749</v>
      </c>
      <c r="B1810" s="138">
        <f>'Tax Sched 23'!E6</f>
        <v>4374747</v>
      </c>
      <c r="D1810" s="2" t="str">
        <f t="shared" si="27"/>
        <v>Error?</v>
      </c>
    </row>
    <row r="1811" spans="1:4" x14ac:dyDescent="0.2">
      <c r="A1811" s="5">
        <v>1750</v>
      </c>
      <c r="B1811" s="138">
        <f>'Tax Sched 23'!E7</f>
        <v>1795247</v>
      </c>
      <c r="D1811" s="2" t="str">
        <f t="shared" si="27"/>
        <v>Error?</v>
      </c>
    </row>
    <row r="1812" spans="1:4" x14ac:dyDescent="0.2">
      <c r="A1812" s="5">
        <v>1751</v>
      </c>
      <c r="B1812" s="138">
        <f>'Tax Sched 23'!E8</f>
        <v>931284</v>
      </c>
      <c r="D1812" s="2" t="str">
        <f t="shared" si="27"/>
        <v>Error?</v>
      </c>
    </row>
    <row r="1813" spans="1:4" x14ac:dyDescent="0.2">
      <c r="A1813" s="5">
        <v>1752</v>
      </c>
      <c r="B1813" s="138">
        <f>'Tax Sched 23'!E10</f>
        <v>448812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1699560</v>
      </c>
      <c r="D1816" s="2" t="str">
        <f t="shared" si="27"/>
        <v>Error?</v>
      </c>
    </row>
    <row r="1817" spans="1:4" x14ac:dyDescent="0.2">
      <c r="A1817" s="5">
        <v>1756</v>
      </c>
      <c r="B1817" s="138">
        <f>'Tax Sched 23'!E12</f>
        <v>448812</v>
      </c>
      <c r="D1817" s="2" t="str">
        <f t="shared" si="27"/>
        <v>Error?</v>
      </c>
    </row>
    <row r="1818" spans="1:4" x14ac:dyDescent="0.2">
      <c r="A1818" s="5">
        <v>1757</v>
      </c>
      <c r="B1818" s="138">
        <f>'Tax Sched 23'!E14</f>
        <v>359049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40134000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58203061</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358136</v>
      </c>
      <c r="D1972" s="2" t="str">
        <f t="shared" si="29"/>
        <v>Error?</v>
      </c>
    </row>
    <row r="1973" spans="1:5" x14ac:dyDescent="0.2">
      <c r="A1973" s="5">
        <v>1912</v>
      </c>
      <c r="B1973" s="138">
        <f>'Rest Tax Levies-Tort Im 25'!H6</f>
        <v>175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358311</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358311</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2812408</v>
      </c>
      <c r="D2008" s="2" t="str">
        <f t="shared" si="30"/>
        <v>Error?</v>
      </c>
    </row>
    <row r="2009" spans="1:4" x14ac:dyDescent="0.2">
      <c r="A2009" s="5">
        <v>1948</v>
      </c>
      <c r="B2009" s="138">
        <f>'Cap Outlay Deprec 26'!C8</f>
        <v>105525437</v>
      </c>
      <c r="D2009" s="2" t="str">
        <f t="shared" si="30"/>
        <v>Error?</v>
      </c>
    </row>
    <row r="2010" spans="1:4" x14ac:dyDescent="0.2">
      <c r="A2010" s="5">
        <v>1949</v>
      </c>
      <c r="B2010" s="138">
        <f>'Cap Outlay Deprec 26'!C10</f>
        <v>11142699</v>
      </c>
      <c r="D2010" s="2" t="str">
        <f t="shared" si="30"/>
        <v>Error?</v>
      </c>
    </row>
    <row r="2011" spans="1:4" x14ac:dyDescent="0.2">
      <c r="A2011" s="5">
        <v>1950</v>
      </c>
      <c r="B2011" s="138">
        <f>'Cap Outlay Deprec 26'!C12</f>
        <v>8640106</v>
      </c>
      <c r="D2011" s="2" t="str">
        <f t="shared" si="30"/>
        <v>Error?</v>
      </c>
    </row>
    <row r="2012" spans="1:4" x14ac:dyDescent="0.2">
      <c r="A2012" s="5">
        <v>1951</v>
      </c>
      <c r="B2012" s="138">
        <f>'Cap Outlay Deprec 26'!C13</f>
        <v>4064580</v>
      </c>
      <c r="D2012" s="2" t="str">
        <f t="shared" si="30"/>
        <v>Error?</v>
      </c>
    </row>
    <row r="2013" spans="1:4" x14ac:dyDescent="0.2">
      <c r="A2013" s="5">
        <v>1952</v>
      </c>
      <c r="B2013" s="138">
        <f>'Cap Outlay Deprec 26'!C16</f>
        <v>133375262</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586972</v>
      </c>
      <c r="D2015" s="2" t="str">
        <f t="shared" si="30"/>
        <v>Error?</v>
      </c>
    </row>
    <row r="2016" spans="1:4" x14ac:dyDescent="0.2">
      <c r="A2016" s="5">
        <v>1955</v>
      </c>
      <c r="B2016" s="138">
        <f>'Cap Outlay Deprec 26'!D10</f>
        <v>51002</v>
      </c>
      <c r="D2016" s="2" t="str">
        <f t="shared" si="30"/>
        <v>Error?</v>
      </c>
    </row>
    <row r="2017" spans="1:4" x14ac:dyDescent="0.2">
      <c r="A2017" s="5">
        <v>1956</v>
      </c>
      <c r="B2017" s="138">
        <f>'Cap Outlay Deprec 26'!D12</f>
        <v>1017386</v>
      </c>
      <c r="D2017" s="2" t="str">
        <f t="shared" si="30"/>
        <v>Error?</v>
      </c>
    </row>
    <row r="2018" spans="1:4" x14ac:dyDescent="0.2">
      <c r="A2018" s="5">
        <v>1957</v>
      </c>
      <c r="B2018" s="138">
        <f>'Cap Outlay Deprec 26'!D13</f>
        <v>378483</v>
      </c>
      <c r="D2018" s="2" t="str">
        <f t="shared" si="30"/>
        <v>Error?</v>
      </c>
    </row>
    <row r="2019" spans="1:4" x14ac:dyDescent="0.2">
      <c r="A2019" s="5">
        <v>1958</v>
      </c>
      <c r="B2019" s="138">
        <f>'Cap Outlay Deprec 26'!D16</f>
        <v>8000466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1031662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1031662</v>
      </c>
      <c r="C2025" s="2" t="s">
        <v>572</v>
      </c>
      <c r="D2025" s="2" t="str">
        <f t="shared" si="30"/>
        <v>Error?</v>
      </c>
    </row>
    <row r="2026" spans="1:4" x14ac:dyDescent="0.2">
      <c r="A2026" s="5">
        <v>1965</v>
      </c>
      <c r="B2026" s="138">
        <f>'Cap Outlay Deprec 26'!F5</f>
        <v>2812408</v>
      </c>
      <c r="C2026" s="2" t="s">
        <v>572</v>
      </c>
      <c r="D2026" s="2" t="str">
        <f t="shared" si="30"/>
        <v>Error?</v>
      </c>
    </row>
    <row r="2027" spans="1:4" x14ac:dyDescent="0.2">
      <c r="A2027" s="5">
        <v>1966</v>
      </c>
      <c r="B2027" s="138">
        <f>'Cap Outlay Deprec 26'!F8</f>
        <v>106112409</v>
      </c>
      <c r="C2027" s="2" t="s">
        <v>572</v>
      </c>
      <c r="D2027" s="2" t="str">
        <f t="shared" si="30"/>
        <v>Error?</v>
      </c>
    </row>
    <row r="2028" spans="1:4" x14ac:dyDescent="0.2">
      <c r="A2028" s="5">
        <v>1967</v>
      </c>
      <c r="B2028" s="138">
        <f>'Cap Outlay Deprec 26'!F10</f>
        <v>11193701</v>
      </c>
      <c r="C2028" s="2" t="s">
        <v>572</v>
      </c>
      <c r="D2028" s="2" t="str">
        <f t="shared" si="30"/>
        <v>Error?</v>
      </c>
    </row>
    <row r="2029" spans="1:4" x14ac:dyDescent="0.2">
      <c r="A2029" s="5">
        <v>1968</v>
      </c>
      <c r="B2029" s="138">
        <f>'Cap Outlay Deprec 26'!F12</f>
        <v>8625830</v>
      </c>
      <c r="C2029" s="2" t="s">
        <v>572</v>
      </c>
      <c r="D2029" s="2" t="str">
        <f t="shared" si="30"/>
        <v>Error?</v>
      </c>
    </row>
    <row r="2030" spans="1:4" x14ac:dyDescent="0.2">
      <c r="A2030" s="5">
        <v>1969</v>
      </c>
      <c r="B2030" s="138">
        <f>'Cap Outlay Deprec 26'!F13</f>
        <v>4443063</v>
      </c>
      <c r="C2030" s="2" t="s">
        <v>572</v>
      </c>
      <c r="D2030" s="2" t="str">
        <f t="shared" si="30"/>
        <v>Error?</v>
      </c>
    </row>
    <row r="2031" spans="1:4" x14ac:dyDescent="0.2">
      <c r="A2031" s="5">
        <v>1970</v>
      </c>
      <c r="B2031" s="138">
        <f>'Cap Outlay Deprec 26'!F16</f>
        <v>140344066</v>
      </c>
      <c r="C2031" s="2" t="s">
        <v>572</v>
      </c>
      <c r="D2031" s="2" t="str">
        <f t="shared" si="30"/>
        <v>Error?</v>
      </c>
    </row>
    <row r="2032" spans="1:4" x14ac:dyDescent="0.2">
      <c r="A2032" s="10">
        <v>1971</v>
      </c>
      <c r="D2032" s="2" t="str">
        <f t="shared" si="30"/>
        <v>OK</v>
      </c>
    </row>
    <row r="2033" spans="1:4" x14ac:dyDescent="0.2">
      <c r="A2033" s="5">
        <v>1972</v>
      </c>
      <c r="B2033" s="138">
        <f>'Cap Outlay Deprec 26'!H8</f>
        <v>27578035</v>
      </c>
      <c r="D2033" s="2" t="str">
        <f t="shared" si="30"/>
        <v>Error?</v>
      </c>
    </row>
    <row r="2034" spans="1:4" x14ac:dyDescent="0.2">
      <c r="A2034" s="5">
        <v>1973</v>
      </c>
      <c r="B2034" s="138">
        <f>'Cap Outlay Deprec 26'!H10</f>
        <v>4703330</v>
      </c>
      <c r="D2034" s="2" t="str">
        <f t="shared" si="30"/>
        <v>Error?</v>
      </c>
    </row>
    <row r="2035" spans="1:4" x14ac:dyDescent="0.2">
      <c r="A2035" s="5">
        <v>1974</v>
      </c>
      <c r="B2035" s="138">
        <f>'Cap Outlay Deprec 26'!H12</f>
        <v>5138713</v>
      </c>
      <c r="D2035" s="2" t="str">
        <f t="shared" si="30"/>
        <v>Error?</v>
      </c>
    </row>
    <row r="2036" spans="1:4" x14ac:dyDescent="0.2">
      <c r="A2036" s="5">
        <v>1975</v>
      </c>
      <c r="B2036" s="138">
        <f>'Cap Outlay Deprec 26'!H13</f>
        <v>3583150</v>
      </c>
      <c r="D2036" s="2" t="str">
        <f t="shared" si="30"/>
        <v>Error?</v>
      </c>
    </row>
    <row r="2037" spans="1:4" x14ac:dyDescent="0.2">
      <c r="A2037" s="5">
        <v>1976</v>
      </c>
      <c r="B2037" s="138">
        <f>'Cap Outlay Deprec 26'!H16</f>
        <v>41211261</v>
      </c>
      <c r="C2037" s="2" t="s">
        <v>572</v>
      </c>
      <c r="D2037" s="2" t="str">
        <f t="shared" si="30"/>
        <v>Error?</v>
      </c>
    </row>
    <row r="2038" spans="1:4" x14ac:dyDescent="0.2">
      <c r="A2038" s="10">
        <v>1977</v>
      </c>
      <c r="D2038" s="2" t="str">
        <f t="shared" si="30"/>
        <v>OK</v>
      </c>
    </row>
    <row r="2039" spans="1:4" x14ac:dyDescent="0.2">
      <c r="A2039" s="5">
        <v>1978</v>
      </c>
      <c r="B2039" s="138">
        <f>'Cap Outlay Deprec 26'!I8</f>
        <v>2093235</v>
      </c>
      <c r="D2039" s="2" t="str">
        <f t="shared" si="30"/>
        <v>Error?</v>
      </c>
    </row>
    <row r="2040" spans="1:4" x14ac:dyDescent="0.2">
      <c r="A2040" s="5">
        <v>1979</v>
      </c>
      <c r="B2040" s="138">
        <f>'Cap Outlay Deprec 26'!I10</f>
        <v>556297</v>
      </c>
      <c r="D2040" s="2" t="str">
        <f t="shared" si="30"/>
        <v>Error?</v>
      </c>
    </row>
    <row r="2041" spans="1:4" x14ac:dyDescent="0.2">
      <c r="A2041" s="5">
        <v>1980</v>
      </c>
      <c r="B2041" s="138">
        <f>'Cap Outlay Deprec 26'!I12</f>
        <v>862584</v>
      </c>
      <c r="D2041" s="2" t="str">
        <f t="shared" si="30"/>
        <v>Error?</v>
      </c>
    </row>
    <row r="2042" spans="1:4" x14ac:dyDescent="0.2">
      <c r="A2042" s="5">
        <v>1981</v>
      </c>
      <c r="B2042" s="138">
        <f>'Cap Outlay Deprec 26'!I13</f>
        <v>251051</v>
      </c>
      <c r="D2042" s="2" t="str">
        <f t="shared" si="30"/>
        <v>Error?</v>
      </c>
    </row>
    <row r="2043" spans="1:4" x14ac:dyDescent="0.2">
      <c r="A2043" s="5">
        <v>1982</v>
      </c>
      <c r="B2043" s="138">
        <f>'Cap Outlay Deprec 26'!I16</f>
        <v>3798357</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1031662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1031662</v>
      </c>
      <c r="C2049" s="2" t="s">
        <v>572</v>
      </c>
      <c r="D2049" s="2" t="str">
        <f t="shared" si="31"/>
        <v>Error?</v>
      </c>
    </row>
    <row r="2050" spans="1:4" x14ac:dyDescent="0.2">
      <c r="A2050" s="10">
        <v>1989</v>
      </c>
      <c r="D2050" s="2" t="str">
        <f t="shared" si="31"/>
        <v>OK</v>
      </c>
    </row>
    <row r="2051" spans="1:4" x14ac:dyDescent="0.2">
      <c r="A2051" s="5">
        <v>1990</v>
      </c>
      <c r="B2051" s="138">
        <f>'Cap Outlay Deprec 26'!K8</f>
        <v>29671270</v>
      </c>
      <c r="C2051" s="2" t="s">
        <v>572</v>
      </c>
      <c r="D2051" s="2" t="str">
        <f t="shared" si="31"/>
        <v>Error?</v>
      </c>
    </row>
    <row r="2052" spans="1:4" x14ac:dyDescent="0.2">
      <c r="A2052" s="5">
        <v>1991</v>
      </c>
      <c r="B2052" s="138">
        <f>'Cap Outlay Deprec 26'!K10</f>
        <v>5259627</v>
      </c>
      <c r="C2052" s="2" t="s">
        <v>572</v>
      </c>
      <c r="D2052" s="2" t="str">
        <f t="shared" si="31"/>
        <v>Error?</v>
      </c>
    </row>
    <row r="2053" spans="1:4" x14ac:dyDescent="0.2">
      <c r="A2053" s="5">
        <v>1992</v>
      </c>
      <c r="B2053" s="138">
        <f>'Cap Outlay Deprec 26'!K12</f>
        <v>4969635</v>
      </c>
      <c r="C2053" s="2" t="s">
        <v>572</v>
      </c>
      <c r="D2053" s="2" t="str">
        <f t="shared" si="31"/>
        <v>Error?</v>
      </c>
    </row>
    <row r="2054" spans="1:4" x14ac:dyDescent="0.2">
      <c r="A2054" s="5">
        <v>1993</v>
      </c>
      <c r="B2054" s="138">
        <f>'Cap Outlay Deprec 26'!K13</f>
        <v>3834201</v>
      </c>
      <c r="C2054" s="2" t="s">
        <v>572</v>
      </c>
      <c r="D2054" s="2" t="str">
        <f t="shared" si="31"/>
        <v>Error?</v>
      </c>
    </row>
    <row r="2055" spans="1:4" x14ac:dyDescent="0.2">
      <c r="A2055" s="5">
        <v>1994</v>
      </c>
      <c r="B2055" s="138">
        <f>'Cap Outlay Deprec 26'!K16</f>
        <v>43977956</v>
      </c>
      <c r="C2055" s="2" t="s">
        <v>572</v>
      </c>
      <c r="D2055" s="2" t="str">
        <f t="shared" si="31"/>
        <v>Error?</v>
      </c>
    </row>
    <row r="2056" spans="1:4" x14ac:dyDescent="0.2">
      <c r="A2056" s="5">
        <v>1995</v>
      </c>
      <c r="B2056" s="138">
        <f>'Cap Outlay Deprec 26'!L5</f>
        <v>2812408</v>
      </c>
      <c r="C2056" s="2" t="s">
        <v>572</v>
      </c>
      <c r="D2056" s="2" t="str">
        <f t="shared" si="31"/>
        <v>Error?</v>
      </c>
    </row>
    <row r="2057" spans="1:4" x14ac:dyDescent="0.2">
      <c r="A2057" s="5">
        <v>1996</v>
      </c>
      <c r="B2057" s="138">
        <f>'Cap Outlay Deprec 26'!L8</f>
        <v>76441139</v>
      </c>
      <c r="C2057" s="2" t="s">
        <v>572</v>
      </c>
      <c r="D2057" s="2" t="str">
        <f t="shared" si="31"/>
        <v>Error?</v>
      </c>
    </row>
    <row r="2058" spans="1:4" x14ac:dyDescent="0.2">
      <c r="A2058" s="5">
        <v>1997</v>
      </c>
      <c r="B2058" s="138">
        <f>'Cap Outlay Deprec 26'!L10</f>
        <v>5934074</v>
      </c>
      <c r="C2058" s="2" t="s">
        <v>572</v>
      </c>
      <c r="D2058" s="2" t="str">
        <f t="shared" si="31"/>
        <v>Error?</v>
      </c>
    </row>
    <row r="2059" spans="1:4" x14ac:dyDescent="0.2">
      <c r="A2059" s="5">
        <v>1998</v>
      </c>
      <c r="B2059" s="138">
        <f>'Cap Outlay Deprec 26'!L12</f>
        <v>3656195</v>
      </c>
      <c r="C2059" s="2" t="s">
        <v>572</v>
      </c>
      <c r="D2059" s="2" t="str">
        <f t="shared" si="31"/>
        <v>Error?</v>
      </c>
    </row>
    <row r="2060" spans="1:4" x14ac:dyDescent="0.2">
      <c r="A2060" s="5">
        <v>1999</v>
      </c>
      <c r="B2060" s="138">
        <f>'Cap Outlay Deprec 26'!L13</f>
        <v>608862</v>
      </c>
      <c r="C2060" s="2" t="s">
        <v>572</v>
      </c>
      <c r="D2060" s="2" t="str">
        <f t="shared" si="31"/>
        <v>Error?</v>
      </c>
    </row>
    <row r="2061" spans="1:4" x14ac:dyDescent="0.2">
      <c r="A2061" s="5">
        <v>2000</v>
      </c>
      <c r="B2061" s="138">
        <f>'Cap Outlay Deprec 26'!L16</f>
        <v>96366110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1317129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298981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1988386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1279976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28099874</v>
      </c>
      <c r="C2551" s="2" t="s">
        <v>572</v>
      </c>
      <c r="D2551" s="2" t="str">
        <f t="shared" si="38"/>
        <v>Error?</v>
      </c>
    </row>
    <row r="2552" spans="1:4" x14ac:dyDescent="0.2">
      <c r="A2552" s="10">
        <v>2491</v>
      </c>
      <c r="D2552" s="2" t="str">
        <f t="shared" si="38"/>
        <v>OK</v>
      </c>
    </row>
    <row r="2553" spans="1:4" x14ac:dyDescent="0.2">
      <c r="A2553" s="5">
        <v>2492</v>
      </c>
      <c r="B2553" s="138">
        <f>'Acct Summary 7-8'!C6</f>
        <v>3529161</v>
      </c>
      <c r="C2553" s="2" t="s">
        <v>572</v>
      </c>
      <c r="D2553" s="2" t="str">
        <f t="shared" si="38"/>
        <v>Error?</v>
      </c>
    </row>
    <row r="2554" spans="1:4" x14ac:dyDescent="0.2">
      <c r="A2554" s="5">
        <v>2493</v>
      </c>
      <c r="B2554" s="138">
        <f>'Acct Summary 7-8'!C7</f>
        <v>1141741</v>
      </c>
      <c r="C2554" s="2" t="s">
        <v>572</v>
      </c>
      <c r="D2554" s="2" t="str">
        <f t="shared" si="38"/>
        <v>Error?</v>
      </c>
    </row>
    <row r="2555" spans="1:4" x14ac:dyDescent="0.2">
      <c r="A2555" s="5">
        <v>2494</v>
      </c>
      <c r="B2555" s="138">
        <f>'Acct Summary 7-8'!C8</f>
        <v>32770776</v>
      </c>
      <c r="C2555" s="2" t="s">
        <v>572</v>
      </c>
      <c r="D2555" s="2" t="str">
        <f t="shared" si="38"/>
        <v>Error?</v>
      </c>
    </row>
    <row r="2556" spans="1:4" x14ac:dyDescent="0.2">
      <c r="A2556" s="5">
        <v>2495</v>
      </c>
      <c r="B2556" s="138">
        <f>'Acct Summary 7-8'!C12</f>
        <v>22228670</v>
      </c>
      <c r="C2556" s="2" t="s">
        <v>572</v>
      </c>
      <c r="D2556" s="2" t="str">
        <f t="shared" si="38"/>
        <v>Error?</v>
      </c>
    </row>
    <row r="2557" spans="1:4" x14ac:dyDescent="0.2">
      <c r="A2557" s="5">
        <v>2496</v>
      </c>
      <c r="B2557" s="138">
        <f>'Acct Summary 7-8'!C13</f>
        <v>8759779</v>
      </c>
      <c r="C2557" s="2" t="s">
        <v>572</v>
      </c>
      <c r="D2557" s="2" t="str">
        <f t="shared" si="38"/>
        <v>Error?</v>
      </c>
    </row>
    <row r="2558" spans="1:4" x14ac:dyDescent="0.2">
      <c r="A2558" s="5">
        <v>2497</v>
      </c>
      <c r="B2558" s="138">
        <f>'Acct Summary 7-8'!C14</f>
        <v>2084</v>
      </c>
      <c r="C2558" s="2" t="s">
        <v>572</v>
      </c>
      <c r="D2558" s="2" t="str">
        <f t="shared" si="38"/>
        <v>Error?</v>
      </c>
    </row>
    <row r="2559" spans="1:4" x14ac:dyDescent="0.2">
      <c r="A2559" s="5">
        <v>2498</v>
      </c>
      <c r="B2559" s="138">
        <f>'Acct Summary 7-8'!C15</f>
        <v>1329378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32319911</v>
      </c>
      <c r="C2561" s="2" t="s">
        <v>572</v>
      </c>
      <c r="D2561" s="2" t="str">
        <f t="shared" si="39"/>
        <v>Error?</v>
      </c>
    </row>
    <row r="2562" spans="1:4" x14ac:dyDescent="0.2">
      <c r="A2562" s="5">
        <v>2501</v>
      </c>
      <c r="B2562" s="138">
        <f>'Acct Summary 7-8'!C20</f>
        <v>450865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4413383</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4413383</v>
      </c>
      <c r="C2568" s="2" t="s">
        <v>572</v>
      </c>
      <c r="D2568" s="2" t="str">
        <f t="shared" si="39"/>
        <v>Error?</v>
      </c>
    </row>
    <row r="2569" spans="1:4" x14ac:dyDescent="0.2">
      <c r="A2569" s="5">
        <v>2508</v>
      </c>
      <c r="B2569" s="138">
        <f>'Acct Summary 7-8'!D13</f>
        <v>3981305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3981305</v>
      </c>
      <c r="C2573" s="2" t="s">
        <v>572</v>
      </c>
      <c r="D2573" s="2" t="str">
        <f t="shared" si="39"/>
        <v>Error?</v>
      </c>
    </row>
    <row r="2574" spans="1:4" x14ac:dyDescent="0.2">
      <c r="A2574" s="5">
        <v>2513</v>
      </c>
      <c r="B2574" s="138">
        <f>'Acct Summary 7-8'!D20</f>
        <v>432078</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1879143</v>
      </c>
      <c r="C2591" s="2" t="s">
        <v>572</v>
      </c>
      <c r="D2591" s="2" t="str">
        <f t="shared" si="39"/>
        <v>Error?</v>
      </c>
    </row>
    <row r="2592" spans="1:4" x14ac:dyDescent="0.2">
      <c r="A2592" s="10">
        <v>2531</v>
      </c>
      <c r="D2592" s="2" t="str">
        <f t="shared" si="39"/>
        <v>OK</v>
      </c>
    </row>
    <row r="2593" spans="1:4" x14ac:dyDescent="0.2">
      <c r="A2593" s="5">
        <v>2532</v>
      </c>
      <c r="B2593" s="138">
        <f>'Acct Summary 7-8'!F6</f>
        <v>762581</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2641724</v>
      </c>
      <c r="C2595" s="2" t="s">
        <v>572</v>
      </c>
      <c r="D2595" s="2" t="str">
        <f t="shared" si="39"/>
        <v>Error?</v>
      </c>
    </row>
    <row r="2596" spans="1:4" x14ac:dyDescent="0.2">
      <c r="A2596" s="5">
        <v>2535</v>
      </c>
      <c r="B2596" s="138">
        <f>'Acct Summary 7-8'!F13</f>
        <v>2323576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2323576</v>
      </c>
      <c r="C2600" s="2" t="s">
        <v>572</v>
      </c>
      <c r="D2600" s="2" t="str">
        <f t="shared" si="39"/>
        <v>Error?</v>
      </c>
    </row>
    <row r="2601" spans="1:4" x14ac:dyDescent="0.2">
      <c r="A2601" s="5">
        <v>2540</v>
      </c>
      <c r="B2601" s="138">
        <f>'Acct Summary 7-8'!F20</f>
        <v>318148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2122221</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2122221</v>
      </c>
      <c r="C2606" s="2" t="s">
        <v>572</v>
      </c>
      <c r="D2606" s="2" t="str">
        <f t="shared" si="39"/>
        <v>Error?</v>
      </c>
    </row>
    <row r="2607" spans="1:4" x14ac:dyDescent="0.2">
      <c r="A2607" s="5">
        <v>2546</v>
      </c>
      <c r="B2607" s="138">
        <f>'Acct Summary 7-8'!G12</f>
        <v>555981</v>
      </c>
      <c r="C2607" s="2" t="s">
        <v>572</v>
      </c>
      <c r="D2607" s="2" t="str">
        <f t="shared" si="39"/>
        <v>Error?</v>
      </c>
    </row>
    <row r="2608" spans="1:4" x14ac:dyDescent="0.2">
      <c r="A2608" s="5">
        <v>2547</v>
      </c>
      <c r="B2608" s="138">
        <f>'Acct Summary 7-8'!G13</f>
        <v>756918</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1312899</v>
      </c>
      <c r="C2612" s="2" t="s">
        <v>572</v>
      </c>
      <c r="D2612" s="2" t="str">
        <f t="shared" si="39"/>
        <v>Error?</v>
      </c>
    </row>
    <row r="2613" spans="1:4" x14ac:dyDescent="0.2">
      <c r="A2613" s="5">
        <v>2552</v>
      </c>
      <c r="B2613" s="138">
        <f>'Acct Summary 7-8'!G20</f>
        <v>809322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5777564</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5975676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5977904</v>
      </c>
      <c r="C2634" s="2" t="s">
        <v>572</v>
      </c>
      <c r="D2634" s="2" t="str">
        <f t="shared" si="40"/>
        <v>Error?</v>
      </c>
    </row>
    <row r="2635" spans="1:4" x14ac:dyDescent="0.2">
      <c r="A2635" s="5">
        <v>2574</v>
      </c>
      <c r="B2635" s="138">
        <f>'Acct Summary 7-8'!E17</f>
        <v>5977904</v>
      </c>
      <c r="C2635" s="2" t="s">
        <v>572</v>
      </c>
      <c r="D2635" s="2" t="str">
        <f t="shared" si="40"/>
        <v>Error?</v>
      </c>
    </row>
    <row r="2636" spans="1:4" x14ac:dyDescent="0.2">
      <c r="A2636" s="5">
        <v>2575</v>
      </c>
      <c r="B2636" s="138">
        <f>'Acct Summary 7-8'!E20</f>
        <v>-2228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593182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593182</v>
      </c>
      <c r="C2658" s="2" t="s">
        <v>572</v>
      </c>
      <c r="D2658" s="2" t="str">
        <f t="shared" si="40"/>
        <v>Error?</v>
      </c>
    </row>
    <row r="2659" spans="1:4" x14ac:dyDescent="0.2">
      <c r="A2659" s="5">
        <v>2598</v>
      </c>
      <c r="B2659" s="138">
        <f>'Acct Summary 7-8'!H13</f>
        <v>6117414</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6117414</v>
      </c>
      <c r="C2661" s="2" t="s">
        <v>572</v>
      </c>
      <c r="D2661" s="2" t="str">
        <f t="shared" si="40"/>
        <v>Error?</v>
      </c>
    </row>
    <row r="2662" spans="1:4" x14ac:dyDescent="0.2">
      <c r="A2662" s="5">
        <v>2601</v>
      </c>
      <c r="B2662" s="138">
        <f>'Acct Summary 7-8'!H20</f>
        <v>-5524232</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6447679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2130510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1065217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2130510</v>
      </c>
      <c r="D2912" s="2" t="str">
        <f t="shared" si="44"/>
        <v>Error?</v>
      </c>
    </row>
    <row r="2913" spans="1:4" x14ac:dyDescent="0.2">
      <c r="A2913" s="5">
        <v>2852</v>
      </c>
      <c r="B2913" s="138">
        <f>'Assets-Liab 5-6'!I41</f>
        <v>2130510</v>
      </c>
      <c r="C2913" s="2" t="s">
        <v>572</v>
      </c>
      <c r="D2913" s="2" t="str">
        <f t="shared" si="44"/>
        <v>Error?</v>
      </c>
    </row>
    <row r="2914" spans="1:4" x14ac:dyDescent="0.2">
      <c r="A2914" s="5">
        <v>2853</v>
      </c>
      <c r="B2914" s="138">
        <f>'Assets-Liab 5-6'!L33</f>
        <v>466790</v>
      </c>
      <c r="D2914" s="2" t="str">
        <f t="shared" si="44"/>
        <v>Error?</v>
      </c>
    </row>
    <row r="2915" spans="1:4" x14ac:dyDescent="0.2">
      <c r="A2915" s="10">
        <v>2854</v>
      </c>
      <c r="D2915" s="2" t="str">
        <f t="shared" si="44"/>
        <v>OK</v>
      </c>
    </row>
    <row r="2916" spans="1:4" x14ac:dyDescent="0.2">
      <c r="A2916" s="5">
        <v>2855</v>
      </c>
      <c r="B2916" s="138">
        <f>'Assets-Liab 5-6'!L34</f>
        <v>466790</v>
      </c>
      <c r="C2916" s="2" t="s">
        <v>572</v>
      </c>
      <c r="D2916" s="2" t="str">
        <f t="shared" si="44"/>
        <v>Error?</v>
      </c>
    </row>
    <row r="2917" spans="1:4" x14ac:dyDescent="0.2">
      <c r="A2917" s="5">
        <v>2856</v>
      </c>
      <c r="B2917" s="138">
        <f>'Assets-Liab 5-6'!L41</f>
        <v>1065217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209015</v>
      </c>
      <c r="D3055" s="2" t="str">
        <f t="shared" si="46"/>
        <v>Error?</v>
      </c>
    </row>
    <row r="3056" spans="1:4" x14ac:dyDescent="0.2">
      <c r="A3056" s="5">
        <v>2995</v>
      </c>
      <c r="B3056" s="138">
        <f>'Expenditures 15-22'!D10</f>
        <v>6460</v>
      </c>
      <c r="D3056" s="2" t="str">
        <f t="shared" si="46"/>
        <v>Error?</v>
      </c>
    </row>
    <row r="3057" spans="1:4" x14ac:dyDescent="0.2">
      <c r="A3057" s="5">
        <v>2996</v>
      </c>
      <c r="B3057" s="138">
        <f>'Expenditures 15-22'!E10</f>
        <v>14056</v>
      </c>
      <c r="D3057" s="2" t="str">
        <f t="shared" si="46"/>
        <v>Error?</v>
      </c>
    </row>
    <row r="3058" spans="1:4" x14ac:dyDescent="0.2">
      <c r="A3058" s="5">
        <v>2997</v>
      </c>
      <c r="B3058" s="138">
        <f>'Expenditures 15-22'!F10</f>
        <v>36806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266337</v>
      </c>
      <c r="C3062" s="2" t="s">
        <v>572</v>
      </c>
      <c r="D3062" s="2" t="str">
        <f t="shared" si="46"/>
        <v>Error?</v>
      </c>
    </row>
    <row r="3063" spans="1:4" x14ac:dyDescent="0.2">
      <c r="A3063" s="10">
        <v>3002</v>
      </c>
      <c r="D3063" s="2" t="str">
        <f t="shared" si="46"/>
        <v>OK</v>
      </c>
    </row>
    <row r="3064" spans="1:4" x14ac:dyDescent="0.2">
      <c r="A3064" s="5">
        <v>3003</v>
      </c>
      <c r="B3064" s="138">
        <f>'Expenditures 15-22'!D219</f>
        <v>34070</v>
      </c>
      <c r="D3064" s="2" t="str">
        <f t="shared" si="46"/>
        <v>Error?</v>
      </c>
    </row>
    <row r="3065" spans="1:4" x14ac:dyDescent="0.2">
      <c r="A3065" s="5">
        <v>3004</v>
      </c>
      <c r="B3065" s="138">
        <f>'Expenditures 15-22'!K219</f>
        <v>34070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598427</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464884</v>
      </c>
      <c r="C3225" s="2" t="s">
        <v>572</v>
      </c>
      <c r="D3225" s="2" t="str">
        <f t="shared" si="49"/>
        <v>Error?</v>
      </c>
    </row>
    <row r="3226" spans="1:4" x14ac:dyDescent="0.2">
      <c r="A3226" s="5">
        <v>3165</v>
      </c>
      <c r="B3226" s="138">
        <f>'Acct Summary 7-8'!I8</f>
        <v>464884</v>
      </c>
      <c r="C3226" s="2" t="s">
        <v>572</v>
      </c>
      <c r="D3226" s="2" t="str">
        <f t="shared" si="49"/>
        <v>Error?</v>
      </c>
    </row>
    <row r="3227" spans="1:4" x14ac:dyDescent="0.2">
      <c r="A3227" s="5">
        <v>3166</v>
      </c>
      <c r="B3227" s="138">
        <f>'Acct Summary 7-8'!I20</f>
        <v>464884</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450865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432078</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318148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809322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-2228</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-5524232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464884</v>
      </c>
      <c r="C3320" s="2" t="s">
        <v>572</v>
      </c>
      <c r="D3320" s="2" t="str">
        <f t="shared" si="50"/>
        <v>Error?</v>
      </c>
    </row>
    <row r="3321" spans="1:4" x14ac:dyDescent="0.2">
      <c r="A3321" s="5">
        <v>3260</v>
      </c>
      <c r="B3321" s="138">
        <f>'Acct Summary 7-8'!I79</f>
        <v>1665626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2130510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3309252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380238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11841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14763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3001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3719095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214113</v>
      </c>
      <c r="D3387" s="2" t="str">
        <f t="shared" si="51"/>
        <v>Error?</v>
      </c>
    </row>
    <row r="3388" spans="1:4" x14ac:dyDescent="0.2">
      <c r="A3388" s="5">
        <v>3327</v>
      </c>
      <c r="B3388" s="138">
        <f>'Expenditures 15-22'!D217</f>
        <v>266091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214113</v>
      </c>
      <c r="C3390" s="2" t="s">
        <v>572</v>
      </c>
      <c r="D3390" s="2" t="str">
        <f t="shared" si="51"/>
        <v>Error?</v>
      </c>
    </row>
    <row r="3391" spans="1:4" x14ac:dyDescent="0.2">
      <c r="A3391" s="5">
        <v>3330</v>
      </c>
      <c r="B3391" s="138">
        <f>'Expenditures 15-22'!K217</f>
        <v>266091</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19334984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4516318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3631006</v>
      </c>
      <c r="D3417" s="2" t="str">
        <f t="shared" si="52"/>
        <v>Error?</v>
      </c>
    </row>
    <row r="3418" spans="1:4" x14ac:dyDescent="0.2">
      <c r="A3418" s="10">
        <v>3357</v>
      </c>
      <c r="D3418" s="2" t="str">
        <f t="shared" si="52"/>
        <v>OK</v>
      </c>
    </row>
    <row r="3419" spans="1:4" x14ac:dyDescent="0.2">
      <c r="A3419" s="5">
        <v>3358</v>
      </c>
      <c r="B3419" s="138">
        <f>'Assets-Liab 5-6'!F4</f>
        <v>6442540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4213469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2517112</v>
      </c>
      <c r="D3425" s="2" t="str">
        <f t="shared" si="52"/>
        <v>Error?</v>
      </c>
    </row>
    <row r="3426" spans="1:4" x14ac:dyDescent="0.2">
      <c r="A3426" s="10">
        <v>3365</v>
      </c>
      <c r="D3426" s="2" t="str">
        <f t="shared" si="52"/>
        <v>OK</v>
      </c>
    </row>
    <row r="3427" spans="1:4" x14ac:dyDescent="0.2">
      <c r="A3427" s="5">
        <v>3366</v>
      </c>
      <c r="B3427" s="138">
        <f>'Assets-Liab 5-6'!I4</f>
        <v>2130510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1065217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1088223</v>
      </c>
      <c r="C3446" s="2" t="s">
        <v>572</v>
      </c>
      <c r="D3446" s="2" t="str">
        <f t="shared" si="52"/>
        <v>Error?</v>
      </c>
    </row>
    <row r="3447" spans="1:4" x14ac:dyDescent="0.2">
      <c r="A3447" s="5">
        <v>3386</v>
      </c>
      <c r="B3447" s="138">
        <f>'Tax Sched 23'!D16</f>
        <v>559847</v>
      </c>
      <c r="C3447" s="2" t="s">
        <v>572</v>
      </c>
      <c r="D3447" s="2" t="str">
        <f t="shared" si="52"/>
        <v>Error?</v>
      </c>
    </row>
    <row r="3448" spans="1:4" x14ac:dyDescent="0.2">
      <c r="A3448" s="5">
        <v>3387</v>
      </c>
      <c r="B3448" s="138">
        <f>'Tax Sched 23'!C16</f>
        <v>528376</v>
      </c>
      <c r="D3448" s="2" t="str">
        <f t="shared" si="52"/>
        <v>Error?</v>
      </c>
    </row>
    <row r="3449" spans="1:4" x14ac:dyDescent="0.2">
      <c r="A3449" s="5">
        <v>3388</v>
      </c>
      <c r="B3449" s="138">
        <f>'Tax Sched 23'!F16</f>
        <v>599757</v>
      </c>
      <c r="C3449" s="2" t="s">
        <v>572</v>
      </c>
      <c r="D3449" s="2" t="str">
        <f t="shared" si="52"/>
        <v>Error?</v>
      </c>
    </row>
    <row r="3450" spans="1:4" x14ac:dyDescent="0.2">
      <c r="A3450" s="5">
        <v>3389</v>
      </c>
      <c r="B3450" s="138">
        <f>'Tax Sched 23'!E16</f>
        <v>1128133</v>
      </c>
      <c r="D3450" s="2" t="str">
        <f t="shared" si="52"/>
        <v>Error?</v>
      </c>
    </row>
    <row r="3451" spans="1:4" x14ac:dyDescent="0.2">
      <c r="A3451" s="5">
        <v>3390</v>
      </c>
      <c r="B3451" s="138">
        <f>'Cap Outlay Deprec 26'!C15</f>
        <v>481056</v>
      </c>
      <c r="D3451" s="2" t="str">
        <f t="shared" si="52"/>
        <v>Error?</v>
      </c>
    </row>
    <row r="3452" spans="1:4" x14ac:dyDescent="0.2">
      <c r="A3452" s="5">
        <v>3391</v>
      </c>
      <c r="B3452" s="138">
        <f>'Cap Outlay Deprec 26'!D15</f>
        <v>5966623</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6447679</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6447679</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800625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800625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800625</v>
      </c>
      <c r="D3567" s="2" t="str">
        <f t="shared" si="54"/>
        <v>Error?</v>
      </c>
    </row>
    <row r="3568" spans="1:4" x14ac:dyDescent="0.2">
      <c r="A3568" s="5">
        <v>3507</v>
      </c>
      <c r="B3568" s="138">
        <f>'Assets-Liab 5-6'!K41</f>
        <v>800625</v>
      </c>
      <c r="C3568" s="2" t="s">
        <v>572</v>
      </c>
      <c r="D3568" s="2" t="str">
        <f t="shared" si="54"/>
        <v>Error?</v>
      </c>
    </row>
    <row r="3569" spans="1:4" x14ac:dyDescent="0.2">
      <c r="A3569" s="5">
        <v>3508</v>
      </c>
      <c r="B3569" s="138">
        <f>'Acct Summary 7-8'!K4</f>
        <v>454345</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454345</v>
      </c>
      <c r="C3571" s="2" t="s">
        <v>572</v>
      </c>
      <c r="D3571" s="2" t="str">
        <f t="shared" si="54"/>
        <v>Error?</v>
      </c>
    </row>
    <row r="3572" spans="1:4" x14ac:dyDescent="0.2">
      <c r="A3572" s="5">
        <v>3511</v>
      </c>
      <c r="B3572" s="138">
        <f>'Acct Summary 7-8'!K13</f>
        <v>457697</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457697</v>
      </c>
      <c r="C3575" s="2" t="s">
        <v>572</v>
      </c>
      <c r="D3575" s="2" t="str">
        <f t="shared" si="54"/>
        <v>Error?</v>
      </c>
    </row>
    <row r="3576" spans="1:4" x14ac:dyDescent="0.2">
      <c r="A3576" s="5">
        <v>3515</v>
      </c>
      <c r="B3576" s="138">
        <f>'Acct Summary 7-8'!K20</f>
        <v>-3352</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-3352</v>
      </c>
      <c r="C3588" s="2" t="s">
        <v>572</v>
      </c>
      <c r="D3588" s="2" t="str">
        <f t="shared" si="55"/>
        <v>Error?</v>
      </c>
    </row>
    <row r="3589" spans="1:4" x14ac:dyDescent="0.2">
      <c r="A3589" s="5">
        <v>3528</v>
      </c>
      <c r="B3589" s="138">
        <f>'Acct Summary 7-8'!K79</f>
        <v>803977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800625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457697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457697</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457697</v>
      </c>
      <c r="C3649" s="2" t="s">
        <v>572</v>
      </c>
      <c r="D3649" s="2" t="str">
        <f t="shared" si="56"/>
        <v>Error?</v>
      </c>
    </row>
    <row r="3650" spans="1:4" x14ac:dyDescent="0.2">
      <c r="A3650" s="5">
        <v>3589</v>
      </c>
      <c r="B3650" s="138">
        <f>'Expenditures 15-22'!G367</f>
        <v>457697</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457697</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457697</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457697</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457697</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-3352</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447671</v>
      </c>
      <c r="C3725" s="2" t="s">
        <v>572</v>
      </c>
      <c r="D3725" s="2" t="str">
        <f t="shared" si="57"/>
        <v>Error?</v>
      </c>
    </row>
    <row r="3726" spans="1:4" x14ac:dyDescent="0.2">
      <c r="A3726" s="5">
        <v>3665</v>
      </c>
      <c r="B3726" s="138">
        <f>'Tax Sched 23'!D13</f>
        <v>237464</v>
      </c>
      <c r="C3726" s="2" t="s">
        <v>572</v>
      </c>
      <c r="D3726" s="2" t="str">
        <f t="shared" si="57"/>
        <v>Error?</v>
      </c>
    </row>
    <row r="3727" spans="1:4" x14ac:dyDescent="0.2">
      <c r="A3727" s="5">
        <v>3666</v>
      </c>
      <c r="B3727" s="138">
        <f>'Tax Sched 23'!C13</f>
        <v>210207</v>
      </c>
      <c r="D3727" s="2" t="str">
        <f t="shared" si="57"/>
        <v>Error?</v>
      </c>
    </row>
    <row r="3728" spans="1:4" x14ac:dyDescent="0.2">
      <c r="A3728" s="5">
        <v>3667</v>
      </c>
      <c r="B3728" s="138">
        <f>'Tax Sched 23'!F13</f>
        <v>238605</v>
      </c>
      <c r="C3728" s="2" t="s">
        <v>572</v>
      </c>
      <c r="D3728" s="2" t="str">
        <f t="shared" si="57"/>
        <v>Error?</v>
      </c>
    </row>
    <row r="3729" spans="1:4" x14ac:dyDescent="0.2">
      <c r="A3729" s="5">
        <v>3668</v>
      </c>
      <c r="B3729" s="138">
        <f>'Tax Sched 23'!E13</f>
        <v>448812</v>
      </c>
      <c r="D3729" s="2" t="str">
        <f t="shared" si="57"/>
        <v>Error?</v>
      </c>
    </row>
    <row r="3730" spans="1:4" x14ac:dyDescent="0.2">
      <c r="A3730" s="5">
        <v>3669</v>
      </c>
      <c r="B3730" s="138">
        <f>'ICR Computation 30'!E10</f>
        <v>519170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13913151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46683927</v>
      </c>
      <c r="C4122" s="2" t="s">
        <v>572</v>
      </c>
      <c r="D4122" s="2" t="str">
        <f t="shared" si="63"/>
        <v>Error?</v>
      </c>
    </row>
    <row r="4123" spans="1:4" x14ac:dyDescent="0.2">
      <c r="A4123" s="5">
        <v>4062</v>
      </c>
      <c r="B4123" s="138">
        <f>'Acct Summary 7-8'!D10</f>
        <v>4413383</v>
      </c>
      <c r="C4123" s="2" t="s">
        <v>572</v>
      </c>
      <c r="D4123" s="2" t="str">
        <f t="shared" si="63"/>
        <v>Error?</v>
      </c>
    </row>
    <row r="4124" spans="1:4" x14ac:dyDescent="0.2">
      <c r="A4124" s="5">
        <v>4063</v>
      </c>
      <c r="B4124" s="138">
        <f>'Acct Summary 7-8'!E10</f>
        <v>5975676</v>
      </c>
      <c r="C4124" s="2" t="s">
        <v>572</v>
      </c>
      <c r="D4124" s="2" t="str">
        <f t="shared" si="63"/>
        <v>Error?</v>
      </c>
    </row>
    <row r="4125" spans="1:4" x14ac:dyDescent="0.2">
      <c r="A4125" s="5">
        <v>4064</v>
      </c>
      <c r="B4125" s="138">
        <f>'Acct Summary 7-8'!F10</f>
        <v>2641724</v>
      </c>
      <c r="C4125" s="2" t="s">
        <v>572</v>
      </c>
      <c r="D4125" s="2" t="str">
        <f t="shared" si="63"/>
        <v>Error?</v>
      </c>
    </row>
    <row r="4126" spans="1:4" x14ac:dyDescent="0.2">
      <c r="A4126" s="5">
        <v>4065</v>
      </c>
      <c r="B4126" s="138">
        <f>'Acct Summary 7-8'!G10</f>
        <v>2122221</v>
      </c>
      <c r="C4126" s="2" t="s">
        <v>572</v>
      </c>
      <c r="D4126" s="2" t="str">
        <f t="shared" si="63"/>
        <v>Error?</v>
      </c>
    </row>
    <row r="4127" spans="1:4" x14ac:dyDescent="0.2">
      <c r="A4127" s="5">
        <v>4066</v>
      </c>
      <c r="B4127" s="138">
        <f>'Acct Summary 7-8'!H10</f>
        <v>593182</v>
      </c>
      <c r="C4127" s="2" t="s">
        <v>572</v>
      </c>
      <c r="D4127" s="2" t="str">
        <f t="shared" si="63"/>
        <v>Error?</v>
      </c>
    </row>
    <row r="4128" spans="1:4" x14ac:dyDescent="0.2">
      <c r="A4128" s="5">
        <v>4067</v>
      </c>
      <c r="B4128" s="138">
        <f>'Acct Summary 7-8'!I10</f>
        <v>464884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454345</v>
      </c>
      <c r="C4130" s="2" t="s">
        <v>572</v>
      </c>
      <c r="D4130" s="2" t="str">
        <f t="shared" si="63"/>
        <v>Error?</v>
      </c>
    </row>
    <row r="4131" spans="1:4" x14ac:dyDescent="0.2">
      <c r="A4131" s="5">
        <v>4070</v>
      </c>
      <c r="B4131" s="138">
        <f>'Acct Summary 7-8'!C18</f>
        <v>13913151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46233062</v>
      </c>
      <c r="C4136" s="2" t="s">
        <v>572</v>
      </c>
      <c r="D4136" s="2" t="str">
        <f t="shared" si="63"/>
        <v>Error?</v>
      </c>
    </row>
    <row r="4137" spans="1:4" x14ac:dyDescent="0.2">
      <c r="A4137" s="5">
        <v>4076</v>
      </c>
      <c r="B4137" s="138">
        <f>'Acct Summary 7-8'!D19</f>
        <v>3981305</v>
      </c>
      <c r="C4137" s="2" t="s">
        <v>572</v>
      </c>
      <c r="D4137" s="2" t="str">
        <f t="shared" si="63"/>
        <v>Error?</v>
      </c>
    </row>
    <row r="4138" spans="1:4" x14ac:dyDescent="0.2">
      <c r="A4138" s="5">
        <v>4077</v>
      </c>
      <c r="B4138" s="138">
        <f>'Acct Summary 7-8'!E19</f>
        <v>5977904</v>
      </c>
      <c r="C4138" s="2" t="s">
        <v>572</v>
      </c>
      <c r="D4138" s="2" t="str">
        <f t="shared" si="63"/>
        <v>Error?</v>
      </c>
    </row>
    <row r="4139" spans="1:4" x14ac:dyDescent="0.2">
      <c r="A4139" s="5">
        <v>4078</v>
      </c>
      <c r="B4139" s="138">
        <f>'Acct Summary 7-8'!F19</f>
        <v>2323576</v>
      </c>
      <c r="C4139" s="2" t="s">
        <v>572</v>
      </c>
      <c r="D4139" s="2" t="str">
        <f t="shared" si="63"/>
        <v>Error?</v>
      </c>
    </row>
    <row r="4140" spans="1:4" x14ac:dyDescent="0.2">
      <c r="A4140" s="5">
        <v>4079</v>
      </c>
      <c r="B4140" s="138">
        <f>'Acct Summary 7-8'!G19</f>
        <v>1312899</v>
      </c>
      <c r="C4140" s="2" t="s">
        <v>572</v>
      </c>
      <c r="D4140" s="2" t="str">
        <f t="shared" si="63"/>
        <v>Error?</v>
      </c>
    </row>
    <row r="4141" spans="1:4" x14ac:dyDescent="0.2">
      <c r="A4141" s="5">
        <v>4080</v>
      </c>
      <c r="B4141" s="138">
        <f>'Acct Summary 7-8'!H19</f>
        <v>6117414</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457697</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54903080</v>
      </c>
      <c r="C4171" s="2" t="s">
        <v>572</v>
      </c>
      <c r="D4171" s="2" t="str">
        <f t="shared" si="64"/>
        <v>Error?</v>
      </c>
    </row>
    <row r="4172" spans="1:4" x14ac:dyDescent="0.2">
      <c r="A4172" s="5">
        <v>4111</v>
      </c>
      <c r="B4172" s="138">
        <f>'Short-Term Long-Term Debt 24'!J49</f>
        <v>51272074</v>
      </c>
      <c r="C4172" s="2" t="s">
        <v>572</v>
      </c>
      <c r="D4172" s="2" t="str">
        <f t="shared" si="64"/>
        <v>Error?</v>
      </c>
    </row>
    <row r="4173" spans="1:4" x14ac:dyDescent="0.2">
      <c r="A4173" s="5">
        <v>4112</v>
      </c>
      <c r="B4173" s="138">
        <f>'Short-Term Long-Term Debt 24'!H49</f>
        <v>3505000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205019</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2700</v>
      </c>
      <c r="C4265" s="2" t="s">
        <v>572</v>
      </c>
      <c r="D4265" s="2" t="str">
        <f t="shared" si="65"/>
        <v>Error?</v>
      </c>
      <c r="E4265" s="128"/>
    </row>
    <row r="4266" spans="1:5" x14ac:dyDescent="0.2">
      <c r="A4266" s="12">
        <v>4205</v>
      </c>
      <c r="B4266" s="138">
        <f>('FP Info 3'!F10)*100000</f>
        <v>475</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3375</v>
      </c>
      <c r="C4268" s="2" t="s">
        <v>572</v>
      </c>
      <c r="D4268" s="2" t="str">
        <f t="shared" si="65"/>
        <v>Error?</v>
      </c>
    </row>
    <row r="4269" spans="1:5" x14ac:dyDescent="0.2">
      <c r="A4269" s="12">
        <v>4208</v>
      </c>
      <c r="B4269" s="138">
        <f>'FP Info 3'!J16</f>
        <v>48568442</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57513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150350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13217</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89619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198112</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198112</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214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12467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897623445</v>
      </c>
      <c r="D4995" s="2" t="str">
        <f t="shared" si="77"/>
        <v>Error?</v>
      </c>
    </row>
    <row r="4996" spans="1:4" x14ac:dyDescent="0.2">
      <c r="A4996" s="12">
        <v>4935</v>
      </c>
      <c r="B4996" s="138">
        <f>'FP Info 3'!H31</f>
        <v>123872035.41000001</v>
      </c>
      <c r="D4996" s="2" t="str">
        <f t="shared" si="77"/>
        <v>Error?</v>
      </c>
    </row>
    <row r="4997" spans="1:4" x14ac:dyDescent="0.2">
      <c r="A4997" s="12">
        <v>4936</v>
      </c>
      <c r="B4997" s="138">
        <f>'FP Info 3'!H37</f>
        <v>54903080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447671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24174241</v>
      </c>
      <c r="D5061" s="2" t="str">
        <f t="shared" si="78"/>
        <v>Error?</v>
      </c>
    </row>
    <row r="5062" spans="1:4" x14ac:dyDescent="0.2">
      <c r="A5062" s="10">
        <v>5001</v>
      </c>
      <c r="D5062" s="2" t="str">
        <f t="shared" si="78"/>
        <v>OK</v>
      </c>
    </row>
    <row r="5063" spans="1:4" x14ac:dyDescent="0.2">
      <c r="A5063" s="5">
        <v>5002</v>
      </c>
      <c r="B5063" s="138">
        <f>'Revenues 9-14'!C7</f>
        <v>358136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24980048</v>
      </c>
      <c r="C5066" s="2" t="s">
        <v>572</v>
      </c>
      <c r="D5066" s="2" t="str">
        <f t="shared" si="78"/>
        <v>Error?</v>
      </c>
    </row>
    <row r="5067" spans="1:4" x14ac:dyDescent="0.2">
      <c r="A5067" s="5">
        <v>5006</v>
      </c>
      <c r="B5067" s="138">
        <f>'Revenues 9-14'!C14</f>
        <v>58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661000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661058</v>
      </c>
      <c r="C5071" s="2" t="s">
        <v>572</v>
      </c>
      <c r="D5071" s="2" t="str">
        <f t="shared" si="78"/>
        <v>Error?</v>
      </c>
    </row>
    <row r="5072" spans="1:4" x14ac:dyDescent="0.2">
      <c r="A5072" s="5">
        <v>5011</v>
      </c>
      <c r="B5072" s="138">
        <f>'Revenues 9-14'!C20</f>
        <v>2534</v>
      </c>
      <c r="D5072" s="2" t="str">
        <f t="shared" si="78"/>
        <v>Error?</v>
      </c>
    </row>
    <row r="5073" spans="1:4" x14ac:dyDescent="0.2">
      <c r="A5073" s="5">
        <v>5012</v>
      </c>
      <c r="B5073" s="138">
        <f>'Revenues 9-14'!C21</f>
        <v>253</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33690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36477</v>
      </c>
      <c r="C5087" s="2" t="s">
        <v>572</v>
      </c>
      <c r="D5087" s="2" t="str">
        <f t="shared" si="78"/>
        <v>Error?</v>
      </c>
    </row>
    <row r="5088" spans="1:4" x14ac:dyDescent="0.2">
      <c r="A5088" s="5">
        <v>5027</v>
      </c>
      <c r="B5088" s="138">
        <f>'Revenues 9-14'!C65</f>
        <v>429381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429381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309979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32151</v>
      </c>
      <c r="D5094" s="2" t="str">
        <f t="shared" si="78"/>
        <v>Error?</v>
      </c>
    </row>
    <row r="5095" spans="1:4" x14ac:dyDescent="0.2">
      <c r="A5095" s="5">
        <v>5034</v>
      </c>
      <c r="B5095" s="138">
        <f>'Revenues 9-14'!C74</f>
        <v>6677</v>
      </c>
      <c r="D5095" s="2" t="str">
        <f t="shared" si="78"/>
        <v>Error?</v>
      </c>
    </row>
    <row r="5096" spans="1:4" x14ac:dyDescent="0.2">
      <c r="A5096" s="5">
        <v>5035</v>
      </c>
      <c r="B5096" s="138">
        <f>'Revenues 9-14'!C75</f>
        <v>1029249</v>
      </c>
      <c r="C5096" s="2" t="s">
        <v>572</v>
      </c>
      <c r="D5096" s="2" t="str">
        <f t="shared" si="78"/>
        <v>Error?</v>
      </c>
    </row>
    <row r="5097" spans="1:4" x14ac:dyDescent="0.2">
      <c r="A5097" s="5">
        <v>5036</v>
      </c>
      <c r="B5097" s="138">
        <f>'Revenues 9-14'!C77</f>
        <v>40306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252081</v>
      </c>
      <c r="D5101" s="2" t="str">
        <f t="shared" si="78"/>
        <v>Error?</v>
      </c>
    </row>
    <row r="5102" spans="1:4" x14ac:dyDescent="0.2">
      <c r="A5102" s="5">
        <v>5041</v>
      </c>
      <c r="B5102" s="138">
        <f>'Revenues 9-14'!C82</f>
        <v>292387</v>
      </c>
      <c r="C5102" s="2" t="s">
        <v>572</v>
      </c>
      <c r="D5102" s="2" t="str">
        <f t="shared" si="78"/>
        <v>Error?</v>
      </c>
    </row>
    <row r="5103" spans="1:4" x14ac:dyDescent="0.2">
      <c r="A5103" s="5">
        <v>5042</v>
      </c>
      <c r="B5103" s="138">
        <f>'Revenues 9-14'!C84</f>
        <v>550619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550619</v>
      </c>
      <c r="C5112" s="2" t="s">
        <v>572</v>
      </c>
      <c r="D5112" s="2" t="str">
        <f t="shared" si="78"/>
        <v>Error?</v>
      </c>
    </row>
    <row r="5113" spans="1:4" x14ac:dyDescent="0.2">
      <c r="A5113" s="5">
        <v>5052</v>
      </c>
      <c r="B5113" s="138">
        <f>'Revenues 9-14'!C95</f>
        <v>245</v>
      </c>
      <c r="D5113" s="2" t="str">
        <f t="shared" si="78"/>
        <v>Error?</v>
      </c>
    </row>
    <row r="5114" spans="1:4" x14ac:dyDescent="0.2">
      <c r="A5114" s="5">
        <v>5053</v>
      </c>
      <c r="B5114" s="138">
        <f>'Revenues 9-14'!C96</f>
        <v>379</v>
      </c>
      <c r="D5114" s="2" t="str">
        <f t="shared" si="78"/>
        <v>Error?</v>
      </c>
    </row>
    <row r="5115" spans="1:4" x14ac:dyDescent="0.2">
      <c r="A5115" s="5">
        <v>5054</v>
      </c>
      <c r="B5115" s="138">
        <f>'Revenues 9-14'!C98</f>
        <v>74015</v>
      </c>
      <c r="D5115" s="2" t="str">
        <f t="shared" si="78"/>
        <v>Error?</v>
      </c>
    </row>
    <row r="5116" spans="1:4" x14ac:dyDescent="0.2">
      <c r="A5116" s="5">
        <v>5055</v>
      </c>
      <c r="B5116" s="138">
        <f>'Revenues 9-14'!C99</f>
        <v>12828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7135</v>
      </c>
      <c r="D5119" s="2" t="str">
        <f t="shared" ref="D5119:D5182" si="79">IF(ISBLANK(B5119),"OK",IF(A5119-B5119=0,"OK","Error?"))</f>
        <v>Error?</v>
      </c>
    </row>
    <row r="5120" spans="1:4" x14ac:dyDescent="0.2">
      <c r="A5120" s="5">
        <v>5059</v>
      </c>
      <c r="B5120" s="138">
        <f>'Revenues 9-14'!C108</f>
        <v>120655</v>
      </c>
      <c r="C5120" s="2" t="s">
        <v>572</v>
      </c>
      <c r="D5120" s="2" t="str">
        <f t="shared" si="79"/>
        <v>Error?</v>
      </c>
    </row>
    <row r="5121" spans="1:4" x14ac:dyDescent="0.2">
      <c r="A5121" s="5">
        <v>5060</v>
      </c>
      <c r="B5121" s="138">
        <f>'Revenues 9-14'!C109</f>
        <v>28099874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3334257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3334257</v>
      </c>
      <c r="C5132" s="2" t="s">
        <v>572</v>
      </c>
      <c r="D5132" s="2" t="str">
        <f t="shared" si="79"/>
        <v>Error?</v>
      </c>
    </row>
    <row r="5133" spans="1:4" x14ac:dyDescent="0.2">
      <c r="A5133" s="5">
        <v>5072</v>
      </c>
      <c r="B5133" s="138">
        <f>'Revenues 9-14'!C125</f>
        <v>59729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42763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102492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9250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9596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4371</v>
      </c>
      <c r="D5167" s="2" t="str">
        <f t="shared" si="79"/>
        <v>Error?</v>
      </c>
    </row>
    <row r="5168" spans="1:4" x14ac:dyDescent="0.2">
      <c r="A5168" s="5">
        <v>5107</v>
      </c>
      <c r="B5168" s="138">
        <f>'Revenues 9-14'!C148</f>
        <v>65978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194904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3529161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364176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364176</v>
      </c>
      <c r="C5246" s="2" t="s">
        <v>572</v>
      </c>
      <c r="D5246" s="2" t="str">
        <f t="shared" si="80"/>
        <v>Error?</v>
      </c>
    </row>
    <row r="5247" spans="1:4" x14ac:dyDescent="0.2">
      <c r="A5247" s="5">
        <v>5186</v>
      </c>
      <c r="B5247" s="138">
        <f>'Revenues 9-14'!C200</f>
        <v>385074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385074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138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73323</v>
      </c>
      <c r="D5278" s="2" t="str">
        <f t="shared" si="81"/>
        <v>Error?</v>
      </c>
    </row>
    <row r="5279" spans="1:4" x14ac:dyDescent="0.2">
      <c r="A5279" s="5">
        <v>5218</v>
      </c>
      <c r="B5279" s="138">
        <f>'Revenues 9-14'!C214</f>
        <v>7523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80984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808</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1141741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1141741</v>
      </c>
      <c r="C5326" s="2" t="s">
        <v>572</v>
      </c>
      <c r="D5326" s="2" t="str">
        <f t="shared" si="82"/>
        <v>Error?</v>
      </c>
    </row>
    <row r="5327" spans="1:5" x14ac:dyDescent="0.2">
      <c r="A5327" s="5">
        <v>5266</v>
      </c>
      <c r="B5327" s="138">
        <f>'Revenues 9-14'!C268</f>
        <v>32770776</v>
      </c>
      <c r="C5327" s="2" t="s">
        <v>572</v>
      </c>
      <c r="D5327" s="2" t="str">
        <f t="shared" si="82"/>
        <v>Error?</v>
      </c>
    </row>
    <row r="5328" spans="1:5" x14ac:dyDescent="0.2">
      <c r="A5328" s="5">
        <v>5267</v>
      </c>
      <c r="B5328" s="138">
        <f>'Revenues 9-14'!D5</f>
        <v>4252875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4252875</v>
      </c>
      <c r="C5334" s="2" t="s">
        <v>572</v>
      </c>
      <c r="D5334" s="2" t="str">
        <f t="shared" si="82"/>
        <v>Error?</v>
      </c>
    </row>
    <row r="5335" spans="1:4" x14ac:dyDescent="0.2">
      <c r="A5335" s="5">
        <v>5274</v>
      </c>
      <c r="B5335" s="138">
        <f>'Revenues 9-14'!D14</f>
        <v>10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v>
      </c>
      <c r="C5339" s="2" t="s">
        <v>572</v>
      </c>
      <c r="D5339" s="2" t="str">
        <f t="shared" si="82"/>
        <v>Error?</v>
      </c>
    </row>
    <row r="5340" spans="1:4" x14ac:dyDescent="0.2">
      <c r="A5340" s="5">
        <v>5279</v>
      </c>
      <c r="B5340" s="138">
        <f>'Revenues 9-14'!D65</f>
        <v>44388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44388</v>
      </c>
      <c r="C5342" s="2" t="s">
        <v>572</v>
      </c>
      <c r="D5342" s="2" t="str">
        <f t="shared" si="82"/>
        <v>Error?</v>
      </c>
    </row>
    <row r="5343" spans="1:4" x14ac:dyDescent="0.2">
      <c r="A5343" s="5">
        <v>5282</v>
      </c>
      <c r="B5343" s="138">
        <f>'Revenues 9-14'!D77</f>
        <v>2800</v>
      </c>
      <c r="D5343" s="2" t="str">
        <f t="shared" si="82"/>
        <v>Error?</v>
      </c>
    </row>
    <row r="5344" spans="1:4" x14ac:dyDescent="0.2">
      <c r="A5344" s="5">
        <v>5283</v>
      </c>
      <c r="B5344" s="138">
        <f>'Revenues 9-14'!D78</f>
        <v>91456</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94256</v>
      </c>
      <c r="C5348" s="2" t="s">
        <v>572</v>
      </c>
      <c r="D5348" s="2" t="str">
        <f t="shared" si="82"/>
        <v>Error?</v>
      </c>
    </row>
    <row r="5349" spans="1:4" x14ac:dyDescent="0.2">
      <c r="A5349" s="5">
        <v>5288</v>
      </c>
      <c r="B5349" s="138">
        <f>'Revenues 9-14'!D95</f>
        <v>13856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7998</v>
      </c>
      <c r="D5354" s="2" t="str">
        <f t="shared" si="82"/>
        <v>Error?</v>
      </c>
    </row>
    <row r="5355" spans="1:4" x14ac:dyDescent="0.2">
      <c r="A5355" s="5">
        <v>5294</v>
      </c>
      <c r="B5355" s="138">
        <f>'Revenues 9-14'!D108</f>
        <v>21854</v>
      </c>
      <c r="C5355" s="2" t="s">
        <v>572</v>
      </c>
      <c r="D5355" s="2" t="str">
        <f t="shared" si="82"/>
        <v>Error?</v>
      </c>
    </row>
    <row r="5356" spans="1:4" x14ac:dyDescent="0.2">
      <c r="A5356" s="5">
        <v>5295</v>
      </c>
      <c r="B5356" s="138">
        <f>'Revenues 9-14'!D109</f>
        <v>4413383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4413383</v>
      </c>
      <c r="C5508" s="2" t="s">
        <v>572</v>
      </c>
      <c r="D5508" s="2" t="str">
        <f t="shared" si="85"/>
        <v>Error?</v>
      </c>
    </row>
    <row r="5509" spans="1:4" x14ac:dyDescent="0.2">
      <c r="A5509" s="5">
        <v>5448</v>
      </c>
      <c r="B5509" s="138">
        <f>'Revenues 9-14'!E5</f>
        <v>4839532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4839532</v>
      </c>
      <c r="C5513" s="2" t="s">
        <v>572</v>
      </c>
      <c r="D5513" s="2" t="str">
        <f t="shared" si="85"/>
        <v>Error?</v>
      </c>
    </row>
    <row r="5514" spans="1:4" x14ac:dyDescent="0.2">
      <c r="A5514" s="5">
        <v>5453</v>
      </c>
      <c r="B5514" s="138">
        <f>'Revenues 9-14'!E14</f>
        <v>12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12</v>
      </c>
      <c r="C5518" s="2" t="s">
        <v>572</v>
      </c>
      <c r="D5518" s="2" t="str">
        <f t="shared" si="85"/>
        <v>Error?</v>
      </c>
    </row>
    <row r="5519" spans="1:4" x14ac:dyDescent="0.2">
      <c r="A5519" s="5">
        <v>5458</v>
      </c>
      <c r="B5519" s="138">
        <f>'Revenues 9-14'!E65</f>
        <v>31744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31744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48433</v>
      </c>
      <c r="D5525" s="2" t="str">
        <f t="shared" si="85"/>
        <v>Error?</v>
      </c>
    </row>
    <row r="5526" spans="1:4" x14ac:dyDescent="0.2">
      <c r="A5526" s="5">
        <v>5465</v>
      </c>
      <c r="B5526" s="138">
        <f>'Revenues 9-14'!E108</f>
        <v>906276</v>
      </c>
      <c r="C5526" s="2" t="s">
        <v>572</v>
      </c>
      <c r="D5526" s="2" t="str">
        <f t="shared" si="85"/>
        <v>Error?</v>
      </c>
    </row>
    <row r="5527" spans="1:4" x14ac:dyDescent="0.2">
      <c r="A5527" s="5">
        <v>5466</v>
      </c>
      <c r="B5527" s="138">
        <f>'Revenues 9-14'!E109</f>
        <v>5777564</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5975676</v>
      </c>
      <c r="C5552" s="2" t="s">
        <v>572</v>
      </c>
      <c r="D5552" s="2" t="str">
        <f t="shared" si="85"/>
        <v>Error?</v>
      </c>
    </row>
    <row r="5553" spans="1:4" x14ac:dyDescent="0.2">
      <c r="A5553" s="5">
        <v>5492</v>
      </c>
      <c r="B5553" s="138">
        <f>'Revenues 9-14'!F5</f>
        <v>1790684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1790684</v>
      </c>
      <c r="C5557" s="2" t="s">
        <v>572</v>
      </c>
      <c r="D5557" s="2" t="str">
        <f t="shared" si="85"/>
        <v>Error?</v>
      </c>
    </row>
    <row r="5558" spans="1:4" x14ac:dyDescent="0.2">
      <c r="A5558" s="5">
        <v>5497</v>
      </c>
      <c r="B5558" s="138">
        <f>'Revenues 9-14'!F14</f>
        <v>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10623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10623</v>
      </c>
      <c r="C5579" s="2" t="s">
        <v>572</v>
      </c>
      <c r="D5579" s="2" t="str">
        <f t="shared" si="86"/>
        <v>Error?</v>
      </c>
    </row>
    <row r="5580" spans="1:4" x14ac:dyDescent="0.2">
      <c r="A5580" s="5">
        <v>5519</v>
      </c>
      <c r="B5580" s="138">
        <f>'Revenues 9-14'!F65</f>
        <v>55072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55072</v>
      </c>
      <c r="C5582" s="2" t="s">
        <v>572</v>
      </c>
      <c r="D5582" s="2" t="str">
        <f t="shared" si="86"/>
        <v>Error?</v>
      </c>
    </row>
    <row r="5583" spans="1:4" x14ac:dyDescent="0.2">
      <c r="A5583" s="5">
        <v>5522</v>
      </c>
      <c r="B5583" s="138">
        <f>'Revenues 9-14'!F96</f>
        <v>408</v>
      </c>
      <c r="D5583" s="2" t="str">
        <f t="shared" si="86"/>
        <v>Error?</v>
      </c>
    </row>
    <row r="5584" spans="1:4" x14ac:dyDescent="0.2">
      <c r="A5584" s="5">
        <v>5523</v>
      </c>
      <c r="B5584" s="138">
        <f>'Revenues 9-14'!F98</f>
        <v>13491</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8861</v>
      </c>
      <c r="D5586" s="2" t="str">
        <f t="shared" si="86"/>
        <v>Error?</v>
      </c>
    </row>
    <row r="5587" spans="1:4" x14ac:dyDescent="0.2">
      <c r="A5587" s="5">
        <v>5526</v>
      </c>
      <c r="B5587" s="138">
        <f>'Revenues 9-14'!F108</f>
        <v>22760</v>
      </c>
      <c r="C5587" s="2" t="s">
        <v>572</v>
      </c>
      <c r="D5587" s="2" t="str">
        <f t="shared" si="86"/>
        <v>Error?</v>
      </c>
    </row>
    <row r="5588" spans="1:4" x14ac:dyDescent="0.2">
      <c r="A5588" s="5">
        <v>5527</v>
      </c>
      <c r="B5588" s="138">
        <f>'Revenues 9-14'!F109</f>
        <v>1879143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465709</v>
      </c>
      <c r="D5615" s="2" t="str">
        <f t="shared" si="86"/>
        <v>Error?</v>
      </c>
    </row>
    <row r="5616" spans="1:4" x14ac:dyDescent="0.2">
      <c r="A5616" s="10">
        <v>5555</v>
      </c>
      <c r="D5616" s="2" t="str">
        <f t="shared" si="86"/>
        <v>OK</v>
      </c>
    </row>
    <row r="5617" spans="1:5" x14ac:dyDescent="0.2">
      <c r="A5617" s="5">
        <v>5556</v>
      </c>
      <c r="B5617" s="138">
        <f>'Revenues 9-14'!F153</f>
        <v>296872</v>
      </c>
      <c r="D5617" s="2" t="str">
        <f t="shared" si="86"/>
        <v>Error?</v>
      </c>
    </row>
    <row r="5618" spans="1:5" x14ac:dyDescent="0.2">
      <c r="A5618" s="5">
        <v>5557</v>
      </c>
      <c r="B5618" s="138">
        <f>'Revenues 9-14'!F155</f>
        <v>762581</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762581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762581</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2641724</v>
      </c>
      <c r="C5720" s="2" t="s">
        <v>572</v>
      </c>
      <c r="D5720" s="2" t="str">
        <f t="shared" si="88"/>
        <v>Error?</v>
      </c>
    </row>
    <row r="5721" spans="1:4" x14ac:dyDescent="0.2">
      <c r="A5721" s="5">
        <v>5660</v>
      </c>
      <c r="B5721" s="138">
        <f>'Revenues 9-14'!G5</f>
        <v>898333</v>
      </c>
      <c r="D5721" s="2" t="str">
        <f t="shared" si="88"/>
        <v>Error?</v>
      </c>
    </row>
    <row r="5722" spans="1:4" x14ac:dyDescent="0.2">
      <c r="A5722" s="5">
        <v>5661</v>
      </c>
      <c r="B5722" s="138">
        <f>'Revenues 9-14'!G7</f>
        <v>0</v>
      </c>
      <c r="D5722" s="2" t="str">
        <f t="shared" si="88"/>
        <v>Error?</v>
      </c>
    </row>
    <row r="5723" spans="1:4" x14ac:dyDescent="0.2">
      <c r="A5723" s="5">
        <v>5662</v>
      </c>
      <c r="B5723" s="138">
        <f>'Revenues 9-14'!G8</f>
        <v>1088223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1986556</v>
      </c>
      <c r="C5725" s="2" t="s">
        <v>572</v>
      </c>
      <c r="D5725" s="2" t="str">
        <f t="shared" si="88"/>
        <v>Error?</v>
      </c>
    </row>
    <row r="5726" spans="1:4" x14ac:dyDescent="0.2">
      <c r="A5726" s="5">
        <v>5665</v>
      </c>
      <c r="B5726" s="138">
        <f>'Revenues 9-14'!G14</f>
        <v>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90378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90382</v>
      </c>
      <c r="C5730" s="2" t="s">
        <v>572</v>
      </c>
      <c r="D5730" s="2" t="str">
        <f t="shared" si="88"/>
        <v>Error?</v>
      </c>
    </row>
    <row r="5731" spans="1:4" x14ac:dyDescent="0.2">
      <c r="A5731" s="5">
        <v>5670</v>
      </c>
      <c r="B5731" s="138">
        <f>'Revenues 9-14'!G65</f>
        <v>37426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37426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7857</v>
      </c>
      <c r="D5736" s="2" t="str">
        <f t="shared" si="88"/>
        <v>Error?</v>
      </c>
    </row>
    <row r="5737" spans="1:4" x14ac:dyDescent="0.2">
      <c r="A5737" s="5">
        <v>5676</v>
      </c>
      <c r="B5737" s="138">
        <f>'Revenues 9-14'!G108</f>
        <v>7857</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2122221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49338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49338</v>
      </c>
      <c r="C5881" s="2" t="s">
        <v>572</v>
      </c>
      <c r="D5881" s="2" t="str">
        <f t="shared" si="90"/>
        <v>Error?</v>
      </c>
    </row>
    <row r="5882" spans="1:4" x14ac:dyDescent="0.2">
      <c r="A5882" s="5">
        <v>5821</v>
      </c>
      <c r="B5882" s="138">
        <f>'Revenues 9-14'!H96</f>
        <v>1505</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543844</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593182</v>
      </c>
      <c r="C5915" s="2" t="s">
        <v>572</v>
      </c>
      <c r="D5915" s="2" t="str">
        <f t="shared" si="91"/>
        <v>Error?</v>
      </c>
    </row>
    <row r="5916" spans="1:4" x14ac:dyDescent="0.2">
      <c r="A5916" s="5">
        <v>5855</v>
      </c>
      <c r="B5916" s="138">
        <f>'Revenues 9-14'!I5</f>
        <v>447671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447671</v>
      </c>
      <c r="C5918" s="2" t="s">
        <v>572</v>
      </c>
      <c r="D5918" s="2" t="str">
        <f t="shared" si="91"/>
        <v>Error?</v>
      </c>
    </row>
    <row r="5919" spans="1:4" x14ac:dyDescent="0.2">
      <c r="A5919" s="5">
        <v>5858</v>
      </c>
      <c r="B5919" s="138">
        <f>'Revenues 9-14'!I14</f>
        <v>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v>
      </c>
      <c r="C5923" s="2" t="s">
        <v>572</v>
      </c>
      <c r="D5923" s="2" t="str">
        <f t="shared" si="91"/>
        <v>Error?</v>
      </c>
    </row>
    <row r="5924" spans="1:4" x14ac:dyDescent="0.2">
      <c r="A5924" s="5">
        <v>5863</v>
      </c>
      <c r="B5924" s="138">
        <f>'Revenues 9-14'!I65</f>
        <v>17212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17212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464884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447671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447671</v>
      </c>
      <c r="C5987" s="2" t="s">
        <v>572</v>
      </c>
      <c r="D5987" s="2" t="str">
        <f t="shared" si="92"/>
        <v>Error?</v>
      </c>
    </row>
    <row r="5988" spans="1:4" x14ac:dyDescent="0.2">
      <c r="A5988" s="5">
        <v>5927</v>
      </c>
      <c r="B5988" s="138">
        <f>'Revenues 9-14'!K14</f>
        <v>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v>
      </c>
      <c r="C5992" s="2" t="s">
        <v>572</v>
      </c>
      <c r="D5992" s="2" t="str">
        <f t="shared" si="92"/>
        <v>Error?</v>
      </c>
    </row>
    <row r="5993" spans="1:4" x14ac:dyDescent="0.2">
      <c r="A5993" s="5">
        <v>5932</v>
      </c>
      <c r="B5993" s="138">
        <f>'Revenues 9-14'!K65</f>
        <v>6673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6673</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454345</v>
      </c>
      <c r="C6023" s="2" t="s">
        <v>572</v>
      </c>
      <c r="D6023" s="2" t="str">
        <f t="shared" si="93"/>
        <v>Error?</v>
      </c>
    </row>
    <row r="6024" spans="1:5" x14ac:dyDescent="0.2">
      <c r="A6024" s="5">
        <v>5963</v>
      </c>
      <c r="B6024" s="138">
        <f>'Revenues 9-14'!G109</f>
        <v>2122221</v>
      </c>
      <c r="C6024" s="2" t="s">
        <v>572</v>
      </c>
      <c r="D6024" s="2" t="str">
        <f t="shared" si="93"/>
        <v>Error?</v>
      </c>
    </row>
    <row r="6025" spans="1:5" x14ac:dyDescent="0.2">
      <c r="A6025" s="5">
        <v>5964</v>
      </c>
      <c r="B6025" s="138">
        <f>'Revenues 9-14'!H109</f>
        <v>593182</v>
      </c>
      <c r="C6025" s="2" t="s">
        <v>572</v>
      </c>
      <c r="D6025" s="2" t="str">
        <f t="shared" si="93"/>
        <v>Error?</v>
      </c>
    </row>
    <row r="6026" spans="1:5" x14ac:dyDescent="0.2">
      <c r="A6026" s="5">
        <v>5965</v>
      </c>
      <c r="B6026" s="138">
        <f>'Revenues 9-14'!I109</f>
        <v>464884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454345</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680442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114858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4010.1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2846784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2846784</v>
      </c>
      <c r="D6215" s="2" t="str">
        <f t="shared" si="96"/>
        <v>Error?</v>
      </c>
      <c r="E6215" s="2" t="s">
        <v>190</v>
      </c>
    </row>
    <row r="6216" spans="1:5" x14ac:dyDescent="0.2">
      <c r="A6216">
        <v>6155</v>
      </c>
      <c r="B6216" s="138">
        <f>'Assets-Liab 5-6'!J41</f>
        <v>2846784</v>
      </c>
      <c r="D6216" s="2" t="str">
        <f t="shared" si="96"/>
        <v>Error?</v>
      </c>
      <c r="E6216" s="2" t="s">
        <v>190</v>
      </c>
    </row>
    <row r="6217" spans="1:5" x14ac:dyDescent="0.2">
      <c r="A6217">
        <v>6156</v>
      </c>
      <c r="B6217" s="138">
        <f>'Assets-Liab 5-6'!J4</f>
        <v>2846784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1694786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1694786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1694786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1007131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1007131</v>
      </c>
      <c r="D6229" s="2" t="str">
        <f t="shared" si="96"/>
        <v>Error?</v>
      </c>
      <c r="E6229" s="2" t="s">
        <v>190</v>
      </c>
    </row>
    <row r="6230" spans="1:5" x14ac:dyDescent="0.2">
      <c r="A6230">
        <v>6169</v>
      </c>
      <c r="B6230" s="138">
        <f>'Acct Summary 7-8'!J20</f>
        <v>687655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687655</v>
      </c>
      <c r="D6263" s="2" t="str">
        <f t="shared" si="96"/>
        <v>Error?</v>
      </c>
      <c r="E6263" s="2" t="s">
        <v>190</v>
      </c>
    </row>
    <row r="6264" spans="1:5" x14ac:dyDescent="0.2">
      <c r="A6264">
        <v>6203</v>
      </c>
      <c r="B6264" s="138">
        <f>'Acct Summary 7-8'!J79</f>
        <v>2159129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2846784</v>
      </c>
      <c r="D6266" s="2" t="str">
        <f t="shared" si="96"/>
        <v>Error?</v>
      </c>
      <c r="E6266" s="2" t="s">
        <v>190</v>
      </c>
    </row>
    <row r="6267" spans="1:5" x14ac:dyDescent="0.2">
      <c r="A6267">
        <v>6206</v>
      </c>
      <c r="B6267" s="138">
        <f>'Acct Summary 7-8'!C82</f>
        <v>450865</v>
      </c>
      <c r="D6267" s="2" t="str">
        <f t="shared" si="96"/>
        <v>Error?</v>
      </c>
      <c r="E6267" s="2" t="s">
        <v>190</v>
      </c>
    </row>
    <row r="6268" spans="1:5" x14ac:dyDescent="0.2">
      <c r="A6268">
        <v>6207</v>
      </c>
      <c r="B6268" s="138">
        <f>'Acct Summary 7-8'!D82</f>
        <v>432078</v>
      </c>
      <c r="D6268" s="2" t="str">
        <f t="shared" si="96"/>
        <v>Error?</v>
      </c>
      <c r="E6268" s="2" t="s">
        <v>190</v>
      </c>
    </row>
    <row r="6269" spans="1:5" x14ac:dyDescent="0.2">
      <c r="A6269">
        <v>6208</v>
      </c>
      <c r="B6269" s="138">
        <f>'Acct Summary 7-8'!E82</f>
        <v>-2228</v>
      </c>
      <c r="D6269" s="2" t="str">
        <f t="shared" si="96"/>
        <v>Error?</v>
      </c>
      <c r="E6269" s="2" t="s">
        <v>190</v>
      </c>
    </row>
    <row r="6270" spans="1:5" x14ac:dyDescent="0.2">
      <c r="A6270">
        <v>6209</v>
      </c>
      <c r="B6270" s="138">
        <f>'Acct Summary 7-8'!F82</f>
        <v>318148</v>
      </c>
      <c r="D6270" s="2" t="str">
        <f t="shared" si="96"/>
        <v>Error?</v>
      </c>
      <c r="E6270" s="2" t="s">
        <v>190</v>
      </c>
    </row>
    <row r="6271" spans="1:5" x14ac:dyDescent="0.2">
      <c r="A6271">
        <v>6210</v>
      </c>
      <c r="B6271" s="138">
        <f>'Acct Summary 7-8'!G82</f>
        <v>809322</v>
      </c>
      <c r="D6271" s="2" t="str">
        <f t="shared" ref="D6271:D6334" si="97">IF(ISBLANK(B6271),"OK",IF(A6271-B6271=0,"OK","Error?"))</f>
        <v>Error?</v>
      </c>
      <c r="E6271" s="2" t="s">
        <v>190</v>
      </c>
    </row>
    <row r="6272" spans="1:5" x14ac:dyDescent="0.2">
      <c r="A6272">
        <v>6211</v>
      </c>
      <c r="B6272" s="138">
        <f>'Acct Summary 7-8'!H82</f>
        <v>-5524232</v>
      </c>
      <c r="D6272" s="2" t="str">
        <f t="shared" si="97"/>
        <v>Error?</v>
      </c>
      <c r="E6272" s="2" t="s">
        <v>190</v>
      </c>
    </row>
    <row r="6273" spans="1:5" x14ac:dyDescent="0.2">
      <c r="A6273">
        <v>6212</v>
      </c>
      <c r="B6273" s="138">
        <f>'Acct Summary 7-8'!I82</f>
        <v>464884</v>
      </c>
      <c r="D6273" s="2" t="str">
        <f t="shared" si="97"/>
        <v>Error?</v>
      </c>
      <c r="E6273" s="2" t="s">
        <v>190</v>
      </c>
    </row>
    <row r="6274" spans="1:5" x14ac:dyDescent="0.2">
      <c r="A6274">
        <v>6213</v>
      </c>
      <c r="B6274" s="138">
        <f>'Acct Summary 7-8'!J82</f>
        <v>687655</v>
      </c>
      <c r="D6274" s="2" t="str">
        <f t="shared" si="97"/>
        <v>Error?</v>
      </c>
      <c r="E6274" s="2" t="s">
        <v>190</v>
      </c>
    </row>
    <row r="6275" spans="1:5" x14ac:dyDescent="0.2">
      <c r="A6275">
        <v>6214</v>
      </c>
      <c r="B6275" s="138">
        <f>'Acct Summary 7-8'!K82</f>
        <v>-3352</v>
      </c>
      <c r="D6275" s="2" t="str">
        <f t="shared" si="97"/>
        <v>Error?</v>
      </c>
      <c r="E6275" s="2" t="s">
        <v>190</v>
      </c>
    </row>
    <row r="6276" spans="1:5" x14ac:dyDescent="0.2">
      <c r="A6276">
        <v>6215</v>
      </c>
      <c r="B6276" s="138">
        <f>'Acct Summary 7-8'!C83</f>
        <v>1.2707913402700419E-2</v>
      </c>
      <c r="D6276" s="2" t="str">
        <f t="shared" si="97"/>
        <v>Error?</v>
      </c>
      <c r="E6276" s="2" t="s">
        <v>190</v>
      </c>
    </row>
    <row r="6277" spans="1:5" x14ac:dyDescent="0.2">
      <c r="A6277">
        <v>6216</v>
      </c>
      <c r="B6277" s="138">
        <f>'Acct Summary 7-8'!D83</f>
        <v>9.5670411162367214E-2</v>
      </c>
      <c r="D6277" s="2" t="str">
        <f t="shared" si="97"/>
        <v>Error?</v>
      </c>
      <c r="E6277" s="2" t="s">
        <v>190</v>
      </c>
    </row>
    <row r="6278" spans="1:5" x14ac:dyDescent="0.2">
      <c r="A6278">
        <v>6217</v>
      </c>
      <c r="B6278" s="138">
        <f>'Acct Summary 7-8'!E83</f>
        <v>-6.1360405353227173E-4</v>
      </c>
      <c r="D6278" s="2" t="str">
        <f t="shared" si="97"/>
        <v>Error?</v>
      </c>
      <c r="E6278" s="2" t="s">
        <v>190</v>
      </c>
    </row>
    <row r="6279" spans="1:5" x14ac:dyDescent="0.2">
      <c r="A6279">
        <v>6218</v>
      </c>
      <c r="B6279" s="138">
        <f>'Acct Summary 7-8'!F83</f>
        <v>4.9382386450064729E-2</v>
      </c>
      <c r="D6279" s="2" t="str">
        <f t="shared" si="97"/>
        <v>Error?</v>
      </c>
      <c r="E6279" s="2" t="s">
        <v>190</v>
      </c>
    </row>
    <row r="6280" spans="1:5" x14ac:dyDescent="0.2">
      <c r="A6280">
        <v>6219</v>
      </c>
      <c r="B6280" s="138">
        <f>'Acct Summary 7-8'!G83</f>
        <v>0.19207973287568983</v>
      </c>
      <c r="D6280" s="2" t="str">
        <f t="shared" si="97"/>
        <v>Error?</v>
      </c>
      <c r="E6280" s="2" t="s">
        <v>190</v>
      </c>
    </row>
    <row r="6281" spans="1:5" x14ac:dyDescent="0.2">
      <c r="A6281">
        <v>6220</v>
      </c>
      <c r="B6281" s="138">
        <f>'Acct Summary 7-8'!H83</f>
        <v>-2.1946707178703213</v>
      </c>
      <c r="D6281" s="2" t="str">
        <f t="shared" si="97"/>
        <v>Error?</v>
      </c>
      <c r="E6281" s="2" t="s">
        <v>190</v>
      </c>
    </row>
    <row r="6282" spans="1:5" x14ac:dyDescent="0.2">
      <c r="A6282">
        <v>6221</v>
      </c>
      <c r="B6282" s="138">
        <f>'Acct Summary 7-8'!I83</f>
        <v>0.21820315323561026</v>
      </c>
      <c r="D6282" s="2" t="str">
        <f t="shared" si="97"/>
        <v>Error?</v>
      </c>
      <c r="E6282" s="2" t="s">
        <v>190</v>
      </c>
    </row>
    <row r="6283" spans="1:5" x14ac:dyDescent="0.2">
      <c r="A6283">
        <v>6222</v>
      </c>
      <c r="B6283" s="138">
        <f>'Acct Summary 7-8'!J83</f>
        <v>0.24155503192374272</v>
      </c>
      <c r="D6283" s="2" t="str">
        <f t="shared" si="97"/>
        <v>Error?</v>
      </c>
      <c r="E6283" s="2" t="s">
        <v>190</v>
      </c>
    </row>
    <row r="6284" spans="1:5" x14ac:dyDescent="0.2">
      <c r="A6284">
        <v>6223</v>
      </c>
      <c r="B6284" s="138">
        <f>'Acct Summary 7-8'!K83</f>
        <v>-4.1867291178766591E-3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1639429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1639429</v>
      </c>
      <c r="D6301" s="2" t="str">
        <f t="shared" si="97"/>
        <v>Error?</v>
      </c>
      <c r="E6301" s="2" t="s">
        <v>190</v>
      </c>
    </row>
    <row r="6302" spans="1:5" x14ac:dyDescent="0.2">
      <c r="A6302">
        <v>6241</v>
      </c>
      <c r="B6302" s="138">
        <f>'Revenues 9-14'!J14</f>
        <v>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25182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25182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14246</v>
      </c>
      <c r="D6339" s="2" t="str">
        <f t="shared" si="98"/>
        <v>Error?</v>
      </c>
      <c r="E6339" s="2" t="s">
        <v>190</v>
      </c>
    </row>
    <row r="6340" spans="1:5" x14ac:dyDescent="0.2">
      <c r="A6340">
        <v>6279</v>
      </c>
      <c r="B6340" s="138">
        <f>'Revenues 9-14'!C102</f>
        <v>11593</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30171</v>
      </c>
      <c r="D6350" s="2" t="str">
        <f t="shared" si="98"/>
        <v>Error?</v>
      </c>
      <c r="E6350" s="2" t="s">
        <v>190</v>
      </c>
    </row>
    <row r="6351" spans="1:5" x14ac:dyDescent="0.2">
      <c r="A6351">
        <v>6290</v>
      </c>
      <c r="B6351" s="138">
        <f>'Revenues 9-14'!J108</f>
        <v>30171</v>
      </c>
      <c r="D6351" s="2" t="str">
        <f t="shared" si="98"/>
        <v>Error?</v>
      </c>
      <c r="E6351" s="2" t="s">
        <v>190</v>
      </c>
    </row>
    <row r="6352" spans="1:5" x14ac:dyDescent="0.2">
      <c r="A6352">
        <v>6291</v>
      </c>
      <c r="B6352" s="138">
        <f>'Revenues 9-14'!J109</f>
        <v>1694786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346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87310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198112</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198112</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98285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156359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275059</v>
      </c>
      <c r="D6880" s="2" t="str">
        <f t="shared" si="106"/>
        <v>Error?</v>
      </c>
    </row>
    <row r="6881" spans="1:4" x14ac:dyDescent="0.2">
      <c r="A6881">
        <v>6820</v>
      </c>
      <c r="B6881" s="138">
        <f>'Expenditures 15-22'!K22</f>
        <v>275059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1317129</v>
      </c>
      <c r="D6983" s="2" t="str">
        <f t="shared" si="108"/>
        <v>Error?</v>
      </c>
    </row>
    <row r="6984" spans="1:4" x14ac:dyDescent="0.2">
      <c r="A6984">
        <v>6923</v>
      </c>
      <c r="B6984" s="138">
        <f>'Expenditures 15-22'!K86</f>
        <v>1317129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1317129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12249</v>
      </c>
      <c r="D7009" s="2" t="str">
        <f t="shared" si="108"/>
        <v>Error?</v>
      </c>
    </row>
    <row r="7010" spans="1:4" x14ac:dyDescent="0.2">
      <c r="A7010">
        <v>6949</v>
      </c>
      <c r="B7010" s="138">
        <f>'Expenditures 15-22'!K99</f>
        <v>12249</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12249</v>
      </c>
      <c r="D7012" s="2" t="str">
        <f t="shared" si="108"/>
        <v>Error?</v>
      </c>
    </row>
    <row r="7013" spans="1:4" x14ac:dyDescent="0.2">
      <c r="A7013">
        <v>6952</v>
      </c>
      <c r="B7013" s="138">
        <f>'Expenditures 15-22'!K100</f>
        <v>12249</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1007131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1694786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6201</v>
      </c>
      <c r="D7073" s="2" t="str">
        <f t="shared" si="109"/>
        <v>Error?</v>
      </c>
    </row>
    <row r="7074" spans="1:4" x14ac:dyDescent="0.2">
      <c r="A7074">
        <v>7013</v>
      </c>
      <c r="B7074" s="138">
        <f>'Expenditures 15-22'!K216</f>
        <v>6201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1617</v>
      </c>
      <c r="D7079" s="2" t="str">
        <f t="shared" si="109"/>
        <v>Error?</v>
      </c>
    </row>
    <row r="7080" spans="1:4" x14ac:dyDescent="0.2">
      <c r="A7080">
        <v>7019</v>
      </c>
      <c r="B7080" s="138">
        <f>'Expenditures 15-22'!K226</f>
        <v>1617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13468</v>
      </c>
      <c r="D7093" s="2" t="str">
        <f t="shared" si="109"/>
        <v>Error?</v>
      </c>
    </row>
    <row r="7094" spans="1:4" x14ac:dyDescent="0.2">
      <c r="A7094">
        <v>7033</v>
      </c>
      <c r="B7094" s="138">
        <f>'Expenditures 15-22'!K254</f>
        <v>13468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209585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209585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5695</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5695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207693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207693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412101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412101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144019</v>
      </c>
      <c r="D7172" s="2" t="str">
        <f t="shared" si="111"/>
        <v>Error?</v>
      </c>
    </row>
    <row r="7173" spans="1:4" x14ac:dyDescent="0.2">
      <c r="A7173">
        <v>7112</v>
      </c>
      <c r="B7173" s="138">
        <f>'Expenditures 15-22'!D325</f>
        <v>192</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144211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27846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27846</v>
      </c>
      <c r="D7198" s="2" t="str">
        <f t="shared" si="111"/>
        <v>Error?</v>
      </c>
    </row>
    <row r="7199" spans="1:4" x14ac:dyDescent="0.2">
      <c r="A7199">
        <v>7138</v>
      </c>
      <c r="B7199" s="138">
        <f>'Expenditures 15-22'!C330</f>
        <v>144019</v>
      </c>
      <c r="D7199" s="2" t="str">
        <f t="shared" si="111"/>
        <v>Error?</v>
      </c>
    </row>
    <row r="7200" spans="1:4" x14ac:dyDescent="0.2">
      <c r="A7200">
        <v>7139</v>
      </c>
      <c r="B7200" s="138">
        <f>'Expenditures 15-22'!D330</f>
        <v>192</v>
      </c>
      <c r="D7200" s="2" t="str">
        <f t="shared" si="111"/>
        <v>Error?</v>
      </c>
    </row>
    <row r="7201" spans="1:4" x14ac:dyDescent="0.2">
      <c r="A7201">
        <v>7140</v>
      </c>
      <c r="B7201" s="138">
        <f>'Expenditures 15-22'!E330</f>
        <v>857225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5695</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1007131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144019</v>
      </c>
      <c r="D7216" s="2" t="str">
        <f t="shared" si="111"/>
        <v>Error?</v>
      </c>
    </row>
    <row r="7217" spans="1:4" x14ac:dyDescent="0.2">
      <c r="A7217">
        <v>7156</v>
      </c>
      <c r="B7217" s="138">
        <f>'Expenditures 15-22'!D342</f>
        <v>192</v>
      </c>
      <c r="D7217" s="2" t="str">
        <f t="shared" si="111"/>
        <v>Error?</v>
      </c>
    </row>
    <row r="7218" spans="1:4" x14ac:dyDescent="0.2">
      <c r="A7218">
        <v>7157</v>
      </c>
      <c r="B7218" s="138">
        <f>'Expenditures 15-22'!E342</f>
        <v>857225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5695</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1007131</v>
      </c>
      <c r="D7224" s="2" t="str">
        <f t="shared" si="111"/>
        <v>Error?</v>
      </c>
    </row>
    <row r="7225" spans="1:4" x14ac:dyDescent="0.2">
      <c r="A7225">
        <v>7164</v>
      </c>
      <c r="B7225" s="138">
        <f>'Expenditures 15-22'!K343</f>
        <v>687655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10975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118143</v>
      </c>
      <c r="D7263" s="2" t="str">
        <f t="shared" si="112"/>
        <v>Error?</v>
      </c>
    </row>
    <row r="7264" spans="1:4" x14ac:dyDescent="0.2">
      <c r="A7264">
        <f t="shared" si="113"/>
        <v>7203</v>
      </c>
      <c r="B7264" s="138">
        <f>'Expenditures 15-22'!D17</f>
        <v>27191</v>
      </c>
      <c r="D7264" s="2" t="str">
        <f t="shared" si="112"/>
        <v>Error?</v>
      </c>
    </row>
    <row r="7265" spans="1:5" x14ac:dyDescent="0.2">
      <c r="A7265">
        <f t="shared" si="113"/>
        <v>7204</v>
      </c>
      <c r="B7265" s="138">
        <f>'Expenditures 15-22'!E17</f>
        <v>10782</v>
      </c>
      <c r="D7265" s="2" t="str">
        <f t="shared" si="112"/>
        <v>Error?</v>
      </c>
    </row>
    <row r="7266" spans="1:5" x14ac:dyDescent="0.2">
      <c r="A7266">
        <f t="shared" si="113"/>
        <v>7205</v>
      </c>
      <c r="B7266" s="138">
        <f>'Expenditures 15-22'!F17</f>
        <v>243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630824</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630824</v>
      </c>
      <c r="D7609" s="2" t="str">
        <f t="shared" si="122"/>
        <v>Error?</v>
      </c>
      <c r="E7609" s="2" t="s">
        <v>19</v>
      </c>
    </row>
    <row r="7610" spans="1:5" x14ac:dyDescent="0.2">
      <c r="A7610">
        <f t="shared" si="123"/>
        <v>7549</v>
      </c>
      <c r="B7610" s="138">
        <f>'Cap Outlay Deprec 26'!H9</f>
        <v>133531</v>
      </c>
      <c r="D7610" s="2" t="str">
        <f t="shared" si="122"/>
        <v>Error?</v>
      </c>
      <c r="E7610" s="2" t="s">
        <v>19</v>
      </c>
    </row>
    <row r="7611" spans="1:5" x14ac:dyDescent="0.2">
      <c r="A7611">
        <f t="shared" si="123"/>
        <v>7550</v>
      </c>
      <c r="B7611" s="138">
        <f>'Cap Outlay Deprec 26'!I9</f>
        <v>31541</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165072</v>
      </c>
      <c r="D7613" s="2" t="str">
        <f t="shared" si="122"/>
        <v>Error?</v>
      </c>
      <c r="E7613" s="2" t="s">
        <v>19</v>
      </c>
    </row>
    <row r="7614" spans="1:5" x14ac:dyDescent="0.2">
      <c r="A7614">
        <f t="shared" si="123"/>
        <v>7553</v>
      </c>
      <c r="B7614" s="138">
        <f>'Cap Outlay Deprec 26'!L9</f>
        <v>465752</v>
      </c>
      <c r="D7614" s="2" t="str">
        <f t="shared" si="122"/>
        <v>Error?</v>
      </c>
      <c r="E7614" s="2" t="s">
        <v>19</v>
      </c>
    </row>
    <row r="7615" spans="1:5" x14ac:dyDescent="0.2">
      <c r="A7615">
        <f t="shared" si="123"/>
        <v>7554</v>
      </c>
      <c r="B7615" s="138">
        <f>'Cap Outlay Deprec 26'!C14</f>
        <v>78152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78152</v>
      </c>
      <c r="D7618" s="2" t="str">
        <f t="shared" si="124"/>
        <v>Error?</v>
      </c>
      <c r="E7618" s="2" t="s">
        <v>19</v>
      </c>
    </row>
    <row r="7619" spans="1:5" x14ac:dyDescent="0.2">
      <c r="A7619">
        <f t="shared" si="123"/>
        <v>7558</v>
      </c>
      <c r="B7619" s="138">
        <f>'Cap Outlay Deprec 26'!H14</f>
        <v>74502</v>
      </c>
      <c r="D7619" s="2" t="str">
        <f t="shared" si="124"/>
        <v>Error?</v>
      </c>
      <c r="E7619" s="2" t="s">
        <v>19</v>
      </c>
    </row>
    <row r="7620" spans="1:5" x14ac:dyDescent="0.2">
      <c r="A7620">
        <f t="shared" si="123"/>
        <v>7559</v>
      </c>
      <c r="B7620" s="138">
        <f>'Cap Outlay Deprec 26'!I14</f>
        <v>3649</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78151</v>
      </c>
      <c r="D7622" s="2" t="str">
        <f t="shared" si="124"/>
        <v>Error?</v>
      </c>
      <c r="E7622" s="2" t="s">
        <v>19</v>
      </c>
    </row>
    <row r="7623" spans="1:5" x14ac:dyDescent="0.2">
      <c r="A7623">
        <f t="shared" si="123"/>
        <v>7562</v>
      </c>
      <c r="B7623" s="138">
        <f>'Cap Outlay Deprec 26'!L14</f>
        <v>1</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3798357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934394</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3065</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1400182</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1403247</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358311</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757080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299835</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299835</v>
      </c>
      <c r="D7727" s="2" t="str">
        <f t="shared" si="126"/>
        <v>Error?</v>
      </c>
      <c r="E7727" s="2" t="s">
        <v>826</v>
      </c>
    </row>
    <row r="7728" spans="1:6" x14ac:dyDescent="0.2">
      <c r="A7728">
        <v>7667</v>
      </c>
      <c r="B7728" s="138">
        <f>'Revenues 9-14'!E103</f>
        <v>857843</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1057665</v>
      </c>
      <c r="D7730" s="2" t="str">
        <f t="shared" si="126"/>
        <v>Error?</v>
      </c>
      <c r="E7730" s="2" t="s">
        <v>826</v>
      </c>
    </row>
    <row r="7731" spans="1:6" x14ac:dyDescent="0.2">
      <c r="A7731">
        <v>7670</v>
      </c>
      <c r="B7731" s="138">
        <f>'Revenues 9-14'!H103</f>
        <v>542339</v>
      </c>
      <c r="D7731" s="2" t="str">
        <f t="shared" si="126"/>
        <v>Error?</v>
      </c>
      <c r="E7731" s="2" t="s">
        <v>826</v>
      </c>
    </row>
    <row r="7732" spans="1:6" x14ac:dyDescent="0.2">
      <c r="A7732">
        <v>7671</v>
      </c>
      <c r="B7732" s="138">
        <f>'Rest Tax Levies-Tort Im 25'!J24</f>
        <v>1279976</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1279976</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198112</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750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36617</v>
      </c>
      <c r="D7797" s="2" t="str">
        <f t="shared" si="127"/>
        <v>Error?</v>
      </c>
      <c r="E7797" s="4" t="s">
        <v>1900</v>
      </c>
    </row>
    <row r="7798" spans="1:5" x14ac:dyDescent="0.2">
      <c r="A7798">
        <v>7737</v>
      </c>
      <c r="B7798" s="138">
        <f>'Contracts Paid in CY 29'!F141</f>
        <v>25000</v>
      </c>
      <c r="D7798" s="2" t="str">
        <f t="shared" si="127"/>
        <v>Error?</v>
      </c>
      <c r="E7798" s="4" t="s">
        <v>1900</v>
      </c>
    </row>
    <row r="7799" spans="1:5" x14ac:dyDescent="0.2">
      <c r="A7799">
        <v>7738</v>
      </c>
      <c r="B7799" s="138">
        <f>'Contracts Paid in CY 29'!G141</f>
        <v>11617</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523" t="s">
        <v>1190</v>
      </c>
      <c r="B2" s="2523"/>
      <c r="C2" s="2523"/>
      <c r="D2" s="2523"/>
      <c r="E2" s="2523"/>
      <c r="F2" s="2523"/>
      <c r="G2" s="2523"/>
      <c r="H2" s="2523"/>
      <c r="I2" s="2523"/>
      <c r="J2" s="2523"/>
      <c r="K2" s="2523"/>
      <c r="L2" s="2523"/>
    </row>
    <row r="3" spans="1:29" ht="13.5" customHeight="1" x14ac:dyDescent="0.2">
      <c r="A3" s="2509" t="s">
        <v>1189</v>
      </c>
      <c r="B3" s="2509"/>
      <c r="C3" s="2509"/>
      <c r="D3" s="2509"/>
      <c r="E3" s="2509"/>
      <c r="F3" s="2509"/>
      <c r="G3" s="2509"/>
      <c r="H3" s="2509"/>
      <c r="I3" s="2509"/>
      <c r="J3" s="2509"/>
      <c r="K3" s="2509"/>
      <c r="L3" s="2509"/>
    </row>
    <row r="4" spans="1:29" ht="13.5" customHeight="1" x14ac:dyDescent="0.2">
      <c r="A4" s="2523" t="s">
        <v>1985</v>
      </c>
      <c r="B4" s="2540"/>
      <c r="C4" s="2540"/>
      <c r="D4" s="2540"/>
      <c r="E4" s="2540"/>
      <c r="F4" s="2540"/>
      <c r="G4" s="2540"/>
      <c r="H4" s="2540"/>
      <c r="I4" s="2540"/>
      <c r="J4" s="2540"/>
      <c r="K4" s="2540"/>
      <c r="L4" s="2540"/>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1188</v>
      </c>
      <c r="B6" s="1182"/>
      <c r="C6" s="1183"/>
      <c r="D6" s="1183"/>
      <c r="E6" s="1184" t="s">
        <v>1187</v>
      </c>
      <c r="F6" s="1185"/>
      <c r="G6" s="1186" t="s">
        <v>1186</v>
      </c>
      <c r="H6" s="1183"/>
      <c r="I6" s="1183"/>
      <c r="J6" s="1183"/>
      <c r="K6" s="1183"/>
      <c r="L6" s="1187"/>
      <c r="V6" s="1180"/>
      <c r="W6" s="1180"/>
      <c r="X6" s="1180"/>
      <c r="Y6" s="1180"/>
      <c r="Z6" s="1180"/>
      <c r="AA6" s="1180"/>
      <c r="AB6" s="1180"/>
      <c r="AC6" s="1180"/>
    </row>
    <row r="7" spans="1:29" ht="16.5" customHeight="1" x14ac:dyDescent="0.2">
      <c r="A7" s="2503" t="str">
        <f>COVER!A17</f>
        <v>Dunlap CUSD 323</v>
      </c>
      <c r="B7" s="2504"/>
      <c r="C7" s="2504"/>
      <c r="D7" s="2541"/>
      <c r="E7" s="2542">
        <f>COVER!A13</f>
        <v>48072323026</v>
      </c>
      <c r="F7" s="2543"/>
      <c r="G7" s="2510" t="str">
        <f>COVER!T23</f>
        <v>066-005027</v>
      </c>
      <c r="H7" s="2511"/>
      <c r="I7" s="2511"/>
      <c r="J7" s="2511"/>
      <c r="K7" s="2511"/>
      <c r="L7" s="2512"/>
    </row>
    <row r="8" spans="1:29" ht="13.5" customHeight="1" x14ac:dyDescent="0.2">
      <c r="A8" s="1181" t="s">
        <v>1516</v>
      </c>
      <c r="B8" s="1182"/>
      <c r="C8" s="1183"/>
      <c r="D8" s="1183"/>
      <c r="E8" s="1188"/>
      <c r="F8" s="1187"/>
      <c r="G8" s="1189" t="s">
        <v>1185</v>
      </c>
      <c r="H8" s="1190"/>
      <c r="I8" s="1190"/>
      <c r="J8" s="1190"/>
      <c r="K8" s="1190"/>
      <c r="L8" s="1191"/>
    </row>
    <row r="9" spans="1:29" ht="13.5" customHeight="1" x14ac:dyDescent="0.2">
      <c r="A9" s="2513"/>
      <c r="B9" s="2514"/>
      <c r="C9" s="2514"/>
      <c r="D9" s="2514"/>
      <c r="E9" s="2514"/>
      <c r="F9" s="2515"/>
      <c r="G9" s="2516" t="str">
        <f>COVER!T13</f>
        <v>Gorenz and Associates, Ltd.</v>
      </c>
      <c r="H9" s="2517"/>
      <c r="I9" s="2517"/>
      <c r="J9" s="2517"/>
      <c r="K9" s="2517"/>
      <c r="L9" s="2518"/>
    </row>
    <row r="10" spans="1:29" ht="13.5" customHeight="1" x14ac:dyDescent="0.2">
      <c r="A10" s="2500" t="str">
        <f>COVER!A38</f>
        <v>Dr. Scott Dearman</v>
      </c>
      <c r="B10" s="2501"/>
      <c r="C10" s="2501"/>
      <c r="D10" s="2501"/>
      <c r="E10" s="2501"/>
      <c r="F10" s="2502"/>
      <c r="G10" s="2516" t="str">
        <f>COVER!T17</f>
        <v>4200 N Knoxville Ave</v>
      </c>
      <c r="H10" s="2529"/>
      <c r="I10" s="2529"/>
      <c r="J10" s="2529"/>
      <c r="K10" s="2529"/>
      <c r="L10" s="2530"/>
    </row>
    <row r="11" spans="1:29" ht="13.5" customHeight="1" x14ac:dyDescent="0.2">
      <c r="A11" s="1181" t="s">
        <v>1518</v>
      </c>
      <c r="B11" s="1182"/>
      <c r="C11" s="1183"/>
      <c r="D11" s="1188"/>
      <c r="E11" s="1183"/>
      <c r="F11" s="1187"/>
      <c r="G11" s="2516" t="str">
        <f>COVER!T19</f>
        <v>Peoria</v>
      </c>
      <c r="H11" s="2529"/>
      <c r="I11" s="2529"/>
      <c r="J11" s="2529"/>
      <c r="K11" s="2529"/>
      <c r="L11" s="2530"/>
    </row>
    <row r="12" spans="1:29" ht="13.5" customHeight="1" x14ac:dyDescent="0.2">
      <c r="A12" s="2534" t="s">
        <v>1517</v>
      </c>
      <c r="B12" s="2535"/>
      <c r="C12" s="2535"/>
      <c r="D12" s="2535"/>
      <c r="E12" s="2535"/>
      <c r="F12" s="2536"/>
      <c r="G12" s="2531"/>
      <c r="H12" s="2532"/>
      <c r="I12" s="2532"/>
      <c r="J12" s="2532"/>
      <c r="K12" s="2532"/>
      <c r="L12" s="2533"/>
    </row>
    <row r="13" spans="1:29" ht="13.5" customHeight="1" x14ac:dyDescent="0.2">
      <c r="A13" s="2516"/>
      <c r="B13" s="2529"/>
      <c r="C13" s="2529"/>
      <c r="D13" s="2529"/>
      <c r="E13" s="2529"/>
      <c r="F13" s="2530"/>
      <c r="G13" s="2524" t="s">
        <v>1519</v>
      </c>
      <c r="H13" s="2525"/>
      <c r="I13" s="2537" t="str">
        <f>COVER!T25</f>
        <v>rrumbold@gorenzcpa.com</v>
      </c>
      <c r="J13" s="2538"/>
      <c r="K13" s="2538"/>
      <c r="L13" s="2539"/>
    </row>
    <row r="14" spans="1:29" ht="13.5" customHeight="1" x14ac:dyDescent="0.2">
      <c r="A14" s="2516" t="str">
        <f>COVER!A19</f>
        <v>3020 Willow Knolls</v>
      </c>
      <c r="B14" s="2529"/>
      <c r="C14" s="2529"/>
      <c r="D14" s="2529"/>
      <c r="E14" s="2529"/>
      <c r="F14" s="2530"/>
      <c r="G14" s="1192" t="s">
        <v>1184</v>
      </c>
      <c r="H14" s="1190"/>
      <c r="I14" s="1190"/>
      <c r="J14" s="1190"/>
      <c r="K14" s="1190"/>
      <c r="L14" s="1191"/>
    </row>
    <row r="15" spans="1:29" ht="13.5" customHeight="1" x14ac:dyDescent="0.2">
      <c r="A15" s="2516" t="str">
        <f>COVER!A21</f>
        <v>Peoria, IL</v>
      </c>
      <c r="B15" s="2529"/>
      <c r="C15" s="2529"/>
      <c r="D15" s="2529"/>
      <c r="E15" s="2529"/>
      <c r="F15" s="2530"/>
      <c r="G15" s="2526" t="str">
        <f>COVER!T15</f>
        <v>Russel J. Rumbold II, CPA</v>
      </c>
      <c r="H15" s="2527"/>
      <c r="I15" s="2527"/>
      <c r="J15" s="2527"/>
      <c r="K15" s="2527"/>
      <c r="L15" s="2528"/>
    </row>
    <row r="16" spans="1:29" ht="12.2" customHeight="1" x14ac:dyDescent="0.2">
      <c r="A16" s="2506">
        <f>COVER!A25</f>
        <v>61614</v>
      </c>
      <c r="B16" s="2507"/>
      <c r="C16" s="2507"/>
      <c r="D16" s="2507"/>
      <c r="E16" s="2507"/>
      <c r="F16" s="2508"/>
      <c r="G16" s="2519"/>
      <c r="H16" s="2520"/>
      <c r="I16" s="2520"/>
      <c r="J16" s="2520"/>
      <c r="K16" s="2520"/>
      <c r="L16" s="2521"/>
    </row>
    <row r="17" spans="1:13" ht="12.2" customHeight="1" x14ac:dyDescent="0.2">
      <c r="A17" s="2522"/>
      <c r="B17" s="2507"/>
      <c r="C17" s="2507"/>
      <c r="D17" s="2507"/>
      <c r="E17" s="2507"/>
      <c r="F17" s="2508"/>
      <c r="G17" s="1192" t="s">
        <v>1183</v>
      </c>
      <c r="H17" s="1190"/>
      <c r="I17" s="1190"/>
      <c r="J17" s="1190"/>
      <c r="K17" s="1194" t="s">
        <v>1182</v>
      </c>
      <c r="L17" s="1187"/>
      <c r="M17" s="1180"/>
    </row>
    <row r="18" spans="1:13" ht="12.2" customHeight="1" x14ac:dyDescent="0.2">
      <c r="A18" s="2500"/>
      <c r="B18" s="2501"/>
      <c r="C18" s="2501"/>
      <c r="D18" s="2501"/>
      <c r="E18" s="2501"/>
      <c r="F18" s="2502"/>
      <c r="G18" s="2503" t="str">
        <f>COVER!T21</f>
        <v>309-685-7621</v>
      </c>
      <c r="H18" s="2504"/>
      <c r="I18" s="2504"/>
      <c r="J18" s="2504"/>
      <c r="K18" s="2503" t="str">
        <f>COVER!X21</f>
        <v>309-685-4758</v>
      </c>
      <c r="L18" s="2505"/>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1168</v>
      </c>
      <c r="K20" s="1173" t="s">
        <v>1168</v>
      </c>
    </row>
    <row r="21" spans="1:13" ht="12.2" customHeight="1" x14ac:dyDescent="0.2">
      <c r="A21" s="1196" t="s">
        <v>1697</v>
      </c>
    </row>
    <row r="22" spans="1:13" ht="12.2" customHeight="1" x14ac:dyDescent="0.2">
      <c r="A22" s="1197"/>
    </row>
    <row r="23" spans="1:13" ht="12.2" customHeight="1" x14ac:dyDescent="0.2">
      <c r="A23" s="1197"/>
      <c r="B23" s="1198" t="s">
        <v>2066</v>
      </c>
      <c r="C23" s="1199" t="s">
        <v>1181</v>
      </c>
    </row>
    <row r="24" spans="1:13" ht="10.15" customHeight="1" x14ac:dyDescent="0.2">
      <c r="A24" s="1197"/>
      <c r="C24" s="1199" t="s">
        <v>1180</v>
      </c>
    </row>
    <row r="25" spans="1:13" ht="9" customHeight="1" x14ac:dyDescent="0.2">
      <c r="B25" s="1200" t="s">
        <v>1168</v>
      </c>
      <c r="C25" s="1201"/>
    </row>
    <row r="26" spans="1:13" s="1195" customFormat="1" ht="12.2" customHeight="1" x14ac:dyDescent="0.2">
      <c r="B26" s="1198" t="s">
        <v>2066</v>
      </c>
      <c r="C26" s="1199" t="s">
        <v>1698</v>
      </c>
    </row>
    <row r="27" spans="1:13" s="1195" customFormat="1" ht="9" customHeight="1" x14ac:dyDescent="0.2">
      <c r="B27" s="1200"/>
      <c r="C27" s="1199"/>
    </row>
    <row r="28" spans="1:13" s="1195" customFormat="1" ht="12.2" customHeight="1" x14ac:dyDescent="0.2">
      <c r="A28" s="1202"/>
      <c r="B28" s="1198" t="s">
        <v>2066</v>
      </c>
      <c r="C28" s="1199" t="s">
        <v>1699</v>
      </c>
    </row>
    <row r="29" spans="1:13" s="1195" customFormat="1" ht="9" customHeight="1" x14ac:dyDescent="0.2">
      <c r="A29" s="1202"/>
      <c r="B29" s="1200"/>
      <c r="C29" s="1199"/>
    </row>
    <row r="30" spans="1:13" s="1195" customFormat="1" ht="12.2" customHeight="1" x14ac:dyDescent="0.2">
      <c r="B30" s="1198" t="s">
        <v>2066</v>
      </c>
      <c r="C30" s="1199" t="s">
        <v>1561</v>
      </c>
      <c r="D30" s="1193"/>
      <c r="E30" s="1193"/>
    </row>
    <row r="31" spans="1:13" s="1195" customFormat="1" ht="9" customHeight="1" x14ac:dyDescent="0.2">
      <c r="B31" s="1200"/>
      <c r="C31" s="1199"/>
      <c r="D31" s="1193"/>
      <c r="E31" s="1193"/>
    </row>
    <row r="32" spans="1:13" s="1195" customFormat="1" ht="12.2" customHeight="1" x14ac:dyDescent="0.2">
      <c r="B32" s="1198" t="s">
        <v>2066</v>
      </c>
      <c r="C32" s="1199" t="s">
        <v>1562</v>
      </c>
      <c r="D32" s="1193"/>
      <c r="E32" s="1193"/>
    </row>
    <row r="33" spans="1:8" s="1195" customFormat="1" ht="10.9" customHeight="1" x14ac:dyDescent="0.2">
      <c r="B33" s="1200"/>
      <c r="C33" s="1203" t="s">
        <v>1700</v>
      </c>
      <c r="D33" s="1193"/>
      <c r="E33" s="1193"/>
    </row>
    <row r="34" spans="1:8" ht="9" customHeight="1" x14ac:dyDescent="0.2">
      <c r="B34" s="1200"/>
      <c r="C34" s="1203"/>
    </row>
    <row r="35" spans="1:8" s="1195" customFormat="1" ht="13.5" customHeight="1" x14ac:dyDescent="0.2">
      <c r="B35" s="1198" t="s">
        <v>2066</v>
      </c>
      <c r="C35" s="1199" t="s">
        <v>1563</v>
      </c>
    </row>
    <row r="36" spans="1:8" s="1195" customFormat="1" ht="10.9" customHeight="1" x14ac:dyDescent="0.2">
      <c r="B36" s="1200"/>
      <c r="C36" s="1203" t="s">
        <v>1564</v>
      </c>
    </row>
    <row r="37" spans="1:8" ht="9" customHeight="1" x14ac:dyDescent="0.2">
      <c r="B37" s="1200"/>
      <c r="C37" s="1203"/>
    </row>
    <row r="38" spans="1:8" s="1195" customFormat="1" ht="12.2" customHeight="1" x14ac:dyDescent="0.2">
      <c r="B38" s="1198" t="s">
        <v>2066</v>
      </c>
      <c r="C38" s="1199" t="s">
        <v>1565</v>
      </c>
    </row>
    <row r="39" spans="1:8" ht="9" customHeight="1" x14ac:dyDescent="0.2">
      <c r="B39" s="1200"/>
      <c r="C39" s="1203"/>
    </row>
    <row r="40" spans="1:8" s="1195" customFormat="1" ht="13.5" customHeight="1" x14ac:dyDescent="0.2">
      <c r="B40" s="1198" t="s">
        <v>2066</v>
      </c>
      <c r="C40" s="1199" t="s">
        <v>1566</v>
      </c>
    </row>
    <row r="41" spans="1:8" ht="9" customHeight="1" x14ac:dyDescent="0.2">
      <c r="A41" s="1204"/>
      <c r="B41" s="1200"/>
      <c r="C41" s="1203"/>
    </row>
    <row r="42" spans="1:8" s="1195" customFormat="1" ht="13.5" customHeight="1" x14ac:dyDescent="0.2">
      <c r="B42" s="1198" t="s">
        <v>2066</v>
      </c>
      <c r="C42" s="1199" t="s">
        <v>1832</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1179</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1567</v>
      </c>
      <c r="D46" s="1193"/>
      <c r="E46" s="1193"/>
      <c r="F46" s="1193"/>
      <c r="G46" s="1193"/>
      <c r="H46" s="1193"/>
    </row>
    <row r="47" spans="1:8" ht="9" customHeight="1" x14ac:dyDescent="0.2"/>
    <row r="48" spans="1:8" ht="12.2" customHeight="1" x14ac:dyDescent="0.2">
      <c r="B48" s="1933"/>
      <c r="C48" s="1207" t="s">
        <v>1568</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544" t="str">
        <f>'Single Audit Cover'!A7</f>
        <v>Dunlap CUSD 323</v>
      </c>
      <c r="B1" s="2540"/>
      <c r="C1" s="2540"/>
      <c r="D1" s="2540"/>
    </row>
    <row r="2" spans="1:11" s="1209" customFormat="1" ht="12.75" x14ac:dyDescent="0.2">
      <c r="A2" s="2545">
        <f>'Single Audit Cover'!E7</f>
        <v>48072323026</v>
      </c>
      <c r="B2" s="2546"/>
      <c r="C2" s="2546"/>
      <c r="D2" s="2546"/>
    </row>
    <row r="3" spans="1:11" s="1209" customFormat="1" ht="12.75" x14ac:dyDescent="0.2">
      <c r="A3" s="2544" t="s">
        <v>1512</v>
      </c>
      <c r="B3" s="2540"/>
      <c r="C3" s="2540"/>
      <c r="D3" s="2540"/>
    </row>
    <row r="4" spans="1:11" s="1209" customFormat="1" ht="4.5" customHeight="1" x14ac:dyDescent="0.2">
      <c r="A4" s="1210"/>
      <c r="B4" s="1211"/>
      <c r="C4" s="1211"/>
      <c r="D4" s="1211"/>
    </row>
    <row r="5" spans="1:11" x14ac:dyDescent="0.2">
      <c r="B5" s="1213" t="s">
        <v>1513</v>
      </c>
      <c r="C5" s="1214"/>
      <c r="D5" s="1215"/>
    </row>
    <row r="6" spans="1:11" x14ac:dyDescent="0.2">
      <c r="B6" s="1213" t="s">
        <v>1224</v>
      </c>
      <c r="C6" s="1214"/>
      <c r="D6" s="1215"/>
    </row>
    <row r="7" spans="1:11" x14ac:dyDescent="0.2">
      <c r="B7" s="1213" t="s">
        <v>1514</v>
      </c>
      <c r="C7" s="1214"/>
      <c r="D7" s="1215"/>
    </row>
    <row r="8" spans="1:11" ht="4.5" customHeight="1" x14ac:dyDescent="0.2">
      <c r="B8" s="1213"/>
      <c r="C8" s="1214"/>
      <c r="D8" s="1215"/>
    </row>
    <row r="9" spans="1:11" x14ac:dyDescent="0.2">
      <c r="B9" s="1217" t="s">
        <v>1223</v>
      </c>
      <c r="C9" s="1218"/>
      <c r="D9" s="1215"/>
    </row>
    <row r="10" spans="1:11" ht="4.5" customHeight="1" x14ac:dyDescent="0.2">
      <c r="B10" s="1217"/>
      <c r="C10" s="1218"/>
      <c r="D10" s="1215"/>
    </row>
    <row r="11" spans="1:11" x14ac:dyDescent="0.2">
      <c r="B11" s="1219"/>
      <c r="C11" s="1220">
        <v>1</v>
      </c>
      <c r="D11" s="1221" t="s">
        <v>1701</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1702</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1703</v>
      </c>
      <c r="E15" s="1222"/>
      <c r="F15" s="1222"/>
      <c r="G15" s="1222"/>
      <c r="H15" s="1222"/>
      <c r="I15" s="1222"/>
      <c r="J15" s="1222"/>
      <c r="K15" s="1222"/>
    </row>
    <row r="16" spans="1:11" ht="10.5" customHeight="1" x14ac:dyDescent="0.2">
      <c r="B16" s="1225"/>
      <c r="D16" s="1224" t="s">
        <v>1222</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1704</v>
      </c>
      <c r="E18" s="1222"/>
      <c r="F18" s="1222"/>
      <c r="G18" s="1222"/>
      <c r="H18" s="1222"/>
      <c r="I18" s="1222"/>
      <c r="J18" s="1222"/>
      <c r="K18" s="1222"/>
    </row>
    <row r="19" spans="1:11" ht="9.75" customHeight="1" x14ac:dyDescent="0.2">
      <c r="A19" s="1216"/>
      <c r="B19" s="1225"/>
      <c r="D19" s="1224" t="s">
        <v>1221</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1220</v>
      </c>
      <c r="E21" s="1222"/>
      <c r="F21" s="1222"/>
      <c r="G21" s="1222"/>
      <c r="H21" s="1222"/>
      <c r="I21" s="1222"/>
      <c r="J21" s="1222"/>
      <c r="K21" s="1222"/>
    </row>
    <row r="22" spans="1:11" ht="10.5" customHeight="1" x14ac:dyDescent="0.2">
      <c r="A22" s="1216"/>
      <c r="B22" s="1225"/>
      <c r="D22" s="1224" t="s">
        <v>1219</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1725</v>
      </c>
      <c r="E24" s="1222"/>
      <c r="F24" s="1222"/>
      <c r="G24" s="1222"/>
      <c r="H24" s="1222"/>
      <c r="I24" s="1222"/>
      <c r="J24" s="1222"/>
      <c r="K24" s="1222"/>
    </row>
    <row r="25" spans="1:11" x14ac:dyDescent="0.2">
      <c r="A25" s="1216"/>
      <c r="B25" s="1225"/>
      <c r="D25" s="1224" t="s">
        <v>1705</v>
      </c>
      <c r="E25" s="1222"/>
      <c r="F25" s="1222"/>
      <c r="G25" s="1222"/>
      <c r="H25" s="1222"/>
      <c r="I25" s="1222"/>
      <c r="J25" s="1222"/>
      <c r="K25" s="1222"/>
    </row>
    <row r="26" spans="1:11" x14ac:dyDescent="0.2">
      <c r="A26" s="1216"/>
      <c r="B26" s="1225"/>
      <c r="D26" s="1229" t="s">
        <v>1706</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1569</v>
      </c>
      <c r="E28" s="1222"/>
      <c r="F28" s="1222"/>
      <c r="G28" s="1222"/>
      <c r="H28" s="1222"/>
      <c r="I28" s="1222"/>
      <c r="J28" s="1222"/>
      <c r="K28" s="1222"/>
    </row>
    <row r="29" spans="1:11" ht="10.5" customHeight="1" x14ac:dyDescent="0.2">
      <c r="A29" s="1216"/>
      <c r="D29" s="1230" t="s">
        <v>1570</v>
      </c>
    </row>
    <row r="30" spans="1:11" ht="6" customHeight="1" x14ac:dyDescent="0.2">
      <c r="A30" s="1216"/>
      <c r="D30" s="1215"/>
    </row>
    <row r="31" spans="1:11" x14ac:dyDescent="0.2">
      <c r="A31" s="1216"/>
      <c r="B31" s="1217" t="s">
        <v>1218</v>
      </c>
      <c r="C31" s="1218"/>
      <c r="D31" s="1215"/>
    </row>
    <row r="32" spans="1:11" ht="4.5" customHeight="1" x14ac:dyDescent="0.2">
      <c r="A32" s="1216"/>
      <c r="B32" s="1217"/>
      <c r="C32" s="1218"/>
      <c r="D32" s="1215"/>
    </row>
    <row r="33" spans="1:5" x14ac:dyDescent="0.2">
      <c r="A33" s="1216"/>
      <c r="B33" s="1219"/>
      <c r="C33" s="1220">
        <v>8</v>
      </c>
      <c r="D33" s="1231" t="s">
        <v>1217</v>
      </c>
    </row>
    <row r="34" spans="1:5" ht="10.5" customHeight="1" x14ac:dyDescent="0.2">
      <c r="A34" s="1216"/>
      <c r="B34" s="1232"/>
      <c r="C34" s="1220"/>
      <c r="D34" s="1231" t="s">
        <v>1571</v>
      </c>
    </row>
    <row r="35" spans="1:5" ht="3" customHeight="1" x14ac:dyDescent="0.2">
      <c r="A35" s="1216"/>
      <c r="B35" s="1225"/>
      <c r="D35" s="1215"/>
    </row>
    <row r="36" spans="1:5" x14ac:dyDescent="0.2">
      <c r="A36" s="1216"/>
      <c r="B36" s="1219"/>
      <c r="C36" s="1220">
        <f>C33+1</f>
        <v>9</v>
      </c>
      <c r="D36" s="1231" t="s">
        <v>1216</v>
      </c>
    </row>
    <row r="37" spans="1:5" ht="10.5" customHeight="1" x14ac:dyDescent="0.2">
      <c r="A37" s="1216"/>
      <c r="B37" s="1225"/>
      <c r="D37" s="1231" t="s">
        <v>1571</v>
      </c>
    </row>
    <row r="38" spans="1:5" ht="3" customHeight="1" x14ac:dyDescent="0.2">
      <c r="A38" s="1216"/>
      <c r="B38" s="1233"/>
      <c r="C38" s="1234"/>
      <c r="D38" s="1215"/>
    </row>
    <row r="39" spans="1:5" x14ac:dyDescent="0.2">
      <c r="A39" s="1216"/>
      <c r="B39" s="1235"/>
      <c r="C39" s="1226">
        <f>C36+1</f>
        <v>10</v>
      </c>
      <c r="D39" s="1215" t="s">
        <v>1215</v>
      </c>
    </row>
    <row r="40" spans="1:5" ht="10.5" customHeight="1" x14ac:dyDescent="0.2">
      <c r="A40" s="1216"/>
      <c r="B40" s="1236"/>
      <c r="C40" s="1234"/>
      <c r="D40" s="1215" t="s">
        <v>1572</v>
      </c>
    </row>
    <row r="41" spans="1:5" ht="3" customHeight="1" x14ac:dyDescent="0.2">
      <c r="A41" s="1216"/>
      <c r="B41" s="1233"/>
      <c r="C41" s="1234"/>
      <c r="D41" s="1215"/>
    </row>
    <row r="42" spans="1:5" ht="10.5" customHeight="1" x14ac:dyDescent="0.2">
      <c r="A42" s="1216"/>
      <c r="B42" s="1235"/>
      <c r="C42" s="1226">
        <v>11</v>
      </c>
      <c r="D42" s="1237" t="s">
        <v>1573</v>
      </c>
      <c r="E42" s="312"/>
    </row>
    <row r="43" spans="1:5" ht="3" customHeight="1" x14ac:dyDescent="0.2">
      <c r="A43" s="1216"/>
      <c r="B43" s="1233"/>
      <c r="C43" s="1234"/>
      <c r="D43" s="1215"/>
    </row>
    <row r="44" spans="1:5" x14ac:dyDescent="0.2">
      <c r="A44" s="1216"/>
      <c r="B44" s="1219"/>
      <c r="C44" s="1220">
        <f>C42+1</f>
        <v>12</v>
      </c>
      <c r="D44" s="1231" t="s">
        <v>1214</v>
      </c>
    </row>
    <row r="45" spans="1:5" ht="10.5" customHeight="1" x14ac:dyDescent="0.2">
      <c r="A45" s="1216"/>
      <c r="B45" s="1232"/>
      <c r="C45" s="1220"/>
      <c r="D45" s="1231" t="s">
        <v>1213</v>
      </c>
    </row>
    <row r="46" spans="1:5" ht="10.5" customHeight="1" x14ac:dyDescent="0.2">
      <c r="A46" s="1216"/>
      <c r="B46" s="1233"/>
      <c r="C46" s="1234"/>
      <c r="D46" s="1231" t="s">
        <v>1212</v>
      </c>
    </row>
    <row r="47" spans="1:5" ht="3" customHeight="1" x14ac:dyDescent="0.2">
      <c r="A47" s="1216"/>
      <c r="B47" s="1233"/>
      <c r="C47" s="1234"/>
      <c r="D47" s="1231"/>
    </row>
    <row r="48" spans="1:5" x14ac:dyDescent="0.2">
      <c r="A48" s="1216"/>
      <c r="B48" s="1219"/>
      <c r="C48" s="1220">
        <f>C44+1</f>
        <v>13</v>
      </c>
      <c r="D48" s="1231" t="s">
        <v>1574</v>
      </c>
    </row>
    <row r="49" spans="1:4" ht="3" customHeight="1" x14ac:dyDescent="0.2">
      <c r="A49" s="1216"/>
      <c r="B49" s="1223"/>
      <c r="C49" s="1220"/>
      <c r="D49" s="1231"/>
    </row>
    <row r="50" spans="1:4" x14ac:dyDescent="0.2">
      <c r="A50" s="1216"/>
      <c r="B50" s="1219"/>
      <c r="C50" s="1220">
        <f>C48+1</f>
        <v>14</v>
      </c>
      <c r="D50" s="1231" t="s">
        <v>1211</v>
      </c>
    </row>
    <row r="51" spans="1:4" ht="3" customHeight="1" x14ac:dyDescent="0.2">
      <c r="A51" s="1216"/>
      <c r="B51" s="1223"/>
      <c r="C51" s="1220"/>
      <c r="D51" s="1231"/>
    </row>
    <row r="52" spans="1:4" x14ac:dyDescent="0.2">
      <c r="A52" s="1216"/>
      <c r="B52" s="1219"/>
      <c r="C52" s="1220">
        <f>C50+1</f>
        <v>15</v>
      </c>
      <c r="D52" s="1231" t="s">
        <v>1210</v>
      </c>
    </row>
    <row r="53" spans="1:4" ht="3" customHeight="1" x14ac:dyDescent="0.2">
      <c r="A53" s="1216"/>
      <c r="B53" s="1223"/>
      <c r="C53" s="1220"/>
      <c r="D53" s="1231"/>
    </row>
    <row r="54" spans="1:4" x14ac:dyDescent="0.2">
      <c r="A54" s="1216"/>
      <c r="B54" s="1219"/>
      <c r="C54" s="1220">
        <f>C52+1</f>
        <v>16</v>
      </c>
      <c r="D54" s="1231" t="s">
        <v>1209</v>
      </c>
    </row>
    <row r="55" spans="1:4" ht="3" customHeight="1" x14ac:dyDescent="0.2">
      <c r="A55" s="1216"/>
      <c r="B55" s="1223"/>
      <c r="C55" s="1220"/>
      <c r="D55" s="1231"/>
    </row>
    <row r="56" spans="1:4" x14ac:dyDescent="0.2">
      <c r="A56" s="1216"/>
      <c r="B56" s="1219"/>
      <c r="C56" s="1220">
        <f>C54+1</f>
        <v>17</v>
      </c>
      <c r="D56" s="1215" t="s">
        <v>1707</v>
      </c>
    </row>
    <row r="57" spans="1:4" ht="10.5" customHeight="1" x14ac:dyDescent="0.2">
      <c r="A57" s="1216"/>
      <c r="D57" s="1231" t="s">
        <v>1708</v>
      </c>
    </row>
    <row r="58" spans="1:4" x14ac:dyDescent="0.2">
      <c r="A58" s="1216"/>
      <c r="C58" s="1238"/>
      <c r="D58" s="1231" t="s">
        <v>1709</v>
      </c>
    </row>
    <row r="59" spans="1:4" ht="10.5" customHeight="1" x14ac:dyDescent="0.2">
      <c r="A59" s="1216"/>
      <c r="D59" s="1215" t="s">
        <v>1208</v>
      </c>
    </row>
    <row r="60" spans="1:4" ht="10.5" customHeight="1" x14ac:dyDescent="0.2">
      <c r="A60" s="1216"/>
      <c r="D60" s="1239" t="s">
        <v>1598</v>
      </c>
    </row>
    <row r="61" spans="1:4" ht="10.5" customHeight="1" x14ac:dyDescent="0.2">
      <c r="A61" s="1216"/>
      <c r="C61" s="1238"/>
      <c r="D61" s="1231" t="s">
        <v>1710</v>
      </c>
    </row>
    <row r="62" spans="1:4" ht="10.5" customHeight="1" x14ac:dyDescent="0.2">
      <c r="A62" s="1216"/>
      <c r="D62" s="1240" t="s">
        <v>1207</v>
      </c>
    </row>
    <row r="63" spans="1:4" ht="10.5" customHeight="1" x14ac:dyDescent="0.2">
      <c r="A63" s="1216"/>
      <c r="D63" s="1215" t="s">
        <v>1575</v>
      </c>
    </row>
    <row r="64" spans="1:4" ht="10.5" customHeight="1" x14ac:dyDescent="0.2">
      <c r="A64" s="1216"/>
      <c r="D64" s="1239" t="s">
        <v>1597</v>
      </c>
    </row>
    <row r="65" spans="1:4" x14ac:dyDescent="0.2">
      <c r="A65" s="1216"/>
      <c r="C65" s="1238"/>
      <c r="D65" s="1231" t="s">
        <v>1711</v>
      </c>
    </row>
    <row r="66" spans="1:4" ht="10.5" customHeight="1" x14ac:dyDescent="0.2">
      <c r="A66" s="1216"/>
      <c r="D66" s="1241" t="s">
        <v>1206</v>
      </c>
    </row>
    <row r="67" spans="1:4" ht="10.5" customHeight="1" x14ac:dyDescent="0.2">
      <c r="A67" s="1216"/>
      <c r="D67" s="1215" t="s">
        <v>1576</v>
      </c>
    </row>
    <row r="68" spans="1:4" ht="10.5" customHeight="1" x14ac:dyDescent="0.2">
      <c r="A68" s="1216"/>
      <c r="D68" s="1239" t="s">
        <v>1597</v>
      </c>
    </row>
    <row r="69" spans="1:4" ht="10.5" customHeight="1" x14ac:dyDescent="0.2">
      <c r="A69" s="1216"/>
      <c r="C69" s="1238"/>
      <c r="D69" s="1231" t="s">
        <v>1712</v>
      </c>
    </row>
    <row r="70" spans="1:4" x14ac:dyDescent="0.2">
      <c r="A70" s="1216"/>
      <c r="D70" s="1240" t="s">
        <v>1205</v>
      </c>
    </row>
    <row r="71" spans="1:4" ht="3" customHeight="1" x14ac:dyDescent="0.2">
      <c r="A71" s="1216"/>
      <c r="D71" s="1215"/>
    </row>
    <row r="72" spans="1:4" x14ac:dyDescent="0.2">
      <c r="A72" s="1216"/>
      <c r="B72" s="1219"/>
      <c r="C72" s="1220">
        <f>C56+1</f>
        <v>18</v>
      </c>
      <c r="D72" s="1241" t="s">
        <v>1713</v>
      </c>
    </row>
    <row r="73" spans="1:4" ht="3" customHeight="1" x14ac:dyDescent="0.2">
      <c r="A73" s="1216"/>
      <c r="B73" s="1223"/>
      <c r="C73" s="1220"/>
      <c r="D73" s="1241"/>
    </row>
    <row r="74" spans="1:4" x14ac:dyDescent="0.2">
      <c r="A74" s="1216"/>
      <c r="B74" s="1219"/>
      <c r="C74" s="1220">
        <f>C72+1</f>
        <v>19</v>
      </c>
      <c r="D74" s="1231" t="s">
        <v>1204</v>
      </c>
    </row>
    <row r="75" spans="1:4" ht="3" customHeight="1" x14ac:dyDescent="0.2">
      <c r="A75" s="1216"/>
      <c r="B75" s="1223"/>
      <c r="C75" s="1220"/>
      <c r="D75" s="1231"/>
    </row>
    <row r="76" spans="1:4" x14ac:dyDescent="0.2">
      <c r="A76" s="1216"/>
      <c r="B76" s="1219"/>
      <c r="C76" s="1220">
        <f>C74+1</f>
        <v>20</v>
      </c>
      <c r="D76" s="1242" t="s">
        <v>1714</v>
      </c>
    </row>
    <row r="77" spans="1:4" ht="3" customHeight="1" x14ac:dyDescent="0.2">
      <c r="A77" s="1216"/>
      <c r="B77" s="1223"/>
      <c r="C77" s="1220"/>
      <c r="D77" s="1242"/>
    </row>
    <row r="78" spans="1:4" x14ac:dyDescent="0.2">
      <c r="A78" s="1216"/>
      <c r="B78" s="1219"/>
      <c r="C78" s="1220">
        <f>C76+1</f>
        <v>21</v>
      </c>
      <c r="D78" s="1215" t="s">
        <v>1715</v>
      </c>
    </row>
    <row r="79" spans="1:4" ht="3" customHeight="1" x14ac:dyDescent="0.2">
      <c r="A79" s="1216"/>
      <c r="B79" s="1223"/>
      <c r="C79" s="1220"/>
      <c r="D79" s="1215"/>
    </row>
    <row r="80" spans="1:4" x14ac:dyDescent="0.2">
      <c r="A80" s="1216"/>
      <c r="B80" s="1219"/>
      <c r="C80" s="1220">
        <f>C78+1</f>
        <v>22</v>
      </c>
      <c r="D80" s="1243" t="s">
        <v>1716</v>
      </c>
    </row>
    <row r="81" spans="1:4" ht="3" customHeight="1" x14ac:dyDescent="0.2">
      <c r="A81" s="1216"/>
      <c r="B81" s="1223"/>
      <c r="C81" s="1220"/>
      <c r="D81" s="1243"/>
    </row>
    <row r="82" spans="1:4" x14ac:dyDescent="0.2">
      <c r="A82" s="1216"/>
      <c r="B82" s="1219"/>
      <c r="C82" s="1220">
        <f>C80+1</f>
        <v>23</v>
      </c>
      <c r="D82" s="1242" t="s">
        <v>1717</v>
      </c>
    </row>
    <row r="83" spans="1:4" ht="10.5" customHeight="1" x14ac:dyDescent="0.2">
      <c r="A83" s="1216"/>
      <c r="B83" s="1225"/>
      <c r="D83" s="1231" t="s">
        <v>1203</v>
      </c>
    </row>
    <row r="84" spans="1:4" ht="3" customHeight="1" x14ac:dyDescent="0.2">
      <c r="A84" s="1216"/>
      <c r="B84" s="1225"/>
      <c r="D84" s="1231"/>
    </row>
    <row r="85" spans="1:4" x14ac:dyDescent="0.2">
      <c r="A85" s="1216"/>
      <c r="B85" s="1219"/>
      <c r="C85" s="1220">
        <f>C82+1</f>
        <v>24</v>
      </c>
      <c r="D85" s="1231" t="s">
        <v>1202</v>
      </c>
    </row>
    <row r="86" spans="1:4" ht="3" customHeight="1" x14ac:dyDescent="0.2">
      <c r="A86" s="1216"/>
      <c r="B86" s="1223"/>
      <c r="C86" s="1220"/>
      <c r="D86" s="1231"/>
    </row>
    <row r="87" spans="1:4" x14ac:dyDescent="0.2">
      <c r="A87" s="1216"/>
      <c r="B87" s="1219"/>
      <c r="C87" s="1220">
        <f>C85+1</f>
        <v>25</v>
      </c>
      <c r="D87" s="1231" t="s">
        <v>1201</v>
      </c>
    </row>
    <row r="88" spans="1:4" ht="3" customHeight="1" x14ac:dyDescent="0.2">
      <c r="A88" s="1216"/>
      <c r="B88" s="1223"/>
      <c r="C88" s="1220"/>
      <c r="D88" s="1231"/>
    </row>
    <row r="89" spans="1:4" x14ac:dyDescent="0.2">
      <c r="A89" s="1216"/>
      <c r="B89" s="1219"/>
      <c r="C89" s="1220">
        <f>C87+1</f>
        <v>26</v>
      </c>
      <c r="D89" s="1231" t="s">
        <v>1200</v>
      </c>
    </row>
    <row r="90" spans="1:4" ht="3" customHeight="1" x14ac:dyDescent="0.2">
      <c r="A90" s="1216"/>
      <c r="B90" s="1223"/>
      <c r="C90" s="1220"/>
      <c r="D90" s="1231"/>
    </row>
    <row r="91" spans="1:4" x14ac:dyDescent="0.2">
      <c r="A91" s="1216"/>
      <c r="B91" s="1219"/>
      <c r="C91" s="1220">
        <f>C89+1</f>
        <v>27</v>
      </c>
      <c r="D91" s="1231" t="s">
        <v>1718</v>
      </c>
    </row>
    <row r="92" spans="1:4" x14ac:dyDescent="0.2">
      <c r="A92" s="1216"/>
      <c r="B92" s="1244"/>
      <c r="C92" s="1238"/>
      <c r="D92" s="1231" t="s">
        <v>1199</v>
      </c>
    </row>
    <row r="93" spans="1:4" ht="4.5" customHeight="1" x14ac:dyDescent="0.2">
      <c r="A93" s="1216"/>
      <c r="D93" s="1215"/>
    </row>
    <row r="94" spans="1:4" x14ac:dyDescent="0.2">
      <c r="A94" s="1216"/>
      <c r="B94" s="1217" t="s">
        <v>1577</v>
      </c>
      <c r="C94" s="1218"/>
      <c r="D94" s="1215"/>
    </row>
    <row r="95" spans="1:4" ht="4.5" customHeight="1" x14ac:dyDescent="0.2">
      <c r="A95" s="1216"/>
      <c r="B95" s="1217"/>
      <c r="C95" s="1218"/>
      <c r="D95" s="1215"/>
    </row>
    <row r="96" spans="1:4" x14ac:dyDescent="0.2">
      <c r="A96" s="1216"/>
      <c r="B96" s="1219"/>
      <c r="C96" s="1220">
        <f>C91+1</f>
        <v>28</v>
      </c>
      <c r="D96" s="1231" t="s">
        <v>1719</v>
      </c>
    </row>
    <row r="97" spans="1:4" ht="3" customHeight="1" x14ac:dyDescent="0.2">
      <c r="A97" s="1216"/>
      <c r="B97" s="1223"/>
      <c r="C97" s="1220"/>
      <c r="D97" s="1231"/>
    </row>
    <row r="98" spans="1:4" x14ac:dyDescent="0.2">
      <c r="A98" s="1216"/>
      <c r="B98" s="1219"/>
      <c r="C98" s="1220">
        <f>C96+1</f>
        <v>29</v>
      </c>
      <c r="D98" s="1245" t="s">
        <v>1720</v>
      </c>
    </row>
    <row r="99" spans="1:4" ht="3" customHeight="1" x14ac:dyDescent="0.2">
      <c r="A99" s="1216"/>
      <c r="B99" s="1223"/>
      <c r="C99" s="1220"/>
      <c r="D99" s="1245"/>
    </row>
    <row r="100" spans="1:4" x14ac:dyDescent="0.2">
      <c r="A100" s="1216"/>
      <c r="B100" s="1219"/>
      <c r="C100" s="1220">
        <f>C98+1</f>
        <v>30</v>
      </c>
      <c r="D100" s="1231" t="s">
        <v>1721</v>
      </c>
    </row>
    <row r="101" spans="1:4" ht="3" customHeight="1" x14ac:dyDescent="0.2">
      <c r="A101" s="1216"/>
      <c r="B101" s="1223"/>
      <c r="C101" s="1220"/>
      <c r="D101" s="1246"/>
    </row>
    <row r="102" spans="1:4" x14ac:dyDescent="0.2">
      <c r="A102" s="1216"/>
      <c r="B102" s="1219"/>
      <c r="C102" s="1220">
        <f>C100+1</f>
        <v>31</v>
      </c>
      <c r="D102" s="1231" t="s">
        <v>1578</v>
      </c>
    </row>
    <row r="103" spans="1:4" ht="4.5" customHeight="1" x14ac:dyDescent="0.2">
      <c r="A103" s="1216"/>
      <c r="B103" s="312"/>
      <c r="C103" s="1220"/>
      <c r="D103" s="1231"/>
    </row>
    <row r="104" spans="1:4" ht="14.1" customHeight="1" x14ac:dyDescent="0.2">
      <c r="A104" s="1216"/>
      <c r="B104" s="1247" t="s">
        <v>1198</v>
      </c>
    </row>
    <row r="105" spans="1:4" ht="4.5" customHeight="1" x14ac:dyDescent="0.2">
      <c r="A105" s="1216"/>
      <c r="B105" s="1247"/>
    </row>
    <row r="106" spans="1:4" x14ac:dyDescent="0.2">
      <c r="A106" s="1216"/>
      <c r="B106" s="1219"/>
      <c r="C106" s="1220">
        <f>C102+1</f>
        <v>32</v>
      </c>
      <c r="D106" s="1215" t="s">
        <v>1579</v>
      </c>
    </row>
    <row r="107" spans="1:4" ht="3" customHeight="1" x14ac:dyDescent="0.2">
      <c r="A107" s="1216"/>
      <c r="B107" s="1223"/>
      <c r="C107" s="1220"/>
      <c r="D107" s="1215"/>
    </row>
    <row r="108" spans="1:4" x14ac:dyDescent="0.2">
      <c r="A108" s="1216"/>
      <c r="B108" s="1219"/>
      <c r="C108" s="1220">
        <v>33</v>
      </c>
      <c r="D108" s="1215" t="s">
        <v>1722</v>
      </c>
    </row>
    <row r="109" spans="1:4" ht="3" customHeight="1" x14ac:dyDescent="0.2">
      <c r="A109" s="1216"/>
      <c r="B109" s="1223"/>
      <c r="C109" s="1220"/>
      <c r="D109" s="1215"/>
    </row>
    <row r="110" spans="1:4" x14ac:dyDescent="0.2">
      <c r="A110" s="1216"/>
      <c r="B110" s="1219"/>
      <c r="C110" s="1220">
        <f>C108+1</f>
        <v>34</v>
      </c>
      <c r="D110" s="1215" t="s">
        <v>1197</v>
      </c>
    </row>
    <row r="111" spans="1:4" ht="3" customHeight="1" x14ac:dyDescent="0.2">
      <c r="A111" s="1216"/>
      <c r="B111" s="1223"/>
      <c r="C111" s="1220"/>
      <c r="D111" s="1215"/>
    </row>
    <row r="112" spans="1:4" x14ac:dyDescent="0.2">
      <c r="A112" s="1216"/>
      <c r="B112" s="1219"/>
      <c r="C112" s="1220">
        <f>C110+1</f>
        <v>35</v>
      </c>
      <c r="D112" s="1215" t="s">
        <v>1196</v>
      </c>
    </row>
    <row r="113" spans="1:4" ht="11.25" customHeight="1" x14ac:dyDescent="0.2">
      <c r="A113" s="1216"/>
      <c r="B113" s="1248"/>
      <c r="C113" s="1220"/>
      <c r="D113" s="1249" t="s">
        <v>1195</v>
      </c>
    </row>
    <row r="114" spans="1:4" ht="3" customHeight="1" x14ac:dyDescent="0.2">
      <c r="A114" s="1216"/>
      <c r="B114" s="1250"/>
      <c r="C114" s="1220"/>
      <c r="D114" s="1249"/>
    </row>
    <row r="115" spans="1:4" x14ac:dyDescent="0.2">
      <c r="A115" s="1216"/>
      <c r="B115" s="1219"/>
      <c r="C115" s="1220">
        <f>C112+1</f>
        <v>36</v>
      </c>
      <c r="D115" s="1231" t="s">
        <v>1194</v>
      </c>
    </row>
    <row r="116" spans="1:4" ht="3" customHeight="1" x14ac:dyDescent="0.2">
      <c r="A116" s="1216"/>
      <c r="B116" s="1223"/>
      <c r="C116" s="1220"/>
      <c r="D116" s="1231"/>
    </row>
    <row r="117" spans="1:4" x14ac:dyDescent="0.2">
      <c r="A117" s="1216"/>
      <c r="B117" s="1219"/>
      <c r="C117" s="1220">
        <f>C115+1</f>
        <v>37</v>
      </c>
      <c r="D117" s="1231" t="s">
        <v>1723</v>
      </c>
    </row>
    <row r="118" spans="1:4" ht="3" customHeight="1" x14ac:dyDescent="0.2">
      <c r="A118" s="1216"/>
      <c r="B118" s="1223"/>
      <c r="C118" s="1220"/>
      <c r="D118" s="1231"/>
    </row>
    <row r="119" spans="1:4" x14ac:dyDescent="0.2">
      <c r="A119" s="1216"/>
      <c r="B119" s="1219"/>
      <c r="C119" s="1220">
        <f>C117+1</f>
        <v>38</v>
      </c>
      <c r="D119" s="1231" t="s">
        <v>1724</v>
      </c>
    </row>
    <row r="120" spans="1:4" ht="10.5" customHeight="1" x14ac:dyDescent="0.2">
      <c r="A120" s="1216"/>
      <c r="B120" s="1244"/>
      <c r="C120" s="1220"/>
      <c r="D120" s="1231" t="s">
        <v>1193</v>
      </c>
    </row>
    <row r="121" spans="1:4" ht="10.5" customHeight="1" x14ac:dyDescent="0.2">
      <c r="A121" s="1216"/>
      <c r="B121" s="1244"/>
      <c r="C121" s="1220"/>
      <c r="D121" s="1231" t="s">
        <v>1192</v>
      </c>
    </row>
    <row r="122" spans="1:4" ht="3" customHeight="1" x14ac:dyDescent="0.2">
      <c r="A122" s="1216"/>
      <c r="B122" s="1244"/>
      <c r="C122" s="1220"/>
      <c r="D122" s="1231"/>
    </row>
    <row r="123" spans="1:4" x14ac:dyDescent="0.2">
      <c r="A123" s="1216"/>
      <c r="B123" s="1219"/>
      <c r="C123" s="1220">
        <f>C119+1</f>
        <v>39</v>
      </c>
      <c r="D123" s="1241" t="s">
        <v>1833</v>
      </c>
    </row>
    <row r="124" spans="1:4" x14ac:dyDescent="0.2">
      <c r="A124" s="1216"/>
      <c r="B124" s="312"/>
      <c r="C124" s="1220"/>
      <c r="D124" s="1231" t="s">
        <v>1191</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548" t="str">
        <f>'Single Audit Cover'!A7</f>
        <v>Dunlap CUSD 323</v>
      </c>
      <c r="B1" s="2548"/>
      <c r="C1" s="2548"/>
      <c r="D1" s="2548"/>
      <c r="E1" s="2548"/>
    </row>
    <row r="2" spans="1:5" x14ac:dyDescent="0.2">
      <c r="A2" s="2549">
        <f>'Single Audit Cover'!E7</f>
        <v>48072323026</v>
      </c>
      <c r="B2" s="2549"/>
      <c r="C2" s="2549"/>
      <c r="D2" s="2549"/>
      <c r="E2" s="2549"/>
    </row>
    <row r="3" spans="1:5" ht="4.5" customHeight="1" x14ac:dyDescent="0.2"/>
    <row r="4" spans="1:5" x14ac:dyDescent="0.2">
      <c r="A4" s="2548" t="s">
        <v>1244</v>
      </c>
      <c r="B4" s="2548"/>
      <c r="C4" s="2548"/>
      <c r="D4" s="2548"/>
      <c r="E4" s="2548"/>
    </row>
    <row r="5" spans="1:5" x14ac:dyDescent="0.2">
      <c r="A5" s="2551" t="str">
        <f>'Single Audit Cover'!A4</f>
        <v>Year Ending June 30, 2019</v>
      </c>
      <c r="B5" s="2551"/>
      <c r="C5" s="2551"/>
      <c r="D5" s="2551"/>
      <c r="E5" s="2551"/>
    </row>
    <row r="6" spans="1:5" x14ac:dyDescent="0.2">
      <c r="A6" s="2548" t="s">
        <v>1243</v>
      </c>
      <c r="B6" s="2548"/>
      <c r="C6" s="2548"/>
      <c r="D6" s="2548"/>
      <c r="E6" s="2548"/>
    </row>
    <row r="8" spans="1:5" x14ac:dyDescent="0.2">
      <c r="A8" s="1254" t="s">
        <v>1242</v>
      </c>
    </row>
    <row r="10" spans="1:5" x14ac:dyDescent="0.2">
      <c r="A10" s="1255" t="s">
        <v>1241</v>
      </c>
      <c r="B10" s="1256" t="s">
        <v>1240</v>
      </c>
      <c r="C10" s="1256"/>
      <c r="D10" s="1257">
        <f>SUM('Acct Summary 7-8'!C7:K7)</f>
        <v>1339853</v>
      </c>
    </row>
    <row r="11" spans="1:5" ht="18" customHeight="1" x14ac:dyDescent="0.2">
      <c r="A11" s="1255" t="s">
        <v>1239</v>
      </c>
      <c r="B11" s="1256"/>
      <c r="C11" s="1256"/>
    </row>
    <row r="12" spans="1:5" x14ac:dyDescent="0.2">
      <c r="A12" s="1255" t="s">
        <v>1238</v>
      </c>
      <c r="B12" s="1256" t="s">
        <v>1237</v>
      </c>
      <c r="C12" s="1256"/>
      <c r="D12" s="1258">
        <f>SUM('Revenues 9-14'!C112:D112,'Revenues 9-14'!F112:G112)</f>
        <v>0</v>
      </c>
    </row>
    <row r="13" spans="1:5" x14ac:dyDescent="0.2">
      <c r="A13" s="1255" t="s">
        <v>1236</v>
      </c>
      <c r="B13" s="1256"/>
      <c r="C13" s="1256"/>
    </row>
    <row r="14" spans="1:5" x14ac:dyDescent="0.2">
      <c r="A14" s="1255" t="s">
        <v>1726</v>
      </c>
      <c r="B14" s="1256"/>
      <c r="C14" s="1256"/>
      <c r="D14" s="1258">
        <f>'ICR Computation 30'!E11</f>
        <v>114858</v>
      </c>
    </row>
    <row r="15" spans="1:5" x14ac:dyDescent="0.2">
      <c r="A15" s="1255"/>
      <c r="B15" s="1256"/>
      <c r="C15" s="1256"/>
    </row>
    <row r="16" spans="1:5" x14ac:dyDescent="0.2">
      <c r="A16" s="1255" t="s">
        <v>1840</v>
      </c>
      <c r="B16" s="1256"/>
      <c r="C16" s="1256"/>
    </row>
    <row r="17" spans="1:4" x14ac:dyDescent="0.2">
      <c r="A17" s="1255" t="s">
        <v>2057</v>
      </c>
      <c r="B17" s="1256" t="s">
        <v>1235</v>
      </c>
      <c r="C17" s="1256"/>
      <c r="D17" s="1258">
        <f>-SUM('Revenues 9-14'!C264:D264,'Revenues 9-14'!F264:G264)</f>
        <v>-150350</v>
      </c>
    </row>
    <row r="19" spans="1:4" ht="13.5" thickBot="1" x14ac:dyDescent="0.25">
      <c r="A19" s="1259" t="s">
        <v>1234</v>
      </c>
      <c r="D19" s="1260">
        <f>SUM(D10:D17)</f>
        <v>1304361</v>
      </c>
    </row>
    <row r="20" spans="1:4" ht="21.75" customHeight="1" thickTop="1" x14ac:dyDescent="0.2"/>
    <row r="21" spans="1:4" x14ac:dyDescent="0.2">
      <c r="A21" s="1254" t="s">
        <v>1233</v>
      </c>
    </row>
    <row r="22" spans="1:4" ht="8.25" customHeight="1" x14ac:dyDescent="0.2"/>
    <row r="23" spans="1:4" x14ac:dyDescent="0.2">
      <c r="A23" s="1261" t="s">
        <v>1227</v>
      </c>
    </row>
    <row r="24" spans="1:4" x14ac:dyDescent="0.2">
      <c r="A24" s="2550"/>
      <c r="B24" s="2550"/>
      <c r="D24" s="1262"/>
    </row>
    <row r="25" spans="1:4" x14ac:dyDescent="0.2">
      <c r="A25" s="2547" t="s">
        <v>2218</v>
      </c>
      <c r="B25" s="2547"/>
      <c r="D25" s="1262">
        <v>-114858</v>
      </c>
    </row>
    <row r="26" spans="1:4" x14ac:dyDescent="0.2">
      <c r="A26" s="2547"/>
      <c r="B26" s="2547"/>
      <c r="D26" s="1262"/>
    </row>
    <row r="27" spans="1:4" x14ac:dyDescent="0.2">
      <c r="A27" s="2547" t="s">
        <v>2219</v>
      </c>
      <c r="B27" s="2547"/>
      <c r="D27" s="1262">
        <v>-198112</v>
      </c>
    </row>
    <row r="28" spans="1:4" x14ac:dyDescent="0.2">
      <c r="A28" s="2547"/>
      <c r="B28" s="2547"/>
      <c r="D28" s="1262"/>
    </row>
    <row r="29" spans="1:4" x14ac:dyDescent="0.2">
      <c r="A29" s="2547"/>
      <c r="B29" s="2547"/>
      <c r="D29" s="1262"/>
    </row>
    <row r="30" spans="1:4" x14ac:dyDescent="0.2">
      <c r="A30" s="2547"/>
      <c r="B30" s="2547"/>
      <c r="D30" s="1262"/>
    </row>
    <row r="32" spans="1:4" x14ac:dyDescent="0.2">
      <c r="A32" s="1254" t="s">
        <v>1232</v>
      </c>
      <c r="D32" s="1257">
        <f>SUM(D19:D30)</f>
        <v>991391</v>
      </c>
    </row>
    <row r="33" spans="1:4" x14ac:dyDescent="0.2">
      <c r="D33" s="1263"/>
    </row>
    <row r="34" spans="1:4" x14ac:dyDescent="0.2">
      <c r="A34" s="317" t="s">
        <v>1231</v>
      </c>
    </row>
    <row r="35" spans="1:4" x14ac:dyDescent="0.2">
      <c r="A35" s="317" t="s">
        <v>1230</v>
      </c>
      <c r="B35" s="1252" t="s">
        <v>1229</v>
      </c>
      <c r="D35" s="1264">
        <v>991391</v>
      </c>
    </row>
    <row r="37" spans="1:4" x14ac:dyDescent="0.2">
      <c r="A37" s="1254" t="s">
        <v>1228</v>
      </c>
    </row>
    <row r="39" spans="1:4" ht="13.35" customHeight="1" x14ac:dyDescent="0.2">
      <c r="A39" s="1261" t="s">
        <v>1227</v>
      </c>
    </row>
    <row r="40" spans="1:4" x14ac:dyDescent="0.2">
      <c r="A40" s="2547"/>
      <c r="B40" s="2547"/>
      <c r="D40" s="1262"/>
    </row>
    <row r="41" spans="1:4" x14ac:dyDescent="0.2">
      <c r="A41" s="2547"/>
      <c r="B41" s="2547"/>
      <c r="D41" s="1265"/>
    </row>
    <row r="42" spans="1:4" x14ac:dyDescent="0.2">
      <c r="A42" s="2547"/>
      <c r="B42" s="2547"/>
      <c r="D42" s="1265"/>
    </row>
    <row r="43" spans="1:4" x14ac:dyDescent="0.2">
      <c r="A43" s="2547"/>
      <c r="B43" s="2547"/>
      <c r="D43" s="1265"/>
    </row>
    <row r="44" spans="1:4" x14ac:dyDescent="0.2">
      <c r="A44" s="2547"/>
      <c r="B44" s="2547"/>
      <c r="D44" s="1265"/>
    </row>
    <row r="45" spans="1:4" x14ac:dyDescent="0.2">
      <c r="A45" s="2547"/>
      <c r="B45" s="2547"/>
      <c r="D45" s="1265"/>
    </row>
    <row r="47" spans="1:4" x14ac:dyDescent="0.2">
      <c r="B47" s="1266" t="s">
        <v>1226</v>
      </c>
      <c r="C47" s="1266"/>
      <c r="D47" s="1267">
        <f>SUM(D35:D45)</f>
        <v>991391</v>
      </c>
    </row>
    <row r="49" spans="2:4" x14ac:dyDescent="0.2">
      <c r="B49" s="1266" t="s">
        <v>1225</v>
      </c>
      <c r="C49" s="1266"/>
      <c r="D49" s="1267">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509" t="str">
        <f>'Single Audit Cover'!A7</f>
        <v>Dunlap CUSD 323</v>
      </c>
      <c r="C1" s="2552"/>
      <c r="D1" s="2552"/>
      <c r="E1" s="2552"/>
      <c r="F1" s="2552"/>
      <c r="G1" s="2552"/>
      <c r="H1" s="2552"/>
      <c r="I1" s="2552"/>
      <c r="J1" s="2552"/>
      <c r="K1" s="2552"/>
      <c r="L1" s="2552"/>
      <c r="M1" s="2552"/>
    </row>
    <row r="2" spans="2:14" ht="15" x14ac:dyDescent="0.2">
      <c r="B2" s="2553">
        <f>'Single Audit Cover'!E7</f>
        <v>48072323026</v>
      </c>
      <c r="C2" s="2553"/>
      <c r="D2" s="2553"/>
      <c r="E2" s="2553"/>
      <c r="F2" s="2553"/>
      <c r="G2" s="2553"/>
      <c r="H2" s="2553"/>
      <c r="I2" s="2553"/>
      <c r="J2" s="2553"/>
      <c r="K2" s="2553"/>
      <c r="L2" s="2553"/>
      <c r="M2" s="2553"/>
      <c r="N2" s="1296"/>
    </row>
    <row r="3" spans="2:14" ht="15" x14ac:dyDescent="0.2">
      <c r="B3" s="2554" t="s">
        <v>1218</v>
      </c>
      <c r="C3" s="2554"/>
      <c r="D3" s="2554"/>
      <c r="E3" s="2554"/>
      <c r="F3" s="2554"/>
      <c r="G3" s="2554"/>
      <c r="H3" s="2554"/>
      <c r="I3" s="2554"/>
      <c r="J3" s="2554"/>
      <c r="K3" s="2554"/>
      <c r="L3" s="2554"/>
      <c r="M3" s="2554"/>
      <c r="N3" s="1296"/>
    </row>
    <row r="4" spans="2:14" ht="15" x14ac:dyDescent="0.2">
      <c r="B4" s="2555" t="str">
        <f>'Single Audit Cover'!A4</f>
        <v>Year Ending June 30, 2019</v>
      </c>
      <c r="C4" s="2555"/>
      <c r="D4" s="2555"/>
      <c r="E4" s="2555"/>
      <c r="F4" s="2555"/>
      <c r="G4" s="2555"/>
      <c r="H4" s="2555"/>
      <c r="I4" s="2555"/>
      <c r="J4" s="2555"/>
      <c r="K4" s="2555"/>
      <c r="L4" s="2555"/>
      <c r="M4" s="2555"/>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2"/>
      <c r="C8" s="1307" t="s">
        <v>1263</v>
      </c>
      <c r="D8" s="1308" t="s">
        <v>1262</v>
      </c>
      <c r="E8" s="1316" t="s">
        <v>1261</v>
      </c>
      <c r="F8" s="1317" t="s">
        <v>1261</v>
      </c>
      <c r="G8" s="1318" t="s">
        <v>1261</v>
      </c>
      <c r="H8" s="1311" t="s">
        <v>1835</v>
      </c>
      <c r="I8" s="1313" t="s">
        <v>1261</v>
      </c>
      <c r="J8" s="1312" t="s">
        <v>1986</v>
      </c>
      <c r="K8" s="1313" t="s">
        <v>1260</v>
      </c>
      <c r="L8" s="1314" t="s">
        <v>1256</v>
      </c>
      <c r="M8" s="1315" t="s">
        <v>30</v>
      </c>
    </row>
    <row r="9" spans="2:14" ht="14.25" x14ac:dyDescent="0.2">
      <c r="B9" s="1319" t="s">
        <v>1258</v>
      </c>
      <c r="C9" s="1307" t="s">
        <v>1731</v>
      </c>
      <c r="D9" s="1308" t="s">
        <v>1732</v>
      </c>
      <c r="E9" s="1316" t="s">
        <v>1835</v>
      </c>
      <c r="F9" s="1317" t="s">
        <v>1986</v>
      </c>
      <c r="G9" s="1318" t="s">
        <v>1835</v>
      </c>
      <c r="H9" s="1311" t="s">
        <v>1581</v>
      </c>
      <c r="I9" s="1313" t="s">
        <v>1986</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t="s">
        <v>2067</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1168</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1737</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105"/>
  <sheetViews>
    <sheetView showGridLines="0" zoomScaleNormal="100" zoomScaleSheetLayoutView="75" workbookViewId="0">
      <pane ySplit="10" topLeftCell="A11" activePane="bottomLeft" state="frozen"/>
      <selection activeCell="E21" sqref="E21"/>
      <selection pane="bottomLeft" activeCell="A11" sqref="A11"/>
    </sheetView>
  </sheetViews>
  <sheetFormatPr defaultColWidth="16.7109375" defaultRowHeight="12" x14ac:dyDescent="0.2"/>
  <cols>
    <col min="1" max="1" width="50.140625" style="1983" customWidth="1"/>
    <col min="2" max="2" width="9.85546875" style="1983" customWidth="1"/>
    <col min="3" max="3" width="13" style="1983" customWidth="1"/>
    <col min="4" max="4" width="4.28515625" style="1983" customWidth="1"/>
    <col min="5" max="5" width="12.85546875" style="1983" customWidth="1"/>
    <col min="6" max="6" width="13.85546875" style="1983" customWidth="1"/>
    <col min="7" max="7" width="13.140625" style="1983" bestFit="1" customWidth="1"/>
    <col min="8" max="8" width="12.28515625" style="1983" customWidth="1"/>
    <col min="9" max="9" width="13.42578125" style="1983" customWidth="1"/>
    <col min="10" max="10" width="3.85546875" style="2054" customWidth="1"/>
    <col min="11" max="11" width="13.28515625" style="1983" bestFit="1" customWidth="1"/>
    <col min="12" max="12" width="12.42578125" style="1983" bestFit="1" customWidth="1"/>
    <col min="13" max="250" width="16.7109375" style="1983"/>
    <col min="251" max="251" width="50.140625" style="1983" customWidth="1"/>
    <col min="252" max="252" width="9.85546875" style="1983" customWidth="1"/>
    <col min="253" max="253" width="13" style="1983" customWidth="1"/>
    <col min="254" max="254" width="4.28515625" style="1983" customWidth="1"/>
    <col min="255" max="255" width="12.85546875" style="1983" customWidth="1"/>
    <col min="256" max="256" width="13.85546875" style="1983" customWidth="1"/>
    <col min="257" max="257" width="13.140625" style="1983" bestFit="1" customWidth="1"/>
    <col min="258" max="258" width="12.28515625" style="1983" customWidth="1"/>
    <col min="259" max="259" width="13.42578125" style="1983" customWidth="1"/>
    <col min="260" max="260" width="3.85546875" style="1983" customWidth="1"/>
    <col min="261" max="261" width="13.28515625" style="1983" bestFit="1" customWidth="1"/>
    <col min="262" max="262" width="12.42578125" style="1983" bestFit="1" customWidth="1"/>
    <col min="263" max="506" width="16.7109375" style="1983"/>
    <col min="507" max="507" width="50.140625" style="1983" customWidth="1"/>
    <col min="508" max="508" width="9.85546875" style="1983" customWidth="1"/>
    <col min="509" max="509" width="13" style="1983" customWidth="1"/>
    <col min="510" max="510" width="4.28515625" style="1983" customWidth="1"/>
    <col min="511" max="511" width="12.85546875" style="1983" customWidth="1"/>
    <col min="512" max="512" width="13.85546875" style="1983" customWidth="1"/>
    <col min="513" max="513" width="13.140625" style="1983" bestFit="1" customWidth="1"/>
    <col min="514" max="514" width="12.28515625" style="1983" customWidth="1"/>
    <col min="515" max="515" width="13.42578125" style="1983" customWidth="1"/>
    <col min="516" max="516" width="3.85546875" style="1983" customWidth="1"/>
    <col min="517" max="517" width="13.28515625" style="1983" bestFit="1" customWidth="1"/>
    <col min="518" max="518" width="12.42578125" style="1983" bestFit="1" customWidth="1"/>
    <col min="519" max="762" width="16.7109375" style="1983"/>
    <col min="763" max="763" width="50.140625" style="1983" customWidth="1"/>
    <col min="764" max="764" width="9.85546875" style="1983" customWidth="1"/>
    <col min="765" max="765" width="13" style="1983" customWidth="1"/>
    <col min="766" max="766" width="4.28515625" style="1983" customWidth="1"/>
    <col min="767" max="767" width="12.85546875" style="1983" customWidth="1"/>
    <col min="768" max="768" width="13.85546875" style="1983" customWidth="1"/>
    <col min="769" max="769" width="13.140625" style="1983" bestFit="1" customWidth="1"/>
    <col min="770" max="770" width="12.28515625" style="1983" customWidth="1"/>
    <col min="771" max="771" width="13.42578125" style="1983" customWidth="1"/>
    <col min="772" max="772" width="3.85546875" style="1983" customWidth="1"/>
    <col min="773" max="773" width="13.28515625" style="1983" bestFit="1" customWidth="1"/>
    <col min="774" max="774" width="12.42578125" style="1983" bestFit="1" customWidth="1"/>
    <col min="775" max="1018" width="16.7109375" style="1983"/>
    <col min="1019" max="1019" width="50.140625" style="1983" customWidth="1"/>
    <col min="1020" max="1020" width="9.85546875" style="1983" customWidth="1"/>
    <col min="1021" max="1021" width="13" style="1983" customWidth="1"/>
    <col min="1022" max="1022" width="4.28515625" style="1983" customWidth="1"/>
    <col min="1023" max="1023" width="12.85546875" style="1983" customWidth="1"/>
    <col min="1024" max="1024" width="13.85546875" style="1983" customWidth="1"/>
    <col min="1025" max="1025" width="13.140625" style="1983" bestFit="1" customWidth="1"/>
    <col min="1026" max="1026" width="12.28515625" style="1983" customWidth="1"/>
    <col min="1027" max="1027" width="13.42578125" style="1983" customWidth="1"/>
    <col min="1028" max="1028" width="3.85546875" style="1983" customWidth="1"/>
    <col min="1029" max="1029" width="13.28515625" style="1983" bestFit="1" customWidth="1"/>
    <col min="1030" max="1030" width="12.42578125" style="1983" bestFit="1" customWidth="1"/>
    <col min="1031" max="1274" width="16.7109375" style="1983"/>
    <col min="1275" max="1275" width="50.140625" style="1983" customWidth="1"/>
    <col min="1276" max="1276" width="9.85546875" style="1983" customWidth="1"/>
    <col min="1277" max="1277" width="13" style="1983" customWidth="1"/>
    <col min="1278" max="1278" width="4.28515625" style="1983" customWidth="1"/>
    <col min="1279" max="1279" width="12.85546875" style="1983" customWidth="1"/>
    <col min="1280" max="1280" width="13.85546875" style="1983" customWidth="1"/>
    <col min="1281" max="1281" width="13.140625" style="1983" bestFit="1" customWidth="1"/>
    <col min="1282" max="1282" width="12.28515625" style="1983" customWidth="1"/>
    <col min="1283" max="1283" width="13.42578125" style="1983" customWidth="1"/>
    <col min="1284" max="1284" width="3.85546875" style="1983" customWidth="1"/>
    <col min="1285" max="1285" width="13.28515625" style="1983" bestFit="1" customWidth="1"/>
    <col min="1286" max="1286" width="12.42578125" style="1983" bestFit="1" customWidth="1"/>
    <col min="1287" max="1530" width="16.7109375" style="1983"/>
    <col min="1531" max="1531" width="50.140625" style="1983" customWidth="1"/>
    <col min="1532" max="1532" width="9.85546875" style="1983" customWidth="1"/>
    <col min="1533" max="1533" width="13" style="1983" customWidth="1"/>
    <col min="1534" max="1534" width="4.28515625" style="1983" customWidth="1"/>
    <col min="1535" max="1535" width="12.85546875" style="1983" customWidth="1"/>
    <col min="1536" max="1536" width="13.85546875" style="1983" customWidth="1"/>
    <col min="1537" max="1537" width="13.140625" style="1983" bestFit="1" customWidth="1"/>
    <col min="1538" max="1538" width="12.28515625" style="1983" customWidth="1"/>
    <col min="1539" max="1539" width="13.42578125" style="1983" customWidth="1"/>
    <col min="1540" max="1540" width="3.85546875" style="1983" customWidth="1"/>
    <col min="1541" max="1541" width="13.28515625" style="1983" bestFit="1" customWidth="1"/>
    <col min="1542" max="1542" width="12.42578125" style="1983" bestFit="1" customWidth="1"/>
    <col min="1543" max="1786" width="16.7109375" style="1983"/>
    <col min="1787" max="1787" width="50.140625" style="1983" customWidth="1"/>
    <col min="1788" max="1788" width="9.85546875" style="1983" customWidth="1"/>
    <col min="1789" max="1789" width="13" style="1983" customWidth="1"/>
    <col min="1790" max="1790" width="4.28515625" style="1983" customWidth="1"/>
    <col min="1791" max="1791" width="12.85546875" style="1983" customWidth="1"/>
    <col min="1792" max="1792" width="13.85546875" style="1983" customWidth="1"/>
    <col min="1793" max="1793" width="13.140625" style="1983" bestFit="1" customWidth="1"/>
    <col min="1794" max="1794" width="12.28515625" style="1983" customWidth="1"/>
    <col min="1795" max="1795" width="13.42578125" style="1983" customWidth="1"/>
    <col min="1796" max="1796" width="3.85546875" style="1983" customWidth="1"/>
    <col min="1797" max="1797" width="13.28515625" style="1983" bestFit="1" customWidth="1"/>
    <col min="1798" max="1798" width="12.42578125" style="1983" bestFit="1" customWidth="1"/>
    <col min="1799" max="2042" width="16.7109375" style="1983"/>
    <col min="2043" max="2043" width="50.140625" style="1983" customWidth="1"/>
    <col min="2044" max="2044" width="9.85546875" style="1983" customWidth="1"/>
    <col min="2045" max="2045" width="13" style="1983" customWidth="1"/>
    <col min="2046" max="2046" width="4.28515625" style="1983" customWidth="1"/>
    <col min="2047" max="2047" width="12.85546875" style="1983" customWidth="1"/>
    <col min="2048" max="2048" width="13.85546875" style="1983" customWidth="1"/>
    <col min="2049" max="2049" width="13.140625" style="1983" bestFit="1" customWidth="1"/>
    <col min="2050" max="2050" width="12.28515625" style="1983" customWidth="1"/>
    <col min="2051" max="2051" width="13.42578125" style="1983" customWidth="1"/>
    <col min="2052" max="2052" width="3.85546875" style="1983" customWidth="1"/>
    <col min="2053" max="2053" width="13.28515625" style="1983" bestFit="1" customWidth="1"/>
    <col min="2054" max="2054" width="12.42578125" style="1983" bestFit="1" customWidth="1"/>
    <col min="2055" max="2298" width="16.7109375" style="1983"/>
    <col min="2299" max="2299" width="50.140625" style="1983" customWidth="1"/>
    <col min="2300" max="2300" width="9.85546875" style="1983" customWidth="1"/>
    <col min="2301" max="2301" width="13" style="1983" customWidth="1"/>
    <col min="2302" max="2302" width="4.28515625" style="1983" customWidth="1"/>
    <col min="2303" max="2303" width="12.85546875" style="1983" customWidth="1"/>
    <col min="2304" max="2304" width="13.85546875" style="1983" customWidth="1"/>
    <col min="2305" max="2305" width="13.140625" style="1983" bestFit="1" customWidth="1"/>
    <col min="2306" max="2306" width="12.28515625" style="1983" customWidth="1"/>
    <col min="2307" max="2307" width="13.42578125" style="1983" customWidth="1"/>
    <col min="2308" max="2308" width="3.85546875" style="1983" customWidth="1"/>
    <col min="2309" max="2309" width="13.28515625" style="1983" bestFit="1" customWidth="1"/>
    <col min="2310" max="2310" width="12.42578125" style="1983" bestFit="1" customWidth="1"/>
    <col min="2311" max="2554" width="16.7109375" style="1983"/>
    <col min="2555" max="2555" width="50.140625" style="1983" customWidth="1"/>
    <col min="2556" max="2556" width="9.85546875" style="1983" customWidth="1"/>
    <col min="2557" max="2557" width="13" style="1983" customWidth="1"/>
    <col min="2558" max="2558" width="4.28515625" style="1983" customWidth="1"/>
    <col min="2559" max="2559" width="12.85546875" style="1983" customWidth="1"/>
    <col min="2560" max="2560" width="13.85546875" style="1983" customWidth="1"/>
    <col min="2561" max="2561" width="13.140625" style="1983" bestFit="1" customWidth="1"/>
    <col min="2562" max="2562" width="12.28515625" style="1983" customWidth="1"/>
    <col min="2563" max="2563" width="13.42578125" style="1983" customWidth="1"/>
    <col min="2564" max="2564" width="3.85546875" style="1983" customWidth="1"/>
    <col min="2565" max="2565" width="13.28515625" style="1983" bestFit="1" customWidth="1"/>
    <col min="2566" max="2566" width="12.42578125" style="1983" bestFit="1" customWidth="1"/>
    <col min="2567" max="2810" width="16.7109375" style="1983"/>
    <col min="2811" max="2811" width="50.140625" style="1983" customWidth="1"/>
    <col min="2812" max="2812" width="9.85546875" style="1983" customWidth="1"/>
    <col min="2813" max="2813" width="13" style="1983" customWidth="1"/>
    <col min="2814" max="2814" width="4.28515625" style="1983" customWidth="1"/>
    <col min="2815" max="2815" width="12.85546875" style="1983" customWidth="1"/>
    <col min="2816" max="2816" width="13.85546875" style="1983" customWidth="1"/>
    <col min="2817" max="2817" width="13.140625" style="1983" bestFit="1" customWidth="1"/>
    <col min="2818" max="2818" width="12.28515625" style="1983" customWidth="1"/>
    <col min="2819" max="2819" width="13.42578125" style="1983" customWidth="1"/>
    <col min="2820" max="2820" width="3.85546875" style="1983" customWidth="1"/>
    <col min="2821" max="2821" width="13.28515625" style="1983" bestFit="1" customWidth="1"/>
    <col min="2822" max="2822" width="12.42578125" style="1983" bestFit="1" customWidth="1"/>
    <col min="2823" max="3066" width="16.7109375" style="1983"/>
    <col min="3067" max="3067" width="50.140625" style="1983" customWidth="1"/>
    <col min="3068" max="3068" width="9.85546875" style="1983" customWidth="1"/>
    <col min="3069" max="3069" width="13" style="1983" customWidth="1"/>
    <col min="3070" max="3070" width="4.28515625" style="1983" customWidth="1"/>
    <col min="3071" max="3071" width="12.85546875" style="1983" customWidth="1"/>
    <col min="3072" max="3072" width="13.85546875" style="1983" customWidth="1"/>
    <col min="3073" max="3073" width="13.140625" style="1983" bestFit="1" customWidth="1"/>
    <col min="3074" max="3074" width="12.28515625" style="1983" customWidth="1"/>
    <col min="3075" max="3075" width="13.42578125" style="1983" customWidth="1"/>
    <col min="3076" max="3076" width="3.85546875" style="1983" customWidth="1"/>
    <col min="3077" max="3077" width="13.28515625" style="1983" bestFit="1" customWidth="1"/>
    <col min="3078" max="3078" width="12.42578125" style="1983" bestFit="1" customWidth="1"/>
    <col min="3079" max="3322" width="16.7109375" style="1983"/>
    <col min="3323" max="3323" width="50.140625" style="1983" customWidth="1"/>
    <col min="3324" max="3324" width="9.85546875" style="1983" customWidth="1"/>
    <col min="3325" max="3325" width="13" style="1983" customWidth="1"/>
    <col min="3326" max="3326" width="4.28515625" style="1983" customWidth="1"/>
    <col min="3327" max="3327" width="12.85546875" style="1983" customWidth="1"/>
    <col min="3328" max="3328" width="13.85546875" style="1983" customWidth="1"/>
    <col min="3329" max="3329" width="13.140625" style="1983" bestFit="1" customWidth="1"/>
    <col min="3330" max="3330" width="12.28515625" style="1983" customWidth="1"/>
    <col min="3331" max="3331" width="13.42578125" style="1983" customWidth="1"/>
    <col min="3332" max="3332" width="3.85546875" style="1983" customWidth="1"/>
    <col min="3333" max="3333" width="13.28515625" style="1983" bestFit="1" customWidth="1"/>
    <col min="3334" max="3334" width="12.42578125" style="1983" bestFit="1" customWidth="1"/>
    <col min="3335" max="3578" width="16.7109375" style="1983"/>
    <col min="3579" max="3579" width="50.140625" style="1983" customWidth="1"/>
    <col min="3580" max="3580" width="9.85546875" style="1983" customWidth="1"/>
    <col min="3581" max="3581" width="13" style="1983" customWidth="1"/>
    <col min="3582" max="3582" width="4.28515625" style="1983" customWidth="1"/>
    <col min="3583" max="3583" width="12.85546875" style="1983" customWidth="1"/>
    <col min="3584" max="3584" width="13.85546875" style="1983" customWidth="1"/>
    <col min="3585" max="3585" width="13.140625" style="1983" bestFit="1" customWidth="1"/>
    <col min="3586" max="3586" width="12.28515625" style="1983" customWidth="1"/>
    <col min="3587" max="3587" width="13.42578125" style="1983" customWidth="1"/>
    <col min="3588" max="3588" width="3.85546875" style="1983" customWidth="1"/>
    <col min="3589" max="3589" width="13.28515625" style="1983" bestFit="1" customWidth="1"/>
    <col min="3590" max="3590" width="12.42578125" style="1983" bestFit="1" customWidth="1"/>
    <col min="3591" max="3834" width="16.7109375" style="1983"/>
    <col min="3835" max="3835" width="50.140625" style="1983" customWidth="1"/>
    <col min="3836" max="3836" width="9.85546875" style="1983" customWidth="1"/>
    <col min="3837" max="3837" width="13" style="1983" customWidth="1"/>
    <col min="3838" max="3838" width="4.28515625" style="1983" customWidth="1"/>
    <col min="3839" max="3839" width="12.85546875" style="1983" customWidth="1"/>
    <col min="3840" max="3840" width="13.85546875" style="1983" customWidth="1"/>
    <col min="3841" max="3841" width="13.140625" style="1983" bestFit="1" customWidth="1"/>
    <col min="3842" max="3842" width="12.28515625" style="1983" customWidth="1"/>
    <col min="3843" max="3843" width="13.42578125" style="1983" customWidth="1"/>
    <col min="3844" max="3844" width="3.85546875" style="1983" customWidth="1"/>
    <col min="3845" max="3845" width="13.28515625" style="1983" bestFit="1" customWidth="1"/>
    <col min="3846" max="3846" width="12.42578125" style="1983" bestFit="1" customWidth="1"/>
    <col min="3847" max="4090" width="16.7109375" style="1983"/>
    <col min="4091" max="4091" width="50.140625" style="1983" customWidth="1"/>
    <col min="4092" max="4092" width="9.85546875" style="1983" customWidth="1"/>
    <col min="4093" max="4093" width="13" style="1983" customWidth="1"/>
    <col min="4094" max="4094" width="4.28515625" style="1983" customWidth="1"/>
    <col min="4095" max="4095" width="12.85546875" style="1983" customWidth="1"/>
    <col min="4096" max="4096" width="13.85546875" style="1983" customWidth="1"/>
    <col min="4097" max="4097" width="13.140625" style="1983" bestFit="1" customWidth="1"/>
    <col min="4098" max="4098" width="12.28515625" style="1983" customWidth="1"/>
    <col min="4099" max="4099" width="13.42578125" style="1983" customWidth="1"/>
    <col min="4100" max="4100" width="3.85546875" style="1983" customWidth="1"/>
    <col min="4101" max="4101" width="13.28515625" style="1983" bestFit="1" customWidth="1"/>
    <col min="4102" max="4102" width="12.42578125" style="1983" bestFit="1" customWidth="1"/>
    <col min="4103" max="4346" width="16.7109375" style="1983"/>
    <col min="4347" max="4347" width="50.140625" style="1983" customWidth="1"/>
    <col min="4348" max="4348" width="9.85546875" style="1983" customWidth="1"/>
    <col min="4349" max="4349" width="13" style="1983" customWidth="1"/>
    <col min="4350" max="4350" width="4.28515625" style="1983" customWidth="1"/>
    <col min="4351" max="4351" width="12.85546875" style="1983" customWidth="1"/>
    <col min="4352" max="4352" width="13.85546875" style="1983" customWidth="1"/>
    <col min="4353" max="4353" width="13.140625" style="1983" bestFit="1" customWidth="1"/>
    <col min="4354" max="4354" width="12.28515625" style="1983" customWidth="1"/>
    <col min="4355" max="4355" width="13.42578125" style="1983" customWidth="1"/>
    <col min="4356" max="4356" width="3.85546875" style="1983" customWidth="1"/>
    <col min="4357" max="4357" width="13.28515625" style="1983" bestFit="1" customWidth="1"/>
    <col min="4358" max="4358" width="12.42578125" style="1983" bestFit="1" customWidth="1"/>
    <col min="4359" max="4602" width="16.7109375" style="1983"/>
    <col min="4603" max="4603" width="50.140625" style="1983" customWidth="1"/>
    <col min="4604" max="4604" width="9.85546875" style="1983" customWidth="1"/>
    <col min="4605" max="4605" width="13" style="1983" customWidth="1"/>
    <col min="4606" max="4606" width="4.28515625" style="1983" customWidth="1"/>
    <col min="4607" max="4607" width="12.85546875" style="1983" customWidth="1"/>
    <col min="4608" max="4608" width="13.85546875" style="1983" customWidth="1"/>
    <col min="4609" max="4609" width="13.140625" style="1983" bestFit="1" customWidth="1"/>
    <col min="4610" max="4610" width="12.28515625" style="1983" customWidth="1"/>
    <col min="4611" max="4611" width="13.42578125" style="1983" customWidth="1"/>
    <col min="4612" max="4612" width="3.85546875" style="1983" customWidth="1"/>
    <col min="4613" max="4613" width="13.28515625" style="1983" bestFit="1" customWidth="1"/>
    <col min="4614" max="4614" width="12.42578125" style="1983" bestFit="1" customWidth="1"/>
    <col min="4615" max="4858" width="16.7109375" style="1983"/>
    <col min="4859" max="4859" width="50.140625" style="1983" customWidth="1"/>
    <col min="4860" max="4860" width="9.85546875" style="1983" customWidth="1"/>
    <col min="4861" max="4861" width="13" style="1983" customWidth="1"/>
    <col min="4862" max="4862" width="4.28515625" style="1983" customWidth="1"/>
    <col min="4863" max="4863" width="12.85546875" style="1983" customWidth="1"/>
    <col min="4864" max="4864" width="13.85546875" style="1983" customWidth="1"/>
    <col min="4865" max="4865" width="13.140625" style="1983" bestFit="1" customWidth="1"/>
    <col min="4866" max="4866" width="12.28515625" style="1983" customWidth="1"/>
    <col min="4867" max="4867" width="13.42578125" style="1983" customWidth="1"/>
    <col min="4868" max="4868" width="3.85546875" style="1983" customWidth="1"/>
    <col min="4869" max="4869" width="13.28515625" style="1983" bestFit="1" customWidth="1"/>
    <col min="4870" max="4870" width="12.42578125" style="1983" bestFit="1" customWidth="1"/>
    <col min="4871" max="5114" width="16.7109375" style="1983"/>
    <col min="5115" max="5115" width="50.140625" style="1983" customWidth="1"/>
    <col min="5116" max="5116" width="9.85546875" style="1983" customWidth="1"/>
    <col min="5117" max="5117" width="13" style="1983" customWidth="1"/>
    <col min="5118" max="5118" width="4.28515625" style="1983" customWidth="1"/>
    <col min="5119" max="5119" width="12.85546875" style="1983" customWidth="1"/>
    <col min="5120" max="5120" width="13.85546875" style="1983" customWidth="1"/>
    <col min="5121" max="5121" width="13.140625" style="1983" bestFit="1" customWidth="1"/>
    <col min="5122" max="5122" width="12.28515625" style="1983" customWidth="1"/>
    <col min="5123" max="5123" width="13.42578125" style="1983" customWidth="1"/>
    <col min="5124" max="5124" width="3.85546875" style="1983" customWidth="1"/>
    <col min="5125" max="5125" width="13.28515625" style="1983" bestFit="1" customWidth="1"/>
    <col min="5126" max="5126" width="12.42578125" style="1983" bestFit="1" customWidth="1"/>
    <col min="5127" max="5370" width="16.7109375" style="1983"/>
    <col min="5371" max="5371" width="50.140625" style="1983" customWidth="1"/>
    <col min="5372" max="5372" width="9.85546875" style="1983" customWidth="1"/>
    <col min="5373" max="5373" width="13" style="1983" customWidth="1"/>
    <col min="5374" max="5374" width="4.28515625" style="1983" customWidth="1"/>
    <col min="5375" max="5375" width="12.85546875" style="1983" customWidth="1"/>
    <col min="5376" max="5376" width="13.85546875" style="1983" customWidth="1"/>
    <col min="5377" max="5377" width="13.140625" style="1983" bestFit="1" customWidth="1"/>
    <col min="5378" max="5378" width="12.28515625" style="1983" customWidth="1"/>
    <col min="5379" max="5379" width="13.42578125" style="1983" customWidth="1"/>
    <col min="5380" max="5380" width="3.85546875" style="1983" customWidth="1"/>
    <col min="5381" max="5381" width="13.28515625" style="1983" bestFit="1" customWidth="1"/>
    <col min="5382" max="5382" width="12.42578125" style="1983" bestFit="1" customWidth="1"/>
    <col min="5383" max="5626" width="16.7109375" style="1983"/>
    <col min="5627" max="5627" width="50.140625" style="1983" customWidth="1"/>
    <col min="5628" max="5628" width="9.85546875" style="1983" customWidth="1"/>
    <col min="5629" max="5629" width="13" style="1983" customWidth="1"/>
    <col min="5630" max="5630" width="4.28515625" style="1983" customWidth="1"/>
    <col min="5631" max="5631" width="12.85546875" style="1983" customWidth="1"/>
    <col min="5632" max="5632" width="13.85546875" style="1983" customWidth="1"/>
    <col min="5633" max="5633" width="13.140625" style="1983" bestFit="1" customWidth="1"/>
    <col min="5634" max="5634" width="12.28515625" style="1983" customWidth="1"/>
    <col min="5635" max="5635" width="13.42578125" style="1983" customWidth="1"/>
    <col min="5636" max="5636" width="3.85546875" style="1983" customWidth="1"/>
    <col min="5637" max="5637" width="13.28515625" style="1983" bestFit="1" customWidth="1"/>
    <col min="5638" max="5638" width="12.42578125" style="1983" bestFit="1" customWidth="1"/>
    <col min="5639" max="5882" width="16.7109375" style="1983"/>
    <col min="5883" max="5883" width="50.140625" style="1983" customWidth="1"/>
    <col min="5884" max="5884" width="9.85546875" style="1983" customWidth="1"/>
    <col min="5885" max="5885" width="13" style="1983" customWidth="1"/>
    <col min="5886" max="5886" width="4.28515625" style="1983" customWidth="1"/>
    <col min="5887" max="5887" width="12.85546875" style="1983" customWidth="1"/>
    <col min="5888" max="5888" width="13.85546875" style="1983" customWidth="1"/>
    <col min="5889" max="5889" width="13.140625" style="1983" bestFit="1" customWidth="1"/>
    <col min="5890" max="5890" width="12.28515625" style="1983" customWidth="1"/>
    <col min="5891" max="5891" width="13.42578125" style="1983" customWidth="1"/>
    <col min="5892" max="5892" width="3.85546875" style="1983" customWidth="1"/>
    <col min="5893" max="5893" width="13.28515625" style="1983" bestFit="1" customWidth="1"/>
    <col min="5894" max="5894" width="12.42578125" style="1983" bestFit="1" customWidth="1"/>
    <col min="5895" max="6138" width="16.7109375" style="1983"/>
    <col min="6139" max="6139" width="50.140625" style="1983" customWidth="1"/>
    <col min="6140" max="6140" width="9.85546875" style="1983" customWidth="1"/>
    <col min="6141" max="6141" width="13" style="1983" customWidth="1"/>
    <col min="6142" max="6142" width="4.28515625" style="1983" customWidth="1"/>
    <col min="6143" max="6143" width="12.85546875" style="1983" customWidth="1"/>
    <col min="6144" max="6144" width="13.85546875" style="1983" customWidth="1"/>
    <col min="6145" max="6145" width="13.140625" style="1983" bestFit="1" customWidth="1"/>
    <col min="6146" max="6146" width="12.28515625" style="1983" customWidth="1"/>
    <col min="6147" max="6147" width="13.42578125" style="1983" customWidth="1"/>
    <col min="6148" max="6148" width="3.85546875" style="1983" customWidth="1"/>
    <col min="6149" max="6149" width="13.28515625" style="1983" bestFit="1" customWidth="1"/>
    <col min="6150" max="6150" width="12.42578125" style="1983" bestFit="1" customWidth="1"/>
    <col min="6151" max="6394" width="16.7109375" style="1983"/>
    <col min="6395" max="6395" width="50.140625" style="1983" customWidth="1"/>
    <col min="6396" max="6396" width="9.85546875" style="1983" customWidth="1"/>
    <col min="6397" max="6397" width="13" style="1983" customWidth="1"/>
    <col min="6398" max="6398" width="4.28515625" style="1983" customWidth="1"/>
    <col min="6399" max="6399" width="12.85546875" style="1983" customWidth="1"/>
    <col min="6400" max="6400" width="13.85546875" style="1983" customWidth="1"/>
    <col min="6401" max="6401" width="13.140625" style="1983" bestFit="1" customWidth="1"/>
    <col min="6402" max="6402" width="12.28515625" style="1983" customWidth="1"/>
    <col min="6403" max="6403" width="13.42578125" style="1983" customWidth="1"/>
    <col min="6404" max="6404" width="3.85546875" style="1983" customWidth="1"/>
    <col min="6405" max="6405" width="13.28515625" style="1983" bestFit="1" customWidth="1"/>
    <col min="6406" max="6406" width="12.42578125" style="1983" bestFit="1" customWidth="1"/>
    <col min="6407" max="6650" width="16.7109375" style="1983"/>
    <col min="6651" max="6651" width="50.140625" style="1983" customWidth="1"/>
    <col min="6652" max="6652" width="9.85546875" style="1983" customWidth="1"/>
    <col min="6653" max="6653" width="13" style="1983" customWidth="1"/>
    <col min="6654" max="6654" width="4.28515625" style="1983" customWidth="1"/>
    <col min="6655" max="6655" width="12.85546875" style="1983" customWidth="1"/>
    <col min="6656" max="6656" width="13.85546875" style="1983" customWidth="1"/>
    <col min="6657" max="6657" width="13.140625" style="1983" bestFit="1" customWidth="1"/>
    <col min="6658" max="6658" width="12.28515625" style="1983" customWidth="1"/>
    <col min="6659" max="6659" width="13.42578125" style="1983" customWidth="1"/>
    <col min="6660" max="6660" width="3.85546875" style="1983" customWidth="1"/>
    <col min="6661" max="6661" width="13.28515625" style="1983" bestFit="1" customWidth="1"/>
    <col min="6662" max="6662" width="12.42578125" style="1983" bestFit="1" customWidth="1"/>
    <col min="6663" max="6906" width="16.7109375" style="1983"/>
    <col min="6907" max="6907" width="50.140625" style="1983" customWidth="1"/>
    <col min="6908" max="6908" width="9.85546875" style="1983" customWidth="1"/>
    <col min="6909" max="6909" width="13" style="1983" customWidth="1"/>
    <col min="6910" max="6910" width="4.28515625" style="1983" customWidth="1"/>
    <col min="6911" max="6911" width="12.85546875" style="1983" customWidth="1"/>
    <col min="6912" max="6912" width="13.85546875" style="1983" customWidth="1"/>
    <col min="6913" max="6913" width="13.140625" style="1983" bestFit="1" customWidth="1"/>
    <col min="6914" max="6914" width="12.28515625" style="1983" customWidth="1"/>
    <col min="6915" max="6915" width="13.42578125" style="1983" customWidth="1"/>
    <col min="6916" max="6916" width="3.85546875" style="1983" customWidth="1"/>
    <col min="6917" max="6917" width="13.28515625" style="1983" bestFit="1" customWidth="1"/>
    <col min="6918" max="6918" width="12.42578125" style="1983" bestFit="1" customWidth="1"/>
    <col min="6919" max="7162" width="16.7109375" style="1983"/>
    <col min="7163" max="7163" width="50.140625" style="1983" customWidth="1"/>
    <col min="7164" max="7164" width="9.85546875" style="1983" customWidth="1"/>
    <col min="7165" max="7165" width="13" style="1983" customWidth="1"/>
    <col min="7166" max="7166" width="4.28515625" style="1983" customWidth="1"/>
    <col min="7167" max="7167" width="12.85546875" style="1983" customWidth="1"/>
    <col min="7168" max="7168" width="13.85546875" style="1983" customWidth="1"/>
    <col min="7169" max="7169" width="13.140625" style="1983" bestFit="1" customWidth="1"/>
    <col min="7170" max="7170" width="12.28515625" style="1983" customWidth="1"/>
    <col min="7171" max="7171" width="13.42578125" style="1983" customWidth="1"/>
    <col min="7172" max="7172" width="3.85546875" style="1983" customWidth="1"/>
    <col min="7173" max="7173" width="13.28515625" style="1983" bestFit="1" customWidth="1"/>
    <col min="7174" max="7174" width="12.42578125" style="1983" bestFit="1" customWidth="1"/>
    <col min="7175" max="7418" width="16.7109375" style="1983"/>
    <col min="7419" max="7419" width="50.140625" style="1983" customWidth="1"/>
    <col min="7420" max="7420" width="9.85546875" style="1983" customWidth="1"/>
    <col min="7421" max="7421" width="13" style="1983" customWidth="1"/>
    <col min="7422" max="7422" width="4.28515625" style="1983" customWidth="1"/>
    <col min="7423" max="7423" width="12.85546875" style="1983" customWidth="1"/>
    <col min="7424" max="7424" width="13.85546875" style="1983" customWidth="1"/>
    <col min="7425" max="7425" width="13.140625" style="1983" bestFit="1" customWidth="1"/>
    <col min="7426" max="7426" width="12.28515625" style="1983" customWidth="1"/>
    <col min="7427" max="7427" width="13.42578125" style="1983" customWidth="1"/>
    <col min="7428" max="7428" width="3.85546875" style="1983" customWidth="1"/>
    <col min="7429" max="7429" width="13.28515625" style="1983" bestFit="1" customWidth="1"/>
    <col min="7430" max="7430" width="12.42578125" style="1983" bestFit="1" customWidth="1"/>
    <col min="7431" max="7674" width="16.7109375" style="1983"/>
    <col min="7675" max="7675" width="50.140625" style="1983" customWidth="1"/>
    <col min="7676" max="7676" width="9.85546875" style="1983" customWidth="1"/>
    <col min="7677" max="7677" width="13" style="1983" customWidth="1"/>
    <col min="7678" max="7678" width="4.28515625" style="1983" customWidth="1"/>
    <col min="7679" max="7679" width="12.85546875" style="1983" customWidth="1"/>
    <col min="7680" max="7680" width="13.85546875" style="1983" customWidth="1"/>
    <col min="7681" max="7681" width="13.140625" style="1983" bestFit="1" customWidth="1"/>
    <col min="7682" max="7682" width="12.28515625" style="1983" customWidth="1"/>
    <col min="7683" max="7683" width="13.42578125" style="1983" customWidth="1"/>
    <col min="7684" max="7684" width="3.85546875" style="1983" customWidth="1"/>
    <col min="7685" max="7685" width="13.28515625" style="1983" bestFit="1" customWidth="1"/>
    <col min="7686" max="7686" width="12.42578125" style="1983" bestFit="1" customWidth="1"/>
    <col min="7687" max="7930" width="16.7109375" style="1983"/>
    <col min="7931" max="7931" width="50.140625" style="1983" customWidth="1"/>
    <col min="7932" max="7932" width="9.85546875" style="1983" customWidth="1"/>
    <col min="7933" max="7933" width="13" style="1983" customWidth="1"/>
    <col min="7934" max="7934" width="4.28515625" style="1983" customWidth="1"/>
    <col min="7935" max="7935" width="12.85546875" style="1983" customWidth="1"/>
    <col min="7936" max="7936" width="13.85546875" style="1983" customWidth="1"/>
    <col min="7937" max="7937" width="13.140625" style="1983" bestFit="1" customWidth="1"/>
    <col min="7938" max="7938" width="12.28515625" style="1983" customWidth="1"/>
    <col min="7939" max="7939" width="13.42578125" style="1983" customWidth="1"/>
    <col min="7940" max="7940" width="3.85546875" style="1983" customWidth="1"/>
    <col min="7941" max="7941" width="13.28515625" style="1983" bestFit="1" customWidth="1"/>
    <col min="7942" max="7942" width="12.42578125" style="1983" bestFit="1" customWidth="1"/>
    <col min="7943" max="8186" width="16.7109375" style="1983"/>
    <col min="8187" max="8187" width="50.140625" style="1983" customWidth="1"/>
    <col min="8188" max="8188" width="9.85546875" style="1983" customWidth="1"/>
    <col min="8189" max="8189" width="13" style="1983" customWidth="1"/>
    <col min="8190" max="8190" width="4.28515625" style="1983" customWidth="1"/>
    <col min="8191" max="8191" width="12.85546875" style="1983" customWidth="1"/>
    <col min="8192" max="8192" width="13.85546875" style="1983" customWidth="1"/>
    <col min="8193" max="8193" width="13.140625" style="1983" bestFit="1" customWidth="1"/>
    <col min="8194" max="8194" width="12.28515625" style="1983" customWidth="1"/>
    <col min="8195" max="8195" width="13.42578125" style="1983" customWidth="1"/>
    <col min="8196" max="8196" width="3.85546875" style="1983" customWidth="1"/>
    <col min="8197" max="8197" width="13.28515625" style="1983" bestFit="1" customWidth="1"/>
    <col min="8198" max="8198" width="12.42578125" style="1983" bestFit="1" customWidth="1"/>
    <col min="8199" max="8442" width="16.7109375" style="1983"/>
    <col min="8443" max="8443" width="50.140625" style="1983" customWidth="1"/>
    <col min="8444" max="8444" width="9.85546875" style="1983" customWidth="1"/>
    <col min="8445" max="8445" width="13" style="1983" customWidth="1"/>
    <col min="8446" max="8446" width="4.28515625" style="1983" customWidth="1"/>
    <col min="8447" max="8447" width="12.85546875" style="1983" customWidth="1"/>
    <col min="8448" max="8448" width="13.85546875" style="1983" customWidth="1"/>
    <col min="8449" max="8449" width="13.140625" style="1983" bestFit="1" customWidth="1"/>
    <col min="8450" max="8450" width="12.28515625" style="1983" customWidth="1"/>
    <col min="8451" max="8451" width="13.42578125" style="1983" customWidth="1"/>
    <col min="8452" max="8452" width="3.85546875" style="1983" customWidth="1"/>
    <col min="8453" max="8453" width="13.28515625" style="1983" bestFit="1" customWidth="1"/>
    <col min="8454" max="8454" width="12.42578125" style="1983" bestFit="1" customWidth="1"/>
    <col min="8455" max="8698" width="16.7109375" style="1983"/>
    <col min="8699" max="8699" width="50.140625" style="1983" customWidth="1"/>
    <col min="8700" max="8700" width="9.85546875" style="1983" customWidth="1"/>
    <col min="8701" max="8701" width="13" style="1983" customWidth="1"/>
    <col min="8702" max="8702" width="4.28515625" style="1983" customWidth="1"/>
    <col min="8703" max="8703" width="12.85546875" style="1983" customWidth="1"/>
    <col min="8704" max="8704" width="13.85546875" style="1983" customWidth="1"/>
    <col min="8705" max="8705" width="13.140625" style="1983" bestFit="1" customWidth="1"/>
    <col min="8706" max="8706" width="12.28515625" style="1983" customWidth="1"/>
    <col min="8707" max="8707" width="13.42578125" style="1983" customWidth="1"/>
    <col min="8708" max="8708" width="3.85546875" style="1983" customWidth="1"/>
    <col min="8709" max="8709" width="13.28515625" style="1983" bestFit="1" customWidth="1"/>
    <col min="8710" max="8710" width="12.42578125" style="1983" bestFit="1" customWidth="1"/>
    <col min="8711" max="8954" width="16.7109375" style="1983"/>
    <col min="8955" max="8955" width="50.140625" style="1983" customWidth="1"/>
    <col min="8956" max="8956" width="9.85546875" style="1983" customWidth="1"/>
    <col min="8957" max="8957" width="13" style="1983" customWidth="1"/>
    <col min="8958" max="8958" width="4.28515625" style="1983" customWidth="1"/>
    <col min="8959" max="8959" width="12.85546875" style="1983" customWidth="1"/>
    <col min="8960" max="8960" width="13.85546875" style="1983" customWidth="1"/>
    <col min="8961" max="8961" width="13.140625" style="1983" bestFit="1" customWidth="1"/>
    <col min="8962" max="8962" width="12.28515625" style="1983" customWidth="1"/>
    <col min="8963" max="8963" width="13.42578125" style="1983" customWidth="1"/>
    <col min="8964" max="8964" width="3.85546875" style="1983" customWidth="1"/>
    <col min="8965" max="8965" width="13.28515625" style="1983" bestFit="1" customWidth="1"/>
    <col min="8966" max="8966" width="12.42578125" style="1983" bestFit="1" customWidth="1"/>
    <col min="8967" max="9210" width="16.7109375" style="1983"/>
    <col min="9211" max="9211" width="50.140625" style="1983" customWidth="1"/>
    <col min="9212" max="9212" width="9.85546875" style="1983" customWidth="1"/>
    <col min="9213" max="9213" width="13" style="1983" customWidth="1"/>
    <col min="9214" max="9214" width="4.28515625" style="1983" customWidth="1"/>
    <col min="9215" max="9215" width="12.85546875" style="1983" customWidth="1"/>
    <col min="9216" max="9216" width="13.85546875" style="1983" customWidth="1"/>
    <col min="9217" max="9217" width="13.140625" style="1983" bestFit="1" customWidth="1"/>
    <col min="9218" max="9218" width="12.28515625" style="1983" customWidth="1"/>
    <col min="9219" max="9219" width="13.42578125" style="1983" customWidth="1"/>
    <col min="9220" max="9220" width="3.85546875" style="1983" customWidth="1"/>
    <col min="9221" max="9221" width="13.28515625" style="1983" bestFit="1" customWidth="1"/>
    <col min="9222" max="9222" width="12.42578125" style="1983" bestFit="1" customWidth="1"/>
    <col min="9223" max="9466" width="16.7109375" style="1983"/>
    <col min="9467" max="9467" width="50.140625" style="1983" customWidth="1"/>
    <col min="9468" max="9468" width="9.85546875" style="1983" customWidth="1"/>
    <col min="9469" max="9469" width="13" style="1983" customWidth="1"/>
    <col min="9470" max="9470" width="4.28515625" style="1983" customWidth="1"/>
    <col min="9471" max="9471" width="12.85546875" style="1983" customWidth="1"/>
    <col min="9472" max="9472" width="13.85546875" style="1983" customWidth="1"/>
    <col min="9473" max="9473" width="13.140625" style="1983" bestFit="1" customWidth="1"/>
    <col min="9474" max="9474" width="12.28515625" style="1983" customWidth="1"/>
    <col min="9475" max="9475" width="13.42578125" style="1983" customWidth="1"/>
    <col min="9476" max="9476" width="3.85546875" style="1983" customWidth="1"/>
    <col min="9477" max="9477" width="13.28515625" style="1983" bestFit="1" customWidth="1"/>
    <col min="9478" max="9478" width="12.42578125" style="1983" bestFit="1" customWidth="1"/>
    <col min="9479" max="9722" width="16.7109375" style="1983"/>
    <col min="9723" max="9723" width="50.140625" style="1983" customWidth="1"/>
    <col min="9724" max="9724" width="9.85546875" style="1983" customWidth="1"/>
    <col min="9725" max="9725" width="13" style="1983" customWidth="1"/>
    <col min="9726" max="9726" width="4.28515625" style="1983" customWidth="1"/>
    <col min="9727" max="9727" width="12.85546875" style="1983" customWidth="1"/>
    <col min="9728" max="9728" width="13.85546875" style="1983" customWidth="1"/>
    <col min="9729" max="9729" width="13.140625" style="1983" bestFit="1" customWidth="1"/>
    <col min="9730" max="9730" width="12.28515625" style="1983" customWidth="1"/>
    <col min="9731" max="9731" width="13.42578125" style="1983" customWidth="1"/>
    <col min="9732" max="9732" width="3.85546875" style="1983" customWidth="1"/>
    <col min="9733" max="9733" width="13.28515625" style="1983" bestFit="1" customWidth="1"/>
    <col min="9734" max="9734" width="12.42578125" style="1983" bestFit="1" customWidth="1"/>
    <col min="9735" max="9978" width="16.7109375" style="1983"/>
    <col min="9979" max="9979" width="50.140625" style="1983" customWidth="1"/>
    <col min="9980" max="9980" width="9.85546875" style="1983" customWidth="1"/>
    <col min="9981" max="9981" width="13" style="1983" customWidth="1"/>
    <col min="9982" max="9982" width="4.28515625" style="1983" customWidth="1"/>
    <col min="9983" max="9983" width="12.85546875" style="1983" customWidth="1"/>
    <col min="9984" max="9984" width="13.85546875" style="1983" customWidth="1"/>
    <col min="9985" max="9985" width="13.140625" style="1983" bestFit="1" customWidth="1"/>
    <col min="9986" max="9986" width="12.28515625" style="1983" customWidth="1"/>
    <col min="9987" max="9987" width="13.42578125" style="1983" customWidth="1"/>
    <col min="9988" max="9988" width="3.85546875" style="1983" customWidth="1"/>
    <col min="9989" max="9989" width="13.28515625" style="1983" bestFit="1" customWidth="1"/>
    <col min="9990" max="9990" width="12.42578125" style="1983" bestFit="1" customWidth="1"/>
    <col min="9991" max="10234" width="16.7109375" style="1983"/>
    <col min="10235" max="10235" width="50.140625" style="1983" customWidth="1"/>
    <col min="10236" max="10236" width="9.85546875" style="1983" customWidth="1"/>
    <col min="10237" max="10237" width="13" style="1983" customWidth="1"/>
    <col min="10238" max="10238" width="4.28515625" style="1983" customWidth="1"/>
    <col min="10239" max="10239" width="12.85546875" style="1983" customWidth="1"/>
    <col min="10240" max="10240" width="13.85546875" style="1983" customWidth="1"/>
    <col min="10241" max="10241" width="13.140625" style="1983" bestFit="1" customWidth="1"/>
    <col min="10242" max="10242" width="12.28515625" style="1983" customWidth="1"/>
    <col min="10243" max="10243" width="13.42578125" style="1983" customWidth="1"/>
    <col min="10244" max="10244" width="3.85546875" style="1983" customWidth="1"/>
    <col min="10245" max="10245" width="13.28515625" style="1983" bestFit="1" customWidth="1"/>
    <col min="10246" max="10246" width="12.42578125" style="1983" bestFit="1" customWidth="1"/>
    <col min="10247" max="10490" width="16.7109375" style="1983"/>
    <col min="10491" max="10491" width="50.140625" style="1983" customWidth="1"/>
    <col min="10492" max="10492" width="9.85546875" style="1983" customWidth="1"/>
    <col min="10493" max="10493" width="13" style="1983" customWidth="1"/>
    <col min="10494" max="10494" width="4.28515625" style="1983" customWidth="1"/>
    <col min="10495" max="10495" width="12.85546875" style="1983" customWidth="1"/>
    <col min="10496" max="10496" width="13.85546875" style="1983" customWidth="1"/>
    <col min="10497" max="10497" width="13.140625" style="1983" bestFit="1" customWidth="1"/>
    <col min="10498" max="10498" width="12.28515625" style="1983" customWidth="1"/>
    <col min="10499" max="10499" width="13.42578125" style="1983" customWidth="1"/>
    <col min="10500" max="10500" width="3.85546875" style="1983" customWidth="1"/>
    <col min="10501" max="10501" width="13.28515625" style="1983" bestFit="1" customWidth="1"/>
    <col min="10502" max="10502" width="12.42578125" style="1983" bestFit="1" customWidth="1"/>
    <col min="10503" max="10746" width="16.7109375" style="1983"/>
    <col min="10747" max="10747" width="50.140625" style="1983" customWidth="1"/>
    <col min="10748" max="10748" width="9.85546875" style="1983" customWidth="1"/>
    <col min="10749" max="10749" width="13" style="1983" customWidth="1"/>
    <col min="10750" max="10750" width="4.28515625" style="1983" customWidth="1"/>
    <col min="10751" max="10751" width="12.85546875" style="1983" customWidth="1"/>
    <col min="10752" max="10752" width="13.85546875" style="1983" customWidth="1"/>
    <col min="10753" max="10753" width="13.140625" style="1983" bestFit="1" customWidth="1"/>
    <col min="10754" max="10754" width="12.28515625" style="1983" customWidth="1"/>
    <col min="10755" max="10755" width="13.42578125" style="1983" customWidth="1"/>
    <col min="10756" max="10756" width="3.85546875" style="1983" customWidth="1"/>
    <col min="10757" max="10757" width="13.28515625" style="1983" bestFit="1" customWidth="1"/>
    <col min="10758" max="10758" width="12.42578125" style="1983" bestFit="1" customWidth="1"/>
    <col min="10759" max="11002" width="16.7109375" style="1983"/>
    <col min="11003" max="11003" width="50.140625" style="1983" customWidth="1"/>
    <col min="11004" max="11004" width="9.85546875" style="1983" customWidth="1"/>
    <col min="11005" max="11005" width="13" style="1983" customWidth="1"/>
    <col min="11006" max="11006" width="4.28515625" style="1983" customWidth="1"/>
    <col min="11007" max="11007" width="12.85546875" style="1983" customWidth="1"/>
    <col min="11008" max="11008" width="13.85546875" style="1983" customWidth="1"/>
    <col min="11009" max="11009" width="13.140625" style="1983" bestFit="1" customWidth="1"/>
    <col min="11010" max="11010" width="12.28515625" style="1983" customWidth="1"/>
    <col min="11011" max="11011" width="13.42578125" style="1983" customWidth="1"/>
    <col min="11012" max="11012" width="3.85546875" style="1983" customWidth="1"/>
    <col min="11013" max="11013" width="13.28515625" style="1983" bestFit="1" customWidth="1"/>
    <col min="11014" max="11014" width="12.42578125" style="1983" bestFit="1" customWidth="1"/>
    <col min="11015" max="11258" width="16.7109375" style="1983"/>
    <col min="11259" max="11259" width="50.140625" style="1983" customWidth="1"/>
    <col min="11260" max="11260" width="9.85546875" style="1983" customWidth="1"/>
    <col min="11261" max="11261" width="13" style="1983" customWidth="1"/>
    <col min="11262" max="11262" width="4.28515625" style="1983" customWidth="1"/>
    <col min="11263" max="11263" width="12.85546875" style="1983" customWidth="1"/>
    <col min="11264" max="11264" width="13.85546875" style="1983" customWidth="1"/>
    <col min="11265" max="11265" width="13.140625" style="1983" bestFit="1" customWidth="1"/>
    <col min="11266" max="11266" width="12.28515625" style="1983" customWidth="1"/>
    <col min="11267" max="11267" width="13.42578125" style="1983" customWidth="1"/>
    <col min="11268" max="11268" width="3.85546875" style="1983" customWidth="1"/>
    <col min="11269" max="11269" width="13.28515625" style="1983" bestFit="1" customWidth="1"/>
    <col min="11270" max="11270" width="12.42578125" style="1983" bestFit="1" customWidth="1"/>
    <col min="11271" max="11514" width="16.7109375" style="1983"/>
    <col min="11515" max="11515" width="50.140625" style="1983" customWidth="1"/>
    <col min="11516" max="11516" width="9.85546875" style="1983" customWidth="1"/>
    <col min="11517" max="11517" width="13" style="1983" customWidth="1"/>
    <col min="11518" max="11518" width="4.28515625" style="1983" customWidth="1"/>
    <col min="11519" max="11519" width="12.85546875" style="1983" customWidth="1"/>
    <col min="11520" max="11520" width="13.85546875" style="1983" customWidth="1"/>
    <col min="11521" max="11521" width="13.140625" style="1983" bestFit="1" customWidth="1"/>
    <col min="11522" max="11522" width="12.28515625" style="1983" customWidth="1"/>
    <col min="11523" max="11523" width="13.42578125" style="1983" customWidth="1"/>
    <col min="11524" max="11524" width="3.85546875" style="1983" customWidth="1"/>
    <col min="11525" max="11525" width="13.28515625" style="1983" bestFit="1" customWidth="1"/>
    <col min="11526" max="11526" width="12.42578125" style="1983" bestFit="1" customWidth="1"/>
    <col min="11527" max="11770" width="16.7109375" style="1983"/>
    <col min="11771" max="11771" width="50.140625" style="1983" customWidth="1"/>
    <col min="11772" max="11772" width="9.85546875" style="1983" customWidth="1"/>
    <col min="11773" max="11773" width="13" style="1983" customWidth="1"/>
    <col min="11774" max="11774" width="4.28515625" style="1983" customWidth="1"/>
    <col min="11775" max="11775" width="12.85546875" style="1983" customWidth="1"/>
    <col min="11776" max="11776" width="13.85546875" style="1983" customWidth="1"/>
    <col min="11777" max="11777" width="13.140625" style="1983" bestFit="1" customWidth="1"/>
    <col min="11778" max="11778" width="12.28515625" style="1983" customWidth="1"/>
    <col min="11779" max="11779" width="13.42578125" style="1983" customWidth="1"/>
    <col min="11780" max="11780" width="3.85546875" style="1983" customWidth="1"/>
    <col min="11781" max="11781" width="13.28515625" style="1983" bestFit="1" customWidth="1"/>
    <col min="11782" max="11782" width="12.42578125" style="1983" bestFit="1" customWidth="1"/>
    <col min="11783" max="12026" width="16.7109375" style="1983"/>
    <col min="12027" max="12027" width="50.140625" style="1983" customWidth="1"/>
    <col min="12028" max="12028" width="9.85546875" style="1983" customWidth="1"/>
    <col min="12029" max="12029" width="13" style="1983" customWidth="1"/>
    <col min="12030" max="12030" width="4.28515625" style="1983" customWidth="1"/>
    <col min="12031" max="12031" width="12.85546875" style="1983" customWidth="1"/>
    <col min="12032" max="12032" width="13.85546875" style="1983" customWidth="1"/>
    <col min="12033" max="12033" width="13.140625" style="1983" bestFit="1" customWidth="1"/>
    <col min="12034" max="12034" width="12.28515625" style="1983" customWidth="1"/>
    <col min="12035" max="12035" width="13.42578125" style="1983" customWidth="1"/>
    <col min="12036" max="12036" width="3.85546875" style="1983" customWidth="1"/>
    <col min="12037" max="12037" width="13.28515625" style="1983" bestFit="1" customWidth="1"/>
    <col min="12038" max="12038" width="12.42578125" style="1983" bestFit="1" customWidth="1"/>
    <col min="12039" max="12282" width="16.7109375" style="1983"/>
    <col min="12283" max="12283" width="50.140625" style="1983" customWidth="1"/>
    <col min="12284" max="12284" width="9.85546875" style="1983" customWidth="1"/>
    <col min="12285" max="12285" width="13" style="1983" customWidth="1"/>
    <col min="12286" max="12286" width="4.28515625" style="1983" customWidth="1"/>
    <col min="12287" max="12287" width="12.85546875" style="1983" customWidth="1"/>
    <col min="12288" max="12288" width="13.85546875" style="1983" customWidth="1"/>
    <col min="12289" max="12289" width="13.140625" style="1983" bestFit="1" customWidth="1"/>
    <col min="12290" max="12290" width="12.28515625" style="1983" customWidth="1"/>
    <col min="12291" max="12291" width="13.42578125" style="1983" customWidth="1"/>
    <col min="12292" max="12292" width="3.85546875" style="1983" customWidth="1"/>
    <col min="12293" max="12293" width="13.28515625" style="1983" bestFit="1" customWidth="1"/>
    <col min="12294" max="12294" width="12.42578125" style="1983" bestFit="1" customWidth="1"/>
    <col min="12295" max="12538" width="16.7109375" style="1983"/>
    <col min="12539" max="12539" width="50.140625" style="1983" customWidth="1"/>
    <col min="12540" max="12540" width="9.85546875" style="1983" customWidth="1"/>
    <col min="12541" max="12541" width="13" style="1983" customWidth="1"/>
    <col min="12542" max="12542" width="4.28515625" style="1983" customWidth="1"/>
    <col min="12543" max="12543" width="12.85546875" style="1983" customWidth="1"/>
    <col min="12544" max="12544" width="13.85546875" style="1983" customWidth="1"/>
    <col min="12545" max="12545" width="13.140625" style="1983" bestFit="1" customWidth="1"/>
    <col min="12546" max="12546" width="12.28515625" style="1983" customWidth="1"/>
    <col min="12547" max="12547" width="13.42578125" style="1983" customWidth="1"/>
    <col min="12548" max="12548" width="3.85546875" style="1983" customWidth="1"/>
    <col min="12549" max="12549" width="13.28515625" style="1983" bestFit="1" customWidth="1"/>
    <col min="12550" max="12550" width="12.42578125" style="1983" bestFit="1" customWidth="1"/>
    <col min="12551" max="12794" width="16.7109375" style="1983"/>
    <col min="12795" max="12795" width="50.140625" style="1983" customWidth="1"/>
    <col min="12796" max="12796" width="9.85546875" style="1983" customWidth="1"/>
    <col min="12797" max="12797" width="13" style="1983" customWidth="1"/>
    <col min="12798" max="12798" width="4.28515625" style="1983" customWidth="1"/>
    <col min="12799" max="12799" width="12.85546875" style="1983" customWidth="1"/>
    <col min="12800" max="12800" width="13.85546875" style="1983" customWidth="1"/>
    <col min="12801" max="12801" width="13.140625" style="1983" bestFit="1" customWidth="1"/>
    <col min="12802" max="12802" width="12.28515625" style="1983" customWidth="1"/>
    <col min="12803" max="12803" width="13.42578125" style="1983" customWidth="1"/>
    <col min="12804" max="12804" width="3.85546875" style="1983" customWidth="1"/>
    <col min="12805" max="12805" width="13.28515625" style="1983" bestFit="1" customWidth="1"/>
    <col min="12806" max="12806" width="12.42578125" style="1983" bestFit="1" customWidth="1"/>
    <col min="12807" max="13050" width="16.7109375" style="1983"/>
    <col min="13051" max="13051" width="50.140625" style="1983" customWidth="1"/>
    <col min="13052" max="13052" width="9.85546875" style="1983" customWidth="1"/>
    <col min="13053" max="13053" width="13" style="1983" customWidth="1"/>
    <col min="13054" max="13054" width="4.28515625" style="1983" customWidth="1"/>
    <col min="13055" max="13055" width="12.85546875" style="1983" customWidth="1"/>
    <col min="13056" max="13056" width="13.85546875" style="1983" customWidth="1"/>
    <col min="13057" max="13057" width="13.140625" style="1983" bestFit="1" customWidth="1"/>
    <col min="13058" max="13058" width="12.28515625" style="1983" customWidth="1"/>
    <col min="13059" max="13059" width="13.42578125" style="1983" customWidth="1"/>
    <col min="13060" max="13060" width="3.85546875" style="1983" customWidth="1"/>
    <col min="13061" max="13061" width="13.28515625" style="1983" bestFit="1" customWidth="1"/>
    <col min="13062" max="13062" width="12.42578125" style="1983" bestFit="1" customWidth="1"/>
    <col min="13063" max="13306" width="16.7109375" style="1983"/>
    <col min="13307" max="13307" width="50.140625" style="1983" customWidth="1"/>
    <col min="13308" max="13308" width="9.85546875" style="1983" customWidth="1"/>
    <col min="13309" max="13309" width="13" style="1983" customWidth="1"/>
    <col min="13310" max="13310" width="4.28515625" style="1983" customWidth="1"/>
    <col min="13311" max="13311" width="12.85546875" style="1983" customWidth="1"/>
    <col min="13312" max="13312" width="13.85546875" style="1983" customWidth="1"/>
    <col min="13313" max="13313" width="13.140625" style="1983" bestFit="1" customWidth="1"/>
    <col min="13314" max="13314" width="12.28515625" style="1983" customWidth="1"/>
    <col min="13315" max="13315" width="13.42578125" style="1983" customWidth="1"/>
    <col min="13316" max="13316" width="3.85546875" style="1983" customWidth="1"/>
    <col min="13317" max="13317" width="13.28515625" style="1983" bestFit="1" customWidth="1"/>
    <col min="13318" max="13318" width="12.42578125" style="1983" bestFit="1" customWidth="1"/>
    <col min="13319" max="13562" width="16.7109375" style="1983"/>
    <col min="13563" max="13563" width="50.140625" style="1983" customWidth="1"/>
    <col min="13564" max="13564" width="9.85546875" style="1983" customWidth="1"/>
    <col min="13565" max="13565" width="13" style="1983" customWidth="1"/>
    <col min="13566" max="13566" width="4.28515625" style="1983" customWidth="1"/>
    <col min="13567" max="13567" width="12.85546875" style="1983" customWidth="1"/>
    <col min="13568" max="13568" width="13.85546875" style="1983" customWidth="1"/>
    <col min="13569" max="13569" width="13.140625" style="1983" bestFit="1" customWidth="1"/>
    <col min="13570" max="13570" width="12.28515625" style="1983" customWidth="1"/>
    <col min="13571" max="13571" width="13.42578125" style="1983" customWidth="1"/>
    <col min="13572" max="13572" width="3.85546875" style="1983" customWidth="1"/>
    <col min="13573" max="13573" width="13.28515625" style="1983" bestFit="1" customWidth="1"/>
    <col min="13574" max="13574" width="12.42578125" style="1983" bestFit="1" customWidth="1"/>
    <col min="13575" max="13818" width="16.7109375" style="1983"/>
    <col min="13819" max="13819" width="50.140625" style="1983" customWidth="1"/>
    <col min="13820" max="13820" width="9.85546875" style="1983" customWidth="1"/>
    <col min="13821" max="13821" width="13" style="1983" customWidth="1"/>
    <col min="13822" max="13822" width="4.28515625" style="1983" customWidth="1"/>
    <col min="13823" max="13823" width="12.85546875" style="1983" customWidth="1"/>
    <col min="13824" max="13824" width="13.85546875" style="1983" customWidth="1"/>
    <col min="13825" max="13825" width="13.140625" style="1983" bestFit="1" customWidth="1"/>
    <col min="13826" max="13826" width="12.28515625" style="1983" customWidth="1"/>
    <col min="13827" max="13827" width="13.42578125" style="1983" customWidth="1"/>
    <col min="13828" max="13828" width="3.85546875" style="1983" customWidth="1"/>
    <col min="13829" max="13829" width="13.28515625" style="1983" bestFit="1" customWidth="1"/>
    <col min="13830" max="13830" width="12.42578125" style="1983" bestFit="1" customWidth="1"/>
    <col min="13831" max="14074" width="16.7109375" style="1983"/>
    <col min="14075" max="14075" width="50.140625" style="1983" customWidth="1"/>
    <col min="14076" max="14076" width="9.85546875" style="1983" customWidth="1"/>
    <col min="14077" max="14077" width="13" style="1983" customWidth="1"/>
    <col min="14078" max="14078" width="4.28515625" style="1983" customWidth="1"/>
    <col min="14079" max="14079" width="12.85546875" style="1983" customWidth="1"/>
    <col min="14080" max="14080" width="13.85546875" style="1983" customWidth="1"/>
    <col min="14081" max="14081" width="13.140625" style="1983" bestFit="1" customWidth="1"/>
    <col min="14082" max="14082" width="12.28515625" style="1983" customWidth="1"/>
    <col min="14083" max="14083" width="13.42578125" style="1983" customWidth="1"/>
    <col min="14084" max="14084" width="3.85546875" style="1983" customWidth="1"/>
    <col min="14085" max="14085" width="13.28515625" style="1983" bestFit="1" customWidth="1"/>
    <col min="14086" max="14086" width="12.42578125" style="1983" bestFit="1" customWidth="1"/>
    <col min="14087" max="14330" width="16.7109375" style="1983"/>
    <col min="14331" max="14331" width="50.140625" style="1983" customWidth="1"/>
    <col min="14332" max="14332" width="9.85546875" style="1983" customWidth="1"/>
    <col min="14333" max="14333" width="13" style="1983" customWidth="1"/>
    <col min="14334" max="14334" width="4.28515625" style="1983" customWidth="1"/>
    <col min="14335" max="14335" width="12.85546875" style="1983" customWidth="1"/>
    <col min="14336" max="14336" width="13.85546875" style="1983" customWidth="1"/>
    <col min="14337" max="14337" width="13.140625" style="1983" bestFit="1" customWidth="1"/>
    <col min="14338" max="14338" width="12.28515625" style="1983" customWidth="1"/>
    <col min="14339" max="14339" width="13.42578125" style="1983" customWidth="1"/>
    <col min="14340" max="14340" width="3.85546875" style="1983" customWidth="1"/>
    <col min="14341" max="14341" width="13.28515625" style="1983" bestFit="1" customWidth="1"/>
    <col min="14342" max="14342" width="12.42578125" style="1983" bestFit="1" customWidth="1"/>
    <col min="14343" max="14586" width="16.7109375" style="1983"/>
    <col min="14587" max="14587" width="50.140625" style="1983" customWidth="1"/>
    <col min="14588" max="14588" width="9.85546875" style="1983" customWidth="1"/>
    <col min="14589" max="14589" width="13" style="1983" customWidth="1"/>
    <col min="14590" max="14590" width="4.28515625" style="1983" customWidth="1"/>
    <col min="14591" max="14591" width="12.85546875" style="1983" customWidth="1"/>
    <col min="14592" max="14592" width="13.85546875" style="1983" customWidth="1"/>
    <col min="14593" max="14593" width="13.140625" style="1983" bestFit="1" customWidth="1"/>
    <col min="14594" max="14594" width="12.28515625" style="1983" customWidth="1"/>
    <col min="14595" max="14595" width="13.42578125" style="1983" customWidth="1"/>
    <col min="14596" max="14596" width="3.85546875" style="1983" customWidth="1"/>
    <col min="14597" max="14597" width="13.28515625" style="1983" bestFit="1" customWidth="1"/>
    <col min="14598" max="14598" width="12.42578125" style="1983" bestFit="1" customWidth="1"/>
    <col min="14599" max="14842" width="16.7109375" style="1983"/>
    <col min="14843" max="14843" width="50.140625" style="1983" customWidth="1"/>
    <col min="14844" max="14844" width="9.85546875" style="1983" customWidth="1"/>
    <col min="14845" max="14845" width="13" style="1983" customWidth="1"/>
    <col min="14846" max="14846" width="4.28515625" style="1983" customWidth="1"/>
    <col min="14847" max="14847" width="12.85546875" style="1983" customWidth="1"/>
    <col min="14848" max="14848" width="13.85546875" style="1983" customWidth="1"/>
    <col min="14849" max="14849" width="13.140625" style="1983" bestFit="1" customWidth="1"/>
    <col min="14850" max="14850" width="12.28515625" style="1983" customWidth="1"/>
    <col min="14851" max="14851" width="13.42578125" style="1983" customWidth="1"/>
    <col min="14852" max="14852" width="3.85546875" style="1983" customWidth="1"/>
    <col min="14853" max="14853" width="13.28515625" style="1983" bestFit="1" customWidth="1"/>
    <col min="14854" max="14854" width="12.42578125" style="1983" bestFit="1" customWidth="1"/>
    <col min="14855" max="15098" width="16.7109375" style="1983"/>
    <col min="15099" max="15099" width="50.140625" style="1983" customWidth="1"/>
    <col min="15100" max="15100" width="9.85546875" style="1983" customWidth="1"/>
    <col min="15101" max="15101" width="13" style="1983" customWidth="1"/>
    <col min="15102" max="15102" width="4.28515625" style="1983" customWidth="1"/>
    <col min="15103" max="15103" width="12.85546875" style="1983" customWidth="1"/>
    <col min="15104" max="15104" width="13.85546875" style="1983" customWidth="1"/>
    <col min="15105" max="15105" width="13.140625" style="1983" bestFit="1" customWidth="1"/>
    <col min="15106" max="15106" width="12.28515625" style="1983" customWidth="1"/>
    <col min="15107" max="15107" width="13.42578125" style="1983" customWidth="1"/>
    <col min="15108" max="15108" width="3.85546875" style="1983" customWidth="1"/>
    <col min="15109" max="15109" width="13.28515625" style="1983" bestFit="1" customWidth="1"/>
    <col min="15110" max="15110" width="12.42578125" style="1983" bestFit="1" customWidth="1"/>
    <col min="15111" max="15354" width="16.7109375" style="1983"/>
    <col min="15355" max="15355" width="50.140625" style="1983" customWidth="1"/>
    <col min="15356" max="15356" width="9.85546875" style="1983" customWidth="1"/>
    <col min="15357" max="15357" width="13" style="1983" customWidth="1"/>
    <col min="15358" max="15358" width="4.28515625" style="1983" customWidth="1"/>
    <col min="15359" max="15359" width="12.85546875" style="1983" customWidth="1"/>
    <col min="15360" max="15360" width="13.85546875" style="1983" customWidth="1"/>
    <col min="15361" max="15361" width="13.140625" style="1983" bestFit="1" customWidth="1"/>
    <col min="15362" max="15362" width="12.28515625" style="1983" customWidth="1"/>
    <col min="15363" max="15363" width="13.42578125" style="1983" customWidth="1"/>
    <col min="15364" max="15364" width="3.85546875" style="1983" customWidth="1"/>
    <col min="15365" max="15365" width="13.28515625" style="1983" bestFit="1" customWidth="1"/>
    <col min="15366" max="15366" width="12.42578125" style="1983" bestFit="1" customWidth="1"/>
    <col min="15367" max="15610" width="16.7109375" style="1983"/>
    <col min="15611" max="15611" width="50.140625" style="1983" customWidth="1"/>
    <col min="15612" max="15612" width="9.85546875" style="1983" customWidth="1"/>
    <col min="15613" max="15613" width="13" style="1983" customWidth="1"/>
    <col min="15614" max="15614" width="4.28515625" style="1983" customWidth="1"/>
    <col min="15615" max="15615" width="12.85546875" style="1983" customWidth="1"/>
    <col min="15616" max="15616" width="13.85546875" style="1983" customWidth="1"/>
    <col min="15617" max="15617" width="13.140625" style="1983" bestFit="1" customWidth="1"/>
    <col min="15618" max="15618" width="12.28515625" style="1983" customWidth="1"/>
    <col min="15619" max="15619" width="13.42578125" style="1983" customWidth="1"/>
    <col min="15620" max="15620" width="3.85546875" style="1983" customWidth="1"/>
    <col min="15621" max="15621" width="13.28515625" style="1983" bestFit="1" customWidth="1"/>
    <col min="15622" max="15622" width="12.42578125" style="1983" bestFit="1" customWidth="1"/>
    <col min="15623" max="15866" width="16.7109375" style="1983"/>
    <col min="15867" max="15867" width="50.140625" style="1983" customWidth="1"/>
    <col min="15868" max="15868" width="9.85546875" style="1983" customWidth="1"/>
    <col min="15869" max="15869" width="13" style="1983" customWidth="1"/>
    <col min="15870" max="15870" width="4.28515625" style="1983" customWidth="1"/>
    <col min="15871" max="15871" width="12.85546875" style="1983" customWidth="1"/>
    <col min="15872" max="15872" width="13.85546875" style="1983" customWidth="1"/>
    <col min="15873" max="15873" width="13.140625" style="1983" bestFit="1" customWidth="1"/>
    <col min="15874" max="15874" width="12.28515625" style="1983" customWidth="1"/>
    <col min="15875" max="15875" width="13.42578125" style="1983" customWidth="1"/>
    <col min="15876" max="15876" width="3.85546875" style="1983" customWidth="1"/>
    <col min="15877" max="15877" width="13.28515625" style="1983" bestFit="1" customWidth="1"/>
    <col min="15878" max="15878" width="12.42578125" style="1983" bestFit="1" customWidth="1"/>
    <col min="15879" max="16122" width="16.7109375" style="1983"/>
    <col min="16123" max="16123" width="50.140625" style="1983" customWidth="1"/>
    <col min="16124" max="16124" width="9.85546875" style="1983" customWidth="1"/>
    <col min="16125" max="16125" width="13" style="1983" customWidth="1"/>
    <col min="16126" max="16126" width="4.28515625" style="1983" customWidth="1"/>
    <col min="16127" max="16127" width="12.85546875" style="1983" customWidth="1"/>
    <col min="16128" max="16128" width="13.85546875" style="1983" customWidth="1"/>
    <col min="16129" max="16129" width="13.140625" style="1983" bestFit="1" customWidth="1"/>
    <col min="16130" max="16130" width="12.28515625" style="1983" customWidth="1"/>
    <col min="16131" max="16131" width="13.42578125" style="1983" customWidth="1"/>
    <col min="16132" max="16132" width="3.85546875" style="1983" customWidth="1"/>
    <col min="16133" max="16133" width="13.28515625" style="1983" bestFit="1" customWidth="1"/>
    <col min="16134" max="16134" width="12.42578125" style="1983" bestFit="1" customWidth="1"/>
    <col min="16135" max="16384" width="16.7109375" style="1983"/>
  </cols>
  <sheetData>
    <row r="1" spans="1:12" ht="15.75" x14ac:dyDescent="0.2">
      <c r="A1" s="2556" t="s">
        <v>2108</v>
      </c>
      <c r="B1" s="2556"/>
      <c r="C1" s="2556"/>
      <c r="D1" s="2556"/>
      <c r="E1" s="2556"/>
      <c r="F1" s="2556"/>
      <c r="G1" s="2556"/>
      <c r="H1" s="2556"/>
      <c r="I1" s="2556"/>
      <c r="J1" s="2556"/>
      <c r="K1" s="2556"/>
      <c r="L1" s="2556"/>
    </row>
    <row r="2" spans="1:12" ht="17.25" customHeight="1" x14ac:dyDescent="0.2">
      <c r="A2" s="2557" t="s">
        <v>2069</v>
      </c>
      <c r="B2" s="2557"/>
      <c r="C2" s="2557"/>
      <c r="D2" s="2557"/>
      <c r="E2" s="2557"/>
      <c r="F2" s="2557"/>
      <c r="G2" s="2557"/>
      <c r="H2" s="2557"/>
      <c r="I2" s="2557"/>
      <c r="J2" s="2557"/>
      <c r="K2" s="2557"/>
      <c r="L2" s="2557"/>
    </row>
    <row r="3" spans="1:12" ht="17.25" customHeight="1" x14ac:dyDescent="0.2">
      <c r="A3" s="2557" t="s">
        <v>2109</v>
      </c>
      <c r="B3" s="2557"/>
      <c r="C3" s="2557"/>
      <c r="D3" s="2557"/>
      <c r="E3" s="2557"/>
      <c r="F3" s="2557"/>
      <c r="G3" s="2557"/>
      <c r="H3" s="2557"/>
      <c r="I3" s="2557"/>
      <c r="J3" s="2557"/>
      <c r="K3" s="2557"/>
      <c r="L3" s="2557"/>
    </row>
    <row r="4" spans="1:12" ht="14.25" x14ac:dyDescent="0.2">
      <c r="A4" s="2558" t="s">
        <v>2110</v>
      </c>
      <c r="B4" s="2558"/>
      <c r="C4" s="2558"/>
      <c r="D4" s="2558"/>
      <c r="E4" s="2558"/>
      <c r="F4" s="2558"/>
      <c r="G4" s="2558"/>
      <c r="H4" s="2558"/>
      <c r="I4" s="2558"/>
      <c r="J4" s="2558"/>
      <c r="K4" s="2558"/>
      <c r="L4" s="2558"/>
    </row>
    <row r="5" spans="1:12" ht="12.75" x14ac:dyDescent="0.2">
      <c r="A5" s="1985"/>
      <c r="B5" s="1985"/>
      <c r="C5" s="1985"/>
      <c r="D5" s="1985"/>
      <c r="E5" s="1986"/>
      <c r="F5" s="1986"/>
      <c r="G5" s="1986"/>
      <c r="H5" s="1984"/>
      <c r="I5" s="1984"/>
      <c r="J5" s="1987"/>
      <c r="K5" s="1984"/>
      <c r="L5" s="1984"/>
    </row>
    <row r="6" spans="1:12" s="1992" customFormat="1" ht="15" x14ac:dyDescent="0.2">
      <c r="A6" s="1988"/>
      <c r="B6" s="1989"/>
      <c r="C6" s="1989"/>
      <c r="D6" s="1989"/>
      <c r="E6" s="1988"/>
      <c r="F6" s="1988"/>
      <c r="G6" s="1988"/>
      <c r="H6" s="1990"/>
      <c r="I6" s="1990"/>
      <c r="J6" s="1991"/>
      <c r="K6" s="1990"/>
      <c r="L6" s="1990"/>
    </row>
    <row r="7" spans="1:12" s="1992" customFormat="1" ht="17.25" x14ac:dyDescent="0.2">
      <c r="A7" s="1988"/>
      <c r="B7" s="1990"/>
      <c r="C7" s="1991" t="s">
        <v>2111</v>
      </c>
      <c r="D7" s="1991"/>
      <c r="E7" s="2559" t="s">
        <v>526</v>
      </c>
      <c r="F7" s="2559"/>
      <c r="G7" s="2559" t="s">
        <v>2112</v>
      </c>
      <c r="H7" s="2559"/>
      <c r="I7" s="1990"/>
      <c r="J7" s="1991"/>
      <c r="K7" s="1990"/>
      <c r="L7" s="1990"/>
    </row>
    <row r="8" spans="1:12" s="1992" customFormat="1" ht="15" x14ac:dyDescent="0.2">
      <c r="A8" s="1988"/>
      <c r="B8" s="1991" t="s">
        <v>1263</v>
      </c>
      <c r="C8" s="1991" t="s">
        <v>2113</v>
      </c>
      <c r="D8" s="1991"/>
      <c r="E8" s="1991" t="s">
        <v>2114</v>
      </c>
      <c r="F8" s="1993" t="s">
        <v>2115</v>
      </c>
      <c r="G8" s="1991" t="s">
        <v>2116</v>
      </c>
      <c r="H8" s="1993" t="str">
        <f>+F8</f>
        <v>7/01/18</v>
      </c>
      <c r="I8" s="1991" t="s">
        <v>1260</v>
      </c>
      <c r="J8" s="1991"/>
      <c r="K8" s="1991" t="s">
        <v>2117</v>
      </c>
      <c r="L8" s="1988" t="s">
        <v>1168</v>
      </c>
    </row>
    <row r="9" spans="1:12" s="1992" customFormat="1" ht="15" x14ac:dyDescent="0.2">
      <c r="A9" s="1988" t="s">
        <v>2118</v>
      </c>
      <c r="B9" s="1991" t="s">
        <v>2119</v>
      </c>
      <c r="C9" s="1991" t="s">
        <v>2119</v>
      </c>
      <c r="D9" s="1991"/>
      <c r="E9" s="1994">
        <v>43281</v>
      </c>
      <c r="F9" s="1994">
        <v>43646</v>
      </c>
      <c r="G9" s="1994">
        <f>+E9</f>
        <v>43281</v>
      </c>
      <c r="H9" s="1994">
        <f>+F9</f>
        <v>43646</v>
      </c>
      <c r="I9" s="1991" t="s">
        <v>2120</v>
      </c>
      <c r="J9" s="1991"/>
      <c r="K9" s="1991" t="s">
        <v>1256</v>
      </c>
      <c r="L9" s="1991" t="s">
        <v>30</v>
      </c>
    </row>
    <row r="10" spans="1:12" s="1992" customFormat="1" ht="17.25" x14ac:dyDescent="0.2">
      <c r="A10" s="1995" t="s">
        <v>2121</v>
      </c>
      <c r="B10" s="1996" t="s">
        <v>1254</v>
      </c>
      <c r="C10" s="1996" t="s">
        <v>1253</v>
      </c>
      <c r="D10" s="1996"/>
      <c r="E10" s="1996" t="s">
        <v>1252</v>
      </c>
      <c r="F10" s="1996" t="s">
        <v>1251</v>
      </c>
      <c r="G10" s="1996" t="s">
        <v>1250</v>
      </c>
      <c r="H10" s="1996" t="s">
        <v>1249</v>
      </c>
      <c r="I10" s="1996" t="s">
        <v>1248</v>
      </c>
      <c r="J10" s="1991"/>
      <c r="K10" s="1996" t="s">
        <v>1247</v>
      </c>
      <c r="L10" s="1996" t="s">
        <v>1246</v>
      </c>
    </row>
    <row r="11" spans="1:12" s="1992" customFormat="1" ht="15" x14ac:dyDescent="0.25">
      <c r="A11" s="1997"/>
      <c r="B11" s="1998"/>
      <c r="C11" s="1998"/>
      <c r="D11" s="1998"/>
      <c r="E11" s="1998"/>
      <c r="F11" s="1998"/>
      <c r="G11" s="1998"/>
      <c r="H11" s="1998"/>
      <c r="I11" s="1998"/>
      <c r="J11" s="1999"/>
      <c r="K11" s="1998"/>
      <c r="L11" s="1998"/>
    </row>
    <row r="12" spans="1:12" s="1992" customFormat="1" ht="15" x14ac:dyDescent="0.25">
      <c r="A12" s="2000" t="s">
        <v>2122</v>
      </c>
      <c r="B12" s="1998"/>
      <c r="C12" s="1998"/>
      <c r="D12" s="1998"/>
      <c r="E12" s="1998"/>
      <c r="F12" s="1998"/>
      <c r="G12" s="1998"/>
      <c r="H12" s="1998"/>
      <c r="I12" s="1998"/>
      <c r="J12" s="1999"/>
      <c r="K12" s="1998"/>
      <c r="L12" s="1998"/>
    </row>
    <row r="13" spans="1:12" s="1992" customFormat="1" ht="15" x14ac:dyDescent="0.25">
      <c r="A13" s="2001" t="s">
        <v>2123</v>
      </c>
      <c r="B13" s="1998"/>
      <c r="C13" s="1998"/>
      <c r="D13" s="1998"/>
      <c r="E13" s="1998"/>
      <c r="F13" s="1998"/>
      <c r="G13" s="1998"/>
      <c r="H13" s="1998"/>
      <c r="I13" s="1998"/>
      <c r="J13" s="1999"/>
      <c r="K13" s="1998"/>
      <c r="L13" s="1998"/>
    </row>
    <row r="14" spans="1:12" s="1992" customFormat="1" ht="15" x14ac:dyDescent="0.25">
      <c r="A14" s="2001" t="s">
        <v>2124</v>
      </c>
      <c r="B14" s="1998"/>
      <c r="C14" s="1998"/>
      <c r="D14" s="1998"/>
      <c r="E14" s="1998"/>
      <c r="F14" s="1998"/>
      <c r="G14" s="1998"/>
      <c r="H14" s="1998"/>
      <c r="I14" s="1998"/>
      <c r="J14" s="1999"/>
      <c r="K14" s="1998"/>
      <c r="L14" s="1998"/>
    </row>
    <row r="15" spans="1:12" s="1992" customFormat="1" ht="15" x14ac:dyDescent="0.25">
      <c r="A15" s="1997"/>
      <c r="B15" s="1997"/>
      <c r="C15" s="1997"/>
      <c r="D15" s="1997"/>
      <c r="E15" s="1997"/>
      <c r="F15" s="1997"/>
      <c r="G15" s="1997"/>
      <c r="H15" s="1997"/>
      <c r="I15" s="1997"/>
      <c r="J15" s="1999"/>
      <c r="K15" s="1997"/>
      <c r="L15" s="2002"/>
    </row>
    <row r="16" spans="1:12" s="1992" customFormat="1" ht="15" x14ac:dyDescent="0.25">
      <c r="A16" s="2003" t="s">
        <v>2125</v>
      </c>
      <c r="B16" s="2004">
        <v>10.555</v>
      </c>
      <c r="C16" s="1999" t="s">
        <v>2126</v>
      </c>
      <c r="D16" s="1999"/>
      <c r="E16" s="2005">
        <v>278393</v>
      </c>
      <c r="F16" s="2005">
        <f>343570-278393</f>
        <v>65177</v>
      </c>
      <c r="G16" s="2005">
        <v>278393</v>
      </c>
      <c r="H16" s="2005">
        <v>65177</v>
      </c>
      <c r="I16" s="2005"/>
      <c r="J16" s="1999"/>
      <c r="K16" s="2005">
        <f>G16+H16+I16</f>
        <v>343570</v>
      </c>
      <c r="L16" s="2006" t="s">
        <v>2127</v>
      </c>
    </row>
    <row r="17" spans="1:12" s="1992" customFormat="1" ht="15" x14ac:dyDescent="0.25">
      <c r="A17" s="2003" t="s">
        <v>2128</v>
      </c>
      <c r="B17" s="2004">
        <v>10.555</v>
      </c>
      <c r="C17" s="1999" t="s">
        <v>2129</v>
      </c>
      <c r="D17" s="1999"/>
      <c r="E17" s="2005"/>
      <c r="F17" s="2005">
        <v>298999</v>
      </c>
      <c r="G17" s="2005"/>
      <c r="H17" s="2005">
        <v>298999</v>
      </c>
      <c r="I17" s="2005"/>
      <c r="J17" s="2007" t="s">
        <v>2130</v>
      </c>
      <c r="K17" s="2005">
        <f>G17+H17+I17</f>
        <v>298999</v>
      </c>
      <c r="L17" s="2006" t="s">
        <v>2127</v>
      </c>
    </row>
    <row r="18" spans="1:12" s="1992" customFormat="1" ht="15" x14ac:dyDescent="0.25">
      <c r="A18" s="2003"/>
      <c r="B18" s="2004"/>
      <c r="C18" s="1999"/>
      <c r="D18" s="1999"/>
      <c r="E18" s="2005"/>
      <c r="F18" s="2005"/>
      <c r="G18" s="2005"/>
      <c r="H18" s="2005"/>
      <c r="I18" s="1997"/>
      <c r="J18" s="2008"/>
      <c r="K18" s="2005"/>
      <c r="L18" s="2006"/>
    </row>
    <row r="19" spans="1:12" s="1992" customFormat="1" ht="15" hidden="1" x14ac:dyDescent="0.25">
      <c r="A19" s="2003" t="s">
        <v>1058</v>
      </c>
      <c r="B19" s="2004">
        <v>10.553000000000001</v>
      </c>
      <c r="C19" s="1999" t="s">
        <v>2131</v>
      </c>
      <c r="D19" s="1999"/>
      <c r="E19" s="2005"/>
      <c r="F19" s="2005"/>
      <c r="G19" s="2005"/>
      <c r="H19" s="2005"/>
      <c r="I19" s="2005"/>
      <c r="J19" s="1999"/>
      <c r="K19" s="2005">
        <f>G19+H19+I19</f>
        <v>0</v>
      </c>
      <c r="L19" s="2006" t="s">
        <v>2127</v>
      </c>
    </row>
    <row r="20" spans="1:12" s="1992" customFormat="1" ht="15" hidden="1" x14ac:dyDescent="0.25">
      <c r="A20" s="2003" t="s">
        <v>1058</v>
      </c>
      <c r="B20" s="2004">
        <v>10.553000000000001</v>
      </c>
      <c r="C20" s="1999" t="s">
        <v>2132</v>
      </c>
      <c r="D20" s="1999"/>
      <c r="E20" s="2005"/>
      <c r="F20" s="2005"/>
      <c r="G20" s="2005"/>
      <c r="H20" s="2005"/>
      <c r="I20" s="2005"/>
      <c r="J20" s="1999"/>
      <c r="K20" s="2005">
        <f>G20+H20+I20</f>
        <v>0</v>
      </c>
      <c r="L20" s="2006" t="s">
        <v>2127</v>
      </c>
    </row>
    <row r="21" spans="1:12" s="1992" customFormat="1" ht="15" hidden="1" x14ac:dyDescent="0.25">
      <c r="A21" s="2003"/>
      <c r="B21" s="2004"/>
      <c r="C21" s="1999"/>
      <c r="D21" s="1999"/>
      <c r="E21" s="2005"/>
      <c r="F21" s="2005"/>
      <c r="G21" s="2005"/>
      <c r="H21" s="2005"/>
      <c r="I21" s="2005"/>
      <c r="J21" s="2008"/>
      <c r="K21" s="2005"/>
      <c r="L21" s="2006"/>
    </row>
    <row r="22" spans="1:12" s="1992" customFormat="1" ht="15" hidden="1" x14ac:dyDescent="0.25">
      <c r="A22" s="2003" t="s">
        <v>2133</v>
      </c>
      <c r="B22" s="2004">
        <v>10.55</v>
      </c>
      <c r="C22" s="1999" t="s">
        <v>2134</v>
      </c>
      <c r="D22" s="1999"/>
      <c r="E22" s="2005"/>
      <c r="F22" s="2009"/>
      <c r="G22" s="2005"/>
      <c r="H22" s="2005"/>
      <c r="I22" s="2005"/>
      <c r="J22" s="1999"/>
      <c r="K22" s="2005">
        <f>G22+H22+I22</f>
        <v>0</v>
      </c>
      <c r="L22" s="2006" t="s">
        <v>2127</v>
      </c>
    </row>
    <row r="23" spans="1:12" s="1992" customFormat="1" ht="15" hidden="1" x14ac:dyDescent="0.25">
      <c r="A23" s="2003" t="s">
        <v>2133</v>
      </c>
      <c r="B23" s="2004">
        <v>10.55</v>
      </c>
      <c r="C23" s="1999" t="s">
        <v>2134</v>
      </c>
      <c r="D23" s="1999"/>
      <c r="E23" s="2009"/>
      <c r="F23" s="2009"/>
      <c r="G23" s="2005"/>
      <c r="H23" s="2005"/>
      <c r="I23" s="2005"/>
      <c r="J23" s="1999"/>
      <c r="K23" s="2005">
        <f>G23+H23+I23</f>
        <v>0</v>
      </c>
      <c r="L23" s="2006"/>
    </row>
    <row r="24" spans="1:12" s="1992" customFormat="1" ht="15" hidden="1" x14ac:dyDescent="0.25">
      <c r="A24" s="2010"/>
      <c r="B24" s="2004"/>
      <c r="C24" s="1999"/>
      <c r="D24" s="1999"/>
      <c r="E24" s="2005"/>
      <c r="F24" s="2005"/>
      <c r="G24" s="2005"/>
      <c r="H24" s="2005"/>
      <c r="I24" s="2005"/>
      <c r="J24" s="2008"/>
      <c r="K24" s="2005"/>
      <c r="L24" s="2006"/>
    </row>
    <row r="25" spans="1:12" s="1992" customFormat="1" ht="15" x14ac:dyDescent="0.25">
      <c r="A25" s="2003" t="s">
        <v>2135</v>
      </c>
      <c r="B25" s="2004"/>
      <c r="C25" s="1999"/>
      <c r="D25" s="1999"/>
      <c r="E25" s="2005"/>
      <c r="F25" s="2005"/>
      <c r="G25" s="2005"/>
      <c r="H25" s="2005"/>
      <c r="I25" s="2005"/>
      <c r="J25" s="2008"/>
      <c r="K25" s="2005"/>
      <c r="L25" s="2006"/>
    </row>
    <row r="26" spans="1:12" s="1992" customFormat="1" ht="15" x14ac:dyDescent="0.25">
      <c r="A26" s="2011" t="s">
        <v>2136</v>
      </c>
      <c r="B26" s="2004">
        <v>10.555</v>
      </c>
      <c r="C26" s="1999" t="s">
        <v>2137</v>
      </c>
      <c r="D26" s="1999"/>
      <c r="E26" s="2005"/>
      <c r="F26" s="2005"/>
      <c r="G26" s="2005">
        <v>42000</v>
      </c>
      <c r="H26" s="2005"/>
      <c r="I26" s="2005"/>
      <c r="J26" s="2012"/>
      <c r="K26" s="2005">
        <f>G26+H26+I26</f>
        <v>42000</v>
      </c>
      <c r="L26" s="2006" t="s">
        <v>2127</v>
      </c>
    </row>
    <row r="27" spans="1:12" s="1992" customFormat="1" ht="15" x14ac:dyDescent="0.25">
      <c r="A27" s="2011" t="s">
        <v>2138</v>
      </c>
      <c r="B27" s="2004">
        <v>10.555</v>
      </c>
      <c r="C27" s="1999" t="s">
        <v>2139</v>
      </c>
      <c r="D27" s="1999"/>
      <c r="E27" s="2005"/>
      <c r="F27" s="2005"/>
      <c r="H27" s="2005">
        <v>39999</v>
      </c>
      <c r="I27" s="2005">
        <v>0</v>
      </c>
      <c r="J27" s="2012"/>
      <c r="K27" s="2005">
        <f>G27+H27+I27</f>
        <v>39999</v>
      </c>
      <c r="L27" s="2006" t="s">
        <v>2127</v>
      </c>
    </row>
    <row r="28" spans="1:12" s="1992" customFormat="1" ht="15" x14ac:dyDescent="0.25">
      <c r="A28" s="2003"/>
      <c r="B28" s="2004"/>
      <c r="C28" s="1999"/>
      <c r="D28" s="1999"/>
      <c r="E28" s="2005"/>
      <c r="F28" s="2005"/>
      <c r="G28" s="2005"/>
      <c r="H28" s="2005"/>
      <c r="I28" s="2005"/>
      <c r="J28" s="2008"/>
      <c r="K28" s="2005"/>
      <c r="L28" s="2006"/>
    </row>
    <row r="29" spans="1:12" s="1992" customFormat="1" ht="15" x14ac:dyDescent="0.25">
      <c r="A29" s="2013" t="s">
        <v>2140</v>
      </c>
      <c r="B29" s="2014">
        <v>10.555</v>
      </c>
      <c r="C29" s="1999" t="s">
        <v>2137</v>
      </c>
      <c r="D29" s="1991"/>
      <c r="E29" s="2015"/>
      <c r="F29" s="2015"/>
      <c r="G29" s="2015">
        <v>83987</v>
      </c>
      <c r="H29" s="2015"/>
      <c r="I29" s="2015">
        <v>0</v>
      </c>
      <c r="J29" s="2012"/>
      <c r="K29" s="2015">
        <f>G29+H29+I29</f>
        <v>83987</v>
      </c>
      <c r="L29" s="2016" t="s">
        <v>2127</v>
      </c>
    </row>
    <row r="30" spans="1:12" s="1992" customFormat="1" ht="17.25" x14ac:dyDescent="0.25">
      <c r="A30" s="2013" t="s">
        <v>2141</v>
      </c>
      <c r="B30" s="2014">
        <v>10.555</v>
      </c>
      <c r="C30" s="1991" t="s">
        <v>2139</v>
      </c>
      <c r="D30" s="1991"/>
      <c r="E30" s="2017">
        <v>0</v>
      </c>
      <c r="F30" s="2017">
        <v>0</v>
      </c>
      <c r="G30" s="2018">
        <v>0</v>
      </c>
      <c r="H30" s="2017">
        <v>74859</v>
      </c>
      <c r="I30" s="2017">
        <v>0</v>
      </c>
      <c r="J30" s="2012"/>
      <c r="K30" s="2017">
        <f>G30+H30+I30</f>
        <v>74859</v>
      </c>
      <c r="L30" s="2016" t="s">
        <v>2127</v>
      </c>
    </row>
    <row r="31" spans="1:12" s="1992" customFormat="1" ht="17.25" x14ac:dyDescent="0.2">
      <c r="A31" s="2019" t="s">
        <v>2142</v>
      </c>
      <c r="B31" s="2014"/>
      <c r="C31" s="1991"/>
      <c r="D31" s="1991"/>
      <c r="E31" s="2017">
        <f>SUM(E16:E30)</f>
        <v>278393</v>
      </c>
      <c r="F31" s="2017">
        <f>SUM(F16:F30)</f>
        <v>364176</v>
      </c>
      <c r="G31" s="2017">
        <f>SUM(G16:G30)</f>
        <v>404380</v>
      </c>
      <c r="H31" s="2017">
        <f>SUM(H16:H30)</f>
        <v>479034</v>
      </c>
      <c r="I31" s="2017">
        <f>SUM(I16:I30)</f>
        <v>0</v>
      </c>
      <c r="J31" s="2017"/>
      <c r="K31" s="2017">
        <f>SUM(K16:K29)</f>
        <v>808555</v>
      </c>
      <c r="L31" s="2016"/>
    </row>
    <row r="32" spans="1:12" s="1992" customFormat="1" ht="15" x14ac:dyDescent="0.25">
      <c r="A32" s="2010"/>
      <c r="B32" s="2004"/>
      <c r="C32" s="1999"/>
      <c r="D32" s="1999"/>
      <c r="E32" s="2005"/>
      <c r="F32" s="2005"/>
      <c r="G32" s="2005"/>
      <c r="H32" s="2005"/>
      <c r="I32" s="2005"/>
      <c r="J32" s="2008"/>
      <c r="K32" s="2005"/>
      <c r="L32" s="2006"/>
    </row>
    <row r="33" spans="1:12" s="1992" customFormat="1" ht="15" x14ac:dyDescent="0.25">
      <c r="A33" s="2000" t="s">
        <v>2143</v>
      </c>
      <c r="B33" s="2004"/>
      <c r="C33" s="1999"/>
      <c r="D33" s="1999"/>
      <c r="E33" s="2005"/>
      <c r="F33" s="2005"/>
      <c r="G33" s="2005"/>
      <c r="H33" s="2005"/>
      <c r="I33" s="2005"/>
      <c r="J33" s="2008"/>
      <c r="K33" s="2005"/>
      <c r="L33" s="2006"/>
    </row>
    <row r="34" spans="1:12" s="1992" customFormat="1" ht="15" x14ac:dyDescent="0.25">
      <c r="A34" s="2001" t="s">
        <v>2123</v>
      </c>
      <c r="B34" s="2004"/>
      <c r="C34" s="1999"/>
      <c r="D34" s="1999"/>
      <c r="E34" s="2005"/>
      <c r="F34" s="2005"/>
      <c r="G34" s="2005"/>
      <c r="H34" s="2005"/>
      <c r="I34" s="2005"/>
      <c r="J34" s="2008"/>
      <c r="K34" s="2005"/>
      <c r="L34" s="2006"/>
    </row>
    <row r="35" spans="1:12" s="1992" customFormat="1" ht="15" x14ac:dyDescent="0.25">
      <c r="A35" s="2001" t="s">
        <v>2124</v>
      </c>
      <c r="B35" s="2004"/>
      <c r="C35" s="1999"/>
      <c r="D35" s="1999"/>
      <c r="E35" s="2005"/>
      <c r="F35" s="2005"/>
      <c r="G35" s="2005"/>
      <c r="H35" s="2005"/>
      <c r="I35" s="2005"/>
      <c r="J35" s="2008"/>
      <c r="K35" s="2005"/>
      <c r="L35" s="2006"/>
    </row>
    <row r="36" spans="1:12" s="1992" customFormat="1" ht="15" hidden="1" x14ac:dyDescent="0.25">
      <c r="A36" s="2010"/>
      <c r="B36" s="2004"/>
      <c r="C36" s="1999"/>
      <c r="D36" s="1999"/>
      <c r="E36" s="2005"/>
      <c r="F36" s="2005"/>
      <c r="G36" s="2005"/>
      <c r="H36" s="2005"/>
      <c r="I36" s="2005"/>
      <c r="J36" s="2008"/>
      <c r="K36" s="2005"/>
      <c r="L36" s="2006"/>
    </row>
    <row r="37" spans="1:12" s="1992" customFormat="1" ht="15" hidden="1" x14ac:dyDescent="0.25">
      <c r="A37" s="2003" t="s">
        <v>2144</v>
      </c>
      <c r="B37" s="2004">
        <v>84.298000000000002</v>
      </c>
      <c r="C37" s="1999" t="s">
        <v>2145</v>
      </c>
      <c r="D37" s="1999"/>
      <c r="E37" s="2005"/>
      <c r="F37" s="2005"/>
      <c r="G37" s="2005"/>
      <c r="H37" s="1997"/>
      <c r="I37" s="2005"/>
      <c r="J37" s="2008"/>
      <c r="K37" s="2005">
        <f>H37+G37+I37</f>
        <v>0</v>
      </c>
      <c r="L37" s="2005">
        <v>0</v>
      </c>
    </row>
    <row r="38" spans="1:12" s="1992" customFormat="1" ht="15" x14ac:dyDescent="0.25">
      <c r="A38" s="2003"/>
      <c r="B38" s="2020" t="s">
        <v>1168</v>
      </c>
      <c r="C38" s="2010" t="s">
        <v>1168</v>
      </c>
      <c r="D38" s="2010"/>
      <c r="E38" s="2005"/>
      <c r="F38" s="2005"/>
      <c r="G38" s="2005"/>
      <c r="H38" s="2005"/>
      <c r="I38" s="2005" t="s">
        <v>1168</v>
      </c>
      <c r="J38" s="2008"/>
      <c r="K38" s="2005"/>
      <c r="L38" s="2005"/>
    </row>
    <row r="39" spans="1:12" s="1992" customFormat="1" ht="15" x14ac:dyDescent="0.25">
      <c r="A39" s="2021" t="s">
        <v>917</v>
      </c>
      <c r="B39" s="2004" t="s">
        <v>2146</v>
      </c>
      <c r="C39" s="1999" t="s">
        <v>2147</v>
      </c>
      <c r="D39" s="1999"/>
      <c r="E39" s="2005">
        <v>152936</v>
      </c>
      <c r="F39" s="2005">
        <f>372763-152936</f>
        <v>219827</v>
      </c>
      <c r="G39" s="2005">
        <v>333789</v>
      </c>
      <c r="H39" s="2005">
        <f>372763-333789</f>
        <v>38974</v>
      </c>
      <c r="I39" s="2005"/>
      <c r="J39" s="2008"/>
      <c r="K39" s="2005">
        <f>I39+H39+G39</f>
        <v>372763</v>
      </c>
      <c r="L39" s="2005">
        <v>441698</v>
      </c>
    </row>
    <row r="40" spans="1:12" s="1992" customFormat="1" ht="15" x14ac:dyDescent="0.25">
      <c r="A40" s="2021" t="s">
        <v>917</v>
      </c>
      <c r="B40" s="2004" t="s">
        <v>2146</v>
      </c>
      <c r="C40" s="1999" t="s">
        <v>2148</v>
      </c>
      <c r="D40" s="1999"/>
      <c r="E40" s="2005"/>
      <c r="F40" s="2005">
        <v>165247</v>
      </c>
      <c r="G40" s="2005"/>
      <c r="H40" s="2005">
        <v>253410</v>
      </c>
      <c r="I40" s="2005"/>
      <c r="J40" s="2007" t="s">
        <v>2130</v>
      </c>
      <c r="K40" s="2005">
        <f>I40+H40+G40</f>
        <v>253410</v>
      </c>
      <c r="L40" s="2005">
        <v>469840</v>
      </c>
    </row>
    <row r="41" spans="1:12" s="1992" customFormat="1" ht="15" x14ac:dyDescent="0.25">
      <c r="A41" s="2021"/>
      <c r="B41" s="2004"/>
      <c r="C41" s="1999"/>
      <c r="D41" s="1999"/>
      <c r="E41" s="2005"/>
      <c r="F41" s="2005"/>
      <c r="G41" s="2005"/>
      <c r="H41" s="2005"/>
      <c r="I41" s="2005"/>
      <c r="J41" s="2008"/>
      <c r="K41" s="2005"/>
      <c r="L41" s="2005"/>
    </row>
    <row r="42" spans="1:12" s="1992" customFormat="1" ht="15" x14ac:dyDescent="0.25">
      <c r="A42" s="2021" t="s">
        <v>2149</v>
      </c>
      <c r="B42" s="2004" t="s">
        <v>2146</v>
      </c>
      <c r="C42" s="1999" t="s">
        <v>2150</v>
      </c>
      <c r="D42" s="1999"/>
      <c r="E42" s="2005"/>
      <c r="F42" s="2005"/>
      <c r="G42" s="2005"/>
      <c r="H42" s="2005"/>
      <c r="I42" s="2005"/>
      <c r="J42" s="2007" t="s">
        <v>2130</v>
      </c>
      <c r="K42" s="2005">
        <f>I42+H42+G42</f>
        <v>0</v>
      </c>
      <c r="L42" s="2005">
        <v>30000</v>
      </c>
    </row>
    <row r="43" spans="1:12" s="1992" customFormat="1" ht="15" x14ac:dyDescent="0.25">
      <c r="A43" s="2021"/>
      <c r="B43" s="2004"/>
      <c r="C43" s="1999"/>
      <c r="D43" s="1999"/>
      <c r="E43" s="2005"/>
      <c r="F43" s="2005"/>
      <c r="G43" s="2005"/>
      <c r="H43" s="2005"/>
      <c r="I43" s="2005"/>
      <c r="J43" s="2008"/>
      <c r="K43" s="2005"/>
      <c r="L43" s="2005"/>
    </row>
    <row r="44" spans="1:12" s="1992" customFormat="1" ht="15" x14ac:dyDescent="0.25">
      <c r="A44" s="2003" t="s">
        <v>2151</v>
      </c>
      <c r="B44" s="2004">
        <v>84.027000000000001</v>
      </c>
      <c r="C44" s="1999" t="s">
        <v>2152</v>
      </c>
      <c r="D44" s="1999"/>
      <c r="E44" s="2005"/>
      <c r="F44" s="2005">
        <v>7523</v>
      </c>
      <c r="G44" s="2005">
        <v>7523</v>
      </c>
      <c r="H44" s="2005"/>
      <c r="I44" s="2005"/>
      <c r="J44" s="2008"/>
      <c r="K44" s="2005">
        <f>I44+H44+G44</f>
        <v>7523</v>
      </c>
      <c r="L44" s="2006" t="s">
        <v>2127</v>
      </c>
    </row>
    <row r="45" spans="1:12" s="1992" customFormat="1" ht="15" x14ac:dyDescent="0.25">
      <c r="A45" s="2003" t="s">
        <v>2151</v>
      </c>
      <c r="B45" s="2004">
        <v>84.027000000000001</v>
      </c>
      <c r="C45" s="1999" t="s">
        <v>2153</v>
      </c>
      <c r="D45" s="1999"/>
      <c r="E45" s="2005"/>
      <c r="F45" s="2005"/>
      <c r="G45" s="2005"/>
      <c r="H45" s="2005">
        <v>74902.37</v>
      </c>
      <c r="I45" s="2005"/>
      <c r="J45" s="2007" t="s">
        <v>2130</v>
      </c>
      <c r="K45" s="2005">
        <f>I45+H45+G45</f>
        <v>74902.37</v>
      </c>
      <c r="L45" s="2006" t="s">
        <v>2127</v>
      </c>
    </row>
    <row r="46" spans="1:12" s="1992" customFormat="1" ht="15" hidden="1" x14ac:dyDescent="0.25">
      <c r="A46" s="2003"/>
      <c r="B46" s="2004"/>
      <c r="C46" s="1999"/>
      <c r="D46" s="1999"/>
      <c r="E46" s="2005"/>
      <c r="F46" s="2005"/>
      <c r="G46" s="2005"/>
      <c r="H46" s="2005"/>
      <c r="I46" s="2005"/>
      <c r="J46" s="2008"/>
      <c r="K46" s="2005">
        <f>I46+H46+G46</f>
        <v>0</v>
      </c>
      <c r="L46" s="2006"/>
    </row>
    <row r="47" spans="1:12" s="1992" customFormat="1" ht="15" hidden="1" x14ac:dyDescent="0.25">
      <c r="A47" s="2021" t="s">
        <v>2154</v>
      </c>
      <c r="B47" s="2004">
        <v>84.027000000000001</v>
      </c>
      <c r="C47" s="1999" t="s">
        <v>2155</v>
      </c>
      <c r="D47" s="1999"/>
      <c r="E47" s="2005"/>
      <c r="F47" s="2022"/>
      <c r="G47" s="2005"/>
      <c r="H47" s="2022"/>
      <c r="I47" s="2005"/>
      <c r="J47" s="2008"/>
      <c r="K47" s="2005">
        <f>I47+H47+G47</f>
        <v>0</v>
      </c>
      <c r="L47" s="2006" t="s">
        <v>2127</v>
      </c>
    </row>
    <row r="48" spans="1:12" s="1992" customFormat="1" ht="15" hidden="1" x14ac:dyDescent="0.25">
      <c r="A48" s="2021" t="s">
        <v>2156</v>
      </c>
      <c r="B48" s="2004">
        <v>84.027000000000001</v>
      </c>
      <c r="C48" s="1999" t="s">
        <v>2157</v>
      </c>
      <c r="D48" s="1999"/>
      <c r="E48" s="2005"/>
      <c r="F48" s="2005"/>
      <c r="G48" s="2005"/>
      <c r="H48" s="2005"/>
      <c r="I48" s="2005"/>
      <c r="J48" s="1999"/>
      <c r="K48" s="2005">
        <f>I48+H48+G48</f>
        <v>0</v>
      </c>
      <c r="L48" s="2006" t="s">
        <v>2127</v>
      </c>
    </row>
    <row r="49" spans="1:12" s="1992" customFormat="1" ht="15" x14ac:dyDescent="0.25">
      <c r="A49" s="2003"/>
      <c r="B49" s="2004"/>
      <c r="C49" s="1999"/>
      <c r="D49" s="1999"/>
      <c r="E49" s="2005"/>
      <c r="F49" s="2005"/>
      <c r="G49" s="2005"/>
      <c r="H49" s="2005"/>
      <c r="I49" s="2005"/>
      <c r="J49" s="1999"/>
      <c r="K49" s="2005"/>
      <c r="L49" s="2006"/>
    </row>
    <row r="50" spans="1:12" s="1992" customFormat="1" ht="15" x14ac:dyDescent="0.25">
      <c r="A50" s="2003" t="s">
        <v>1455</v>
      </c>
      <c r="B50" s="2004">
        <v>84.364999999999995</v>
      </c>
      <c r="C50" s="1999" t="s">
        <v>2158</v>
      </c>
      <c r="D50" s="1999"/>
      <c r="E50" s="2005"/>
      <c r="F50" s="2005">
        <v>808</v>
      </c>
      <c r="G50" s="2005"/>
      <c r="H50" s="2005">
        <v>808</v>
      </c>
      <c r="I50" s="2005"/>
      <c r="J50" s="1999"/>
      <c r="K50" s="2005">
        <f>I50+H50+G50</f>
        <v>808</v>
      </c>
      <c r="L50" s="2006">
        <v>811</v>
      </c>
    </row>
    <row r="51" spans="1:12" s="1992" customFormat="1" ht="15" x14ac:dyDescent="0.25">
      <c r="A51" s="2003" t="s">
        <v>1455</v>
      </c>
      <c r="B51" s="2004">
        <v>84.364999999999995</v>
      </c>
      <c r="C51" s="1999" t="s">
        <v>2159</v>
      </c>
      <c r="D51" s="1999"/>
      <c r="E51" s="2005"/>
      <c r="F51" s="2005"/>
      <c r="G51" s="2005"/>
      <c r="H51" s="2005"/>
      <c r="I51" s="2005"/>
      <c r="J51" s="2007" t="s">
        <v>2130</v>
      </c>
      <c r="K51" s="2005">
        <f>I51+H51+G51</f>
        <v>0</v>
      </c>
      <c r="L51" s="2006">
        <v>30000</v>
      </c>
    </row>
    <row r="52" spans="1:12" s="1992" customFormat="1" ht="15" x14ac:dyDescent="0.25">
      <c r="A52" s="2003"/>
      <c r="B52" s="2004"/>
      <c r="C52" s="1999"/>
      <c r="D52" s="1999"/>
      <c r="E52" s="2005"/>
      <c r="F52" s="2005"/>
      <c r="G52" s="2005"/>
      <c r="H52" s="2005"/>
      <c r="I52" s="2005"/>
      <c r="J52" s="1999"/>
      <c r="K52" s="2005"/>
      <c r="L52" s="2006"/>
    </row>
    <row r="53" spans="1:12" s="1992" customFormat="1" ht="15" x14ac:dyDescent="0.25">
      <c r="A53" s="2003" t="s">
        <v>2160</v>
      </c>
      <c r="B53" s="2004" t="s">
        <v>2161</v>
      </c>
      <c r="C53" s="1999" t="s">
        <v>2162</v>
      </c>
      <c r="D53" s="1999"/>
      <c r="E53" s="2005">
        <v>4610</v>
      </c>
      <c r="F53" s="2005">
        <f>13236-4610</f>
        <v>8626</v>
      </c>
      <c r="G53" s="2005">
        <v>11721</v>
      </c>
      <c r="H53" s="2005">
        <f>13236-11721</f>
        <v>1515</v>
      </c>
      <c r="I53" s="2005"/>
      <c r="J53" s="2008"/>
      <c r="K53" s="2005">
        <f>I53+H53+G53</f>
        <v>13236</v>
      </c>
      <c r="L53" s="2006">
        <v>28503</v>
      </c>
    </row>
    <row r="54" spans="1:12" s="1992" customFormat="1" ht="15" x14ac:dyDescent="0.25">
      <c r="A54" s="2003" t="s">
        <v>2160</v>
      </c>
      <c r="B54" s="2004" t="s">
        <v>2161</v>
      </c>
      <c r="C54" s="1999" t="s">
        <v>2163</v>
      </c>
      <c r="D54" s="2007"/>
      <c r="E54" s="2005"/>
      <c r="F54" s="2005">
        <v>4591</v>
      </c>
      <c r="G54" s="2005"/>
      <c r="H54" s="2005">
        <v>31208</v>
      </c>
      <c r="I54" s="2005"/>
      <c r="J54" s="2007" t="s">
        <v>2130</v>
      </c>
      <c r="K54" s="2005">
        <f>I54+H54+G54</f>
        <v>31208</v>
      </c>
      <c r="L54" s="2006">
        <v>43667</v>
      </c>
    </row>
    <row r="55" spans="1:12" s="1992" customFormat="1" ht="15" x14ac:dyDescent="0.25">
      <c r="A55" s="2021"/>
      <c r="B55" s="2004"/>
      <c r="C55" s="1999"/>
      <c r="D55" s="1999"/>
      <c r="E55" s="2005"/>
      <c r="F55" s="2005"/>
      <c r="G55" s="2005"/>
      <c r="H55" s="2005"/>
      <c r="I55" s="2005"/>
      <c r="J55" s="2008"/>
      <c r="K55" s="2005"/>
      <c r="L55" s="2005"/>
    </row>
    <row r="56" spans="1:12" s="1992" customFormat="1" ht="15" x14ac:dyDescent="0.25">
      <c r="A56" s="2021" t="s">
        <v>757</v>
      </c>
      <c r="B56" s="2004">
        <v>84.367000000000004</v>
      </c>
      <c r="C56" s="1999" t="s">
        <v>2164</v>
      </c>
      <c r="D56" s="1999"/>
      <c r="E56" s="2005">
        <v>36234</v>
      </c>
      <c r="F56" s="2005">
        <f>73550-36234</f>
        <v>37316</v>
      </c>
      <c r="G56" s="2005">
        <v>63288</v>
      </c>
      <c r="H56" s="2005">
        <f>73550-63288</f>
        <v>10262</v>
      </c>
      <c r="I56" s="2005"/>
      <c r="J56" s="2008"/>
      <c r="K56" s="2005">
        <f>I56+H56+G56</f>
        <v>73550</v>
      </c>
      <c r="L56" s="2005">
        <v>110207</v>
      </c>
    </row>
    <row r="57" spans="1:12" s="1992" customFormat="1" ht="15" x14ac:dyDescent="0.25">
      <c r="A57" s="2021" t="s">
        <v>757</v>
      </c>
      <c r="B57" s="2004">
        <v>84.367000000000004</v>
      </c>
      <c r="C57" s="1999" t="s">
        <v>2165</v>
      </c>
      <c r="D57" s="1999"/>
      <c r="E57" s="2005"/>
      <c r="F57" s="2005">
        <v>52303</v>
      </c>
      <c r="G57" s="2005"/>
      <c r="H57" s="2005">
        <v>88559</v>
      </c>
      <c r="I57" s="2005"/>
      <c r="J57" s="2008"/>
      <c r="K57" s="2005">
        <f>I57+H57+G57</f>
        <v>88559</v>
      </c>
      <c r="L57" s="2005">
        <v>134929</v>
      </c>
    </row>
    <row r="58" spans="1:12" s="1992" customFormat="1" ht="15" x14ac:dyDescent="0.25">
      <c r="A58" s="2021"/>
      <c r="B58" s="2004"/>
      <c r="C58" s="1999"/>
      <c r="D58" s="1999"/>
      <c r="E58" s="2005"/>
      <c r="F58" s="2005"/>
      <c r="G58" s="2005"/>
      <c r="H58" s="2005"/>
      <c r="I58" s="2005"/>
      <c r="J58" s="2008"/>
      <c r="K58" s="2005"/>
      <c r="L58" s="2005"/>
    </row>
    <row r="59" spans="1:12" s="1992" customFormat="1" ht="15" x14ac:dyDescent="0.25">
      <c r="A59" s="2023" t="s">
        <v>2123</v>
      </c>
      <c r="B59" s="2004"/>
      <c r="C59" s="1999"/>
      <c r="D59" s="1999"/>
      <c r="E59" s="2024"/>
      <c r="F59" s="2024"/>
      <c r="G59" s="2024"/>
      <c r="H59" s="2024"/>
      <c r="I59" s="2024"/>
      <c r="J59" s="2008"/>
      <c r="K59" s="2024"/>
      <c r="L59" s="2006"/>
    </row>
    <row r="60" spans="1:12" s="1992" customFormat="1" ht="15" x14ac:dyDescent="0.25">
      <c r="A60" s="2025" t="s">
        <v>2091</v>
      </c>
      <c r="B60" s="2004"/>
      <c r="C60" s="1999"/>
      <c r="D60" s="1999"/>
      <c r="E60" s="2024"/>
      <c r="F60" s="2024"/>
      <c r="G60" s="2024"/>
      <c r="H60" s="2024"/>
      <c r="I60" s="2024"/>
      <c r="J60" s="2008"/>
      <c r="K60" s="2024"/>
      <c r="L60" s="2006"/>
    </row>
    <row r="61" spans="1:12" s="1992" customFormat="1" ht="15" x14ac:dyDescent="0.25">
      <c r="A61" s="2021"/>
      <c r="B61" s="2004"/>
      <c r="C61" s="1999"/>
      <c r="D61" s="1999"/>
      <c r="E61" s="2024"/>
      <c r="F61" s="2024"/>
      <c r="G61" s="2024"/>
      <c r="H61" s="2024"/>
      <c r="I61" s="2024"/>
      <c r="J61" s="2008"/>
      <c r="K61" s="2024"/>
      <c r="L61" s="2006"/>
    </row>
    <row r="62" spans="1:12" s="1992" customFormat="1" ht="15" x14ac:dyDescent="0.25">
      <c r="A62" s="2021" t="s">
        <v>2166</v>
      </c>
      <c r="B62" s="2004" t="s">
        <v>2167</v>
      </c>
      <c r="C62" s="1999" t="s">
        <v>2168</v>
      </c>
      <c r="D62" s="1999"/>
      <c r="E62" s="2005"/>
      <c r="F62" s="2005">
        <v>138</v>
      </c>
      <c r="G62" s="2005"/>
      <c r="H62" s="2005">
        <v>138</v>
      </c>
      <c r="I62" s="2005">
        <v>0</v>
      </c>
      <c r="J62" s="2008"/>
      <c r="K62" s="2005">
        <f>+G62+H62+I62</f>
        <v>138</v>
      </c>
      <c r="L62" s="2006">
        <v>138</v>
      </c>
    </row>
    <row r="63" spans="1:12" s="1992" customFormat="1" ht="15" x14ac:dyDescent="0.25">
      <c r="A63" s="2021"/>
      <c r="B63" s="2004"/>
      <c r="C63" s="1999"/>
      <c r="D63" s="1999"/>
      <c r="E63" s="2024"/>
      <c r="F63" s="2024"/>
      <c r="G63" s="2024"/>
      <c r="H63" s="2024"/>
      <c r="I63" s="2024"/>
      <c r="J63" s="2008"/>
      <c r="K63" s="2024"/>
      <c r="L63" s="2006"/>
    </row>
    <row r="64" spans="1:12" s="1992" customFormat="1" ht="15" x14ac:dyDescent="0.25">
      <c r="A64" s="2003" t="s">
        <v>2169</v>
      </c>
      <c r="B64" s="2004">
        <v>84.027000000000001</v>
      </c>
      <c r="C64" s="1999" t="s">
        <v>2170</v>
      </c>
      <c r="D64" s="1999"/>
      <c r="E64" s="2005">
        <v>60443</v>
      </c>
      <c r="F64" s="2005">
        <v>17373</v>
      </c>
      <c r="G64" s="2005">
        <v>77816</v>
      </c>
      <c r="H64" s="2005"/>
      <c r="I64" s="2024"/>
      <c r="J64" s="2008"/>
      <c r="K64" s="2005">
        <f>+G64+H64+I64</f>
        <v>77816</v>
      </c>
      <c r="L64" s="2006">
        <v>77876</v>
      </c>
    </row>
    <row r="65" spans="1:12" s="1992" customFormat="1" ht="17.25" x14ac:dyDescent="0.25">
      <c r="A65" s="2021" t="s">
        <v>2169</v>
      </c>
      <c r="B65" s="2004">
        <v>84.027000000000001</v>
      </c>
      <c r="C65" s="1999" t="s">
        <v>2171</v>
      </c>
      <c r="D65" s="1999"/>
      <c r="E65" s="2017">
        <v>0</v>
      </c>
      <c r="F65" s="2017">
        <f>14521+22771+18658</f>
        <v>55950</v>
      </c>
      <c r="G65" s="2017">
        <v>0</v>
      </c>
      <c r="H65" s="2017">
        <f>14521+22771+18658+16680</f>
        <v>72630</v>
      </c>
      <c r="I65" s="2017">
        <v>0</v>
      </c>
      <c r="J65" s="2008"/>
      <c r="K65" s="2017">
        <f>+G65+H65+I65</f>
        <v>72630</v>
      </c>
      <c r="L65" s="2006">
        <v>83314</v>
      </c>
    </row>
    <row r="66" spans="1:12" s="1992" customFormat="1" ht="15" x14ac:dyDescent="0.25">
      <c r="A66" s="2021"/>
      <c r="B66" s="2004"/>
      <c r="C66" s="1999"/>
      <c r="D66" s="1999"/>
      <c r="E66" s="2024"/>
      <c r="F66" s="2024"/>
      <c r="G66" s="2024"/>
      <c r="H66" s="2024"/>
      <c r="I66" s="2024"/>
      <c r="J66" s="2008"/>
      <c r="K66" s="2024"/>
      <c r="L66" s="2006"/>
    </row>
    <row r="67" spans="1:12" s="1992" customFormat="1" ht="17.25" x14ac:dyDescent="0.2">
      <c r="A67" s="2026" t="s">
        <v>2172</v>
      </c>
      <c r="B67" s="2027"/>
      <c r="C67" s="1990"/>
      <c r="D67" s="1990"/>
      <c r="E67" s="2017">
        <f>SUM(E36:E66)</f>
        <v>254223</v>
      </c>
      <c r="F67" s="2017">
        <f>SUM(F36:F66)</f>
        <v>569702</v>
      </c>
      <c r="G67" s="2017">
        <f>SUM(G36:G66)</f>
        <v>494137</v>
      </c>
      <c r="H67" s="2017">
        <f>SUM(H36:H66)</f>
        <v>572406.37</v>
      </c>
      <c r="I67" s="2017">
        <f>SUM(I36:I66)</f>
        <v>0</v>
      </c>
      <c r="J67" s="2017"/>
      <c r="K67" s="2017">
        <f>SUM(K36:K66)</f>
        <v>1066543.3700000001</v>
      </c>
      <c r="L67" s="2028"/>
    </row>
    <row r="68" spans="1:12" s="1992" customFormat="1" ht="15" x14ac:dyDescent="0.2">
      <c r="A68" s="1990"/>
      <c r="B68" s="2014"/>
      <c r="C68" s="1993"/>
      <c r="D68" s="1993"/>
      <c r="E68" s="2015"/>
      <c r="F68" s="2015"/>
      <c r="G68" s="2015"/>
      <c r="H68" s="2015"/>
      <c r="I68" s="2015"/>
      <c r="J68" s="2029"/>
      <c r="K68" s="2015"/>
      <c r="L68" s="2015"/>
    </row>
    <row r="69" spans="1:12" s="1992" customFormat="1" ht="15" hidden="1" x14ac:dyDescent="0.2">
      <c r="A69" s="2019" t="s">
        <v>2173</v>
      </c>
      <c r="B69" s="2014"/>
      <c r="C69" s="1993"/>
      <c r="D69" s="1993"/>
      <c r="E69" s="2015"/>
      <c r="F69" s="2015"/>
      <c r="G69" s="2015"/>
      <c r="H69" s="2015"/>
      <c r="I69" s="2015"/>
      <c r="J69" s="2029"/>
      <c r="K69" s="2015"/>
      <c r="L69" s="2015"/>
    </row>
    <row r="70" spans="1:12" s="1992" customFormat="1" ht="15" hidden="1" x14ac:dyDescent="0.2">
      <c r="A70" s="2023" t="s">
        <v>2123</v>
      </c>
      <c r="B70" s="2014"/>
      <c r="C70" s="1993"/>
      <c r="D70" s="1993"/>
      <c r="E70" s="2015"/>
      <c r="F70" s="2015"/>
      <c r="G70" s="2015"/>
      <c r="H70" s="2015"/>
      <c r="I70" s="2015"/>
      <c r="J70" s="2029"/>
      <c r="K70" s="2015"/>
      <c r="L70" s="2015"/>
    </row>
    <row r="71" spans="1:12" s="1992" customFormat="1" ht="15" hidden="1" x14ac:dyDescent="0.2">
      <c r="A71" s="2023" t="s">
        <v>2174</v>
      </c>
      <c r="B71" s="2014"/>
      <c r="C71" s="1993"/>
      <c r="D71" s="1993"/>
      <c r="E71" s="2015"/>
      <c r="F71" s="2015"/>
      <c r="G71" s="2015"/>
      <c r="H71" s="2015"/>
      <c r="I71" s="2015"/>
      <c r="J71" s="2029"/>
      <c r="K71" s="2015"/>
      <c r="L71" s="2015"/>
    </row>
    <row r="72" spans="1:12" s="1992" customFormat="1" ht="15" hidden="1" x14ac:dyDescent="0.2">
      <c r="A72" s="1990"/>
      <c r="B72" s="2014"/>
      <c r="C72" s="1993"/>
      <c r="D72" s="1993"/>
      <c r="E72" s="2015"/>
      <c r="F72" s="2015"/>
      <c r="G72" s="2015"/>
      <c r="H72" s="2015"/>
      <c r="I72" s="2015"/>
      <c r="J72" s="2029"/>
      <c r="K72" s="2015"/>
      <c r="L72" s="2015"/>
    </row>
    <row r="73" spans="1:12" s="1992" customFormat="1" ht="16.5" hidden="1" customHeight="1" x14ac:dyDescent="0.2">
      <c r="A73" s="2013" t="s">
        <v>2175</v>
      </c>
      <c r="B73" s="2014">
        <v>93.778000000000006</v>
      </c>
      <c r="C73" s="1991" t="s">
        <v>2176</v>
      </c>
      <c r="D73" s="1991"/>
      <c r="E73" s="2017">
        <v>0</v>
      </c>
      <c r="F73" s="2017">
        <v>0</v>
      </c>
      <c r="G73" s="2017">
        <v>0</v>
      </c>
      <c r="H73" s="2017">
        <v>0</v>
      </c>
      <c r="I73" s="2017">
        <v>0</v>
      </c>
      <c r="J73" s="2029"/>
      <c r="K73" s="2017">
        <f>G73+I73+H73</f>
        <v>0</v>
      </c>
      <c r="L73" s="2029" t="s">
        <v>2127</v>
      </c>
    </row>
    <row r="74" spans="1:12" s="1992" customFormat="1" ht="17.25" hidden="1" x14ac:dyDescent="0.2">
      <c r="A74" s="2019" t="s">
        <v>2177</v>
      </c>
      <c r="B74" s="2014"/>
      <c r="C74" s="1990"/>
      <c r="D74" s="1990"/>
      <c r="E74" s="2017">
        <f>SUM(E72:E73)</f>
        <v>0</v>
      </c>
      <c r="F74" s="2017">
        <f>SUM(F70:F73)</f>
        <v>0</v>
      </c>
      <c r="G74" s="2017">
        <f>SUM(G73:G73)</f>
        <v>0</v>
      </c>
      <c r="H74" s="2017">
        <f>SUM(H70:H73)</f>
        <v>0</v>
      </c>
      <c r="I74" s="2017">
        <f>SUM(I70:I72)</f>
        <v>0</v>
      </c>
      <c r="J74" s="2017"/>
      <c r="K74" s="2017">
        <f>SUM(K70:K73)</f>
        <v>0</v>
      </c>
      <c r="L74" s="2015"/>
    </row>
    <row r="75" spans="1:12" s="1992" customFormat="1" ht="15" hidden="1" x14ac:dyDescent="0.2">
      <c r="A75" s="1990"/>
      <c r="B75" s="2014"/>
      <c r="C75" s="1993"/>
      <c r="D75" s="1993"/>
      <c r="E75" s="2015"/>
      <c r="F75" s="2015"/>
      <c r="G75" s="2015"/>
      <c r="H75" s="2015"/>
      <c r="I75" s="2015"/>
      <c r="J75" s="2029"/>
      <c r="K75" s="2015"/>
      <c r="L75" s="2015"/>
    </row>
    <row r="76" spans="1:12" s="1992" customFormat="1" ht="15" x14ac:dyDescent="0.2">
      <c r="A76" s="2019" t="s">
        <v>2178</v>
      </c>
      <c r="B76" s="2014"/>
      <c r="C76" s="1993"/>
      <c r="D76" s="1993"/>
      <c r="E76" s="2015"/>
      <c r="F76" s="2015"/>
      <c r="G76" s="2015"/>
      <c r="H76" s="2015"/>
      <c r="I76" s="2015"/>
      <c r="J76" s="2029"/>
      <c r="K76" s="2015"/>
      <c r="L76" s="2015"/>
    </row>
    <row r="77" spans="1:12" s="1992" customFormat="1" ht="15" x14ac:dyDescent="0.2">
      <c r="A77" s="2023" t="s">
        <v>2123</v>
      </c>
      <c r="B77" s="2014"/>
      <c r="C77" s="1993"/>
      <c r="D77" s="1993"/>
      <c r="E77" s="2015"/>
      <c r="F77" s="2015"/>
      <c r="G77" s="2015"/>
      <c r="H77" s="2015"/>
      <c r="I77" s="2015"/>
      <c r="J77" s="2029"/>
      <c r="K77" s="2015"/>
      <c r="L77" s="2015"/>
    </row>
    <row r="78" spans="1:12" s="1992" customFormat="1" ht="15" x14ac:dyDescent="0.2">
      <c r="A78" s="2023" t="s">
        <v>2179</v>
      </c>
      <c r="B78" s="2014"/>
      <c r="C78" s="1993"/>
      <c r="D78" s="1993"/>
      <c r="E78" s="2015"/>
      <c r="F78" s="2015"/>
      <c r="G78" s="2015"/>
      <c r="H78" s="2015"/>
      <c r="I78" s="2015"/>
      <c r="J78" s="2029"/>
      <c r="K78" s="2015"/>
      <c r="L78" s="2015"/>
    </row>
    <row r="79" spans="1:12" s="1992" customFormat="1" ht="15" x14ac:dyDescent="0.2">
      <c r="A79" s="1990"/>
      <c r="B79" s="2014"/>
      <c r="C79" s="1993"/>
      <c r="D79" s="1993"/>
      <c r="E79" s="2015"/>
      <c r="F79" s="2015"/>
      <c r="G79" s="2015"/>
      <c r="H79" s="2015"/>
      <c r="I79" s="2015"/>
      <c r="J79" s="2029"/>
      <c r="K79" s="2015"/>
      <c r="L79" s="2015"/>
    </row>
    <row r="80" spans="1:12" s="1992" customFormat="1" ht="16.5" customHeight="1" x14ac:dyDescent="0.2">
      <c r="A80" s="2013" t="s">
        <v>2180</v>
      </c>
      <c r="B80" s="2014">
        <v>93.778000000000006</v>
      </c>
      <c r="C80" s="1991" t="s">
        <v>2181</v>
      </c>
      <c r="D80" s="1991"/>
      <c r="E80" s="2015">
        <v>19723</v>
      </c>
      <c r="F80" s="2015">
        <v>31182</v>
      </c>
      <c r="G80" s="2015">
        <v>53027</v>
      </c>
      <c r="H80" s="2015"/>
      <c r="I80" s="2017"/>
      <c r="J80" s="2029"/>
      <c r="K80" s="2015">
        <f>G80+I80+H80</f>
        <v>53027</v>
      </c>
      <c r="L80" s="2029" t="s">
        <v>2127</v>
      </c>
    </row>
    <row r="81" spans="1:12" s="1992" customFormat="1" ht="16.5" customHeight="1" x14ac:dyDescent="0.25">
      <c r="A81" s="2013" t="s">
        <v>2180</v>
      </c>
      <c r="B81" s="2014">
        <v>93.778000000000006</v>
      </c>
      <c r="C81" s="1991" t="s">
        <v>2182</v>
      </c>
      <c r="D81" s="1991"/>
      <c r="E81" s="2017">
        <v>0</v>
      </c>
      <c r="F81" s="2017">
        <v>26331</v>
      </c>
      <c r="G81" s="2017">
        <v>0</v>
      </c>
      <c r="H81" s="2017">
        <v>40501</v>
      </c>
      <c r="I81" s="2017">
        <v>0</v>
      </c>
      <c r="J81" s="1999"/>
      <c r="K81" s="2017">
        <f>G81+I81+H81</f>
        <v>40501</v>
      </c>
      <c r="L81" s="2029" t="s">
        <v>2127</v>
      </c>
    </row>
    <row r="82" spans="1:12" s="1992" customFormat="1" ht="17.25" x14ac:dyDescent="0.2">
      <c r="A82" s="2019" t="s">
        <v>2183</v>
      </c>
      <c r="B82" s="2014"/>
      <c r="C82" s="1990"/>
      <c r="D82" s="1990"/>
      <c r="E82" s="2017">
        <f>SUM(E80:E81)</f>
        <v>19723</v>
      </c>
      <c r="F82" s="2017">
        <f>SUM(F80:F81)</f>
        <v>57513</v>
      </c>
      <c r="G82" s="2017">
        <f>SUM(G80:G81)</f>
        <v>53027</v>
      </c>
      <c r="H82" s="2017">
        <f>SUM(H80:H81)</f>
        <v>40501</v>
      </c>
      <c r="I82" s="2017">
        <f>SUM(I80:I81)</f>
        <v>0</v>
      </c>
      <c r="J82" s="2017"/>
      <c r="K82" s="2017">
        <f>SUM(K80:K81)</f>
        <v>93528</v>
      </c>
      <c r="L82" s="2015"/>
    </row>
    <row r="83" spans="1:12" s="1992" customFormat="1" ht="15" x14ac:dyDescent="0.25">
      <c r="A83" s="1997"/>
      <c r="B83" s="1997"/>
      <c r="C83" s="1997"/>
      <c r="D83" s="1997"/>
      <c r="E83" s="2005"/>
      <c r="F83" s="2005"/>
      <c r="G83" s="2005"/>
      <c r="H83" s="2005"/>
      <c r="I83" s="2005"/>
      <c r="J83" s="2008"/>
      <c r="K83" s="2005"/>
      <c r="L83" s="2005"/>
    </row>
    <row r="84" spans="1:12" s="1992" customFormat="1" ht="17.25" x14ac:dyDescent="0.2">
      <c r="A84" s="2019" t="s">
        <v>2184</v>
      </c>
      <c r="B84" s="1990"/>
      <c r="C84" s="1990"/>
      <c r="D84" s="1990"/>
      <c r="E84" s="2030">
        <f>+E82+E67+E31+E74</f>
        <v>552339</v>
      </c>
      <c r="F84" s="2030">
        <f>+F31+F67+F82</f>
        <v>991391</v>
      </c>
      <c r="G84" s="2030">
        <f>+G82+G67+G31+G74</f>
        <v>951544</v>
      </c>
      <c r="H84" s="2030">
        <f>+H82+H67+H31+H74</f>
        <v>1091941.3700000001</v>
      </c>
      <c r="I84" s="2030">
        <f>+I82+I67+I31+I74</f>
        <v>0</v>
      </c>
      <c r="J84" s="2030"/>
      <c r="K84" s="2030">
        <f>+K82+K67+K31+K74</f>
        <v>1968626.37</v>
      </c>
      <c r="L84" s="2015"/>
    </row>
    <row r="85" spans="1:12" s="1990" customFormat="1" ht="17.25" x14ac:dyDescent="0.4">
      <c r="A85" s="1997"/>
      <c r="B85" s="1997"/>
      <c r="C85" s="1997"/>
      <c r="D85" s="1997"/>
      <c r="E85" s="2031"/>
      <c r="F85" s="2031"/>
      <c r="G85" s="2031"/>
      <c r="H85" s="2031"/>
      <c r="I85" s="2031"/>
      <c r="J85" s="2031"/>
      <c r="K85" s="2031"/>
      <c r="L85" s="2005"/>
    </row>
    <row r="86" spans="1:12" s="1992" customFormat="1" ht="15" x14ac:dyDescent="0.25">
      <c r="A86" s="2000" t="s">
        <v>2185</v>
      </c>
      <c r="B86" s="1997"/>
      <c r="C86" s="1997"/>
      <c r="D86" s="1997"/>
      <c r="E86" s="2005">
        <f>+E31+E67-E64-E65</f>
        <v>472173</v>
      </c>
      <c r="F86" s="2005">
        <f>+F31+F67-F64-F65</f>
        <v>860555</v>
      </c>
      <c r="G86" s="2005">
        <f>+G31+G67-G64</f>
        <v>820701</v>
      </c>
      <c r="H86" s="2005">
        <f>+H31+H67-H64-H65</f>
        <v>978810.37000000011</v>
      </c>
      <c r="I86" s="2005">
        <f>+I31+I67</f>
        <v>0</v>
      </c>
      <c r="J86" s="2005"/>
      <c r="K86" s="2005">
        <f>+K31+K67-K64</f>
        <v>1797282.37</v>
      </c>
      <c r="L86" s="2005"/>
    </row>
    <row r="87" spans="1:12" s="1992" customFormat="1" ht="17.25" x14ac:dyDescent="0.4">
      <c r="A87" s="2000" t="s">
        <v>2186</v>
      </c>
      <c r="B87" s="1997"/>
      <c r="C87" s="1997"/>
      <c r="D87" s="1997"/>
      <c r="E87" s="2032">
        <f>+E82+E74+E64+E65</f>
        <v>80166</v>
      </c>
      <c r="F87" s="2032">
        <f>+F82+F74+F64+F65</f>
        <v>130836</v>
      </c>
      <c r="G87" s="2032">
        <f>+G82+G74+G64</f>
        <v>130843</v>
      </c>
      <c r="H87" s="2032">
        <f>+H82+H74+H64+H65</f>
        <v>113131</v>
      </c>
      <c r="I87" s="2032">
        <f>+I82</f>
        <v>0</v>
      </c>
      <c r="J87" s="2032"/>
      <c r="K87" s="2032">
        <f>+K82+K74+K64</f>
        <v>171344</v>
      </c>
      <c r="L87" s="2005"/>
    </row>
    <row r="88" spans="1:12" s="1992" customFormat="1" ht="17.25" x14ac:dyDescent="0.4">
      <c r="A88" s="2000"/>
      <c r="B88" s="1997"/>
      <c r="C88" s="1997"/>
      <c r="D88" s="1997"/>
      <c r="E88" s="2032"/>
      <c r="F88" s="2032"/>
      <c r="G88" s="2032"/>
      <c r="H88" s="2032"/>
      <c r="I88" s="2032"/>
      <c r="J88" s="2032"/>
      <c r="K88" s="2032"/>
      <c r="L88" s="2005"/>
    </row>
    <row r="89" spans="1:12" s="1992" customFormat="1" ht="17.25" x14ac:dyDescent="0.4">
      <c r="A89" s="2000" t="s">
        <v>2184</v>
      </c>
      <c r="B89" s="1997"/>
      <c r="C89" s="1997"/>
      <c r="D89" s="1997"/>
      <c r="E89" s="2031">
        <f>E86+E87</f>
        <v>552339</v>
      </c>
      <c r="F89" s="2031">
        <f>F86+F87</f>
        <v>991391</v>
      </c>
      <c r="G89" s="2031">
        <f>G86+G87</f>
        <v>951544</v>
      </c>
      <c r="H89" s="2031">
        <f>H86+H87</f>
        <v>1091941.3700000001</v>
      </c>
      <c r="I89" s="2031">
        <f>I86+I87</f>
        <v>0</v>
      </c>
      <c r="J89" s="2031"/>
      <c r="K89" s="2031">
        <f>K86+K87</f>
        <v>1968626.37</v>
      </c>
      <c r="L89" s="2005"/>
    </row>
    <row r="90" spans="1:12" s="1992" customFormat="1" ht="17.25" x14ac:dyDescent="0.4">
      <c r="A90" s="2000"/>
      <c r="B90" s="1997"/>
      <c r="C90" s="1997"/>
      <c r="D90" s="1997"/>
      <c r="E90" s="2031"/>
      <c r="F90" s="2031"/>
      <c r="G90" s="2031"/>
      <c r="H90" s="2031"/>
      <c r="I90" s="2031"/>
      <c r="J90" s="2031"/>
      <c r="K90" s="2031"/>
      <c r="L90" s="2005"/>
    </row>
    <row r="91" spans="1:12" s="1992" customFormat="1" ht="17.25" x14ac:dyDescent="0.4">
      <c r="A91" s="2000"/>
      <c r="B91" s="1997"/>
      <c r="C91" s="1997"/>
      <c r="D91" s="1997"/>
      <c r="E91" s="2031"/>
      <c r="F91" s="2031"/>
      <c r="G91" s="2031"/>
      <c r="H91" s="2031"/>
      <c r="I91" s="2031"/>
      <c r="J91" s="2031"/>
      <c r="K91" s="2031"/>
      <c r="L91" s="2005"/>
    </row>
    <row r="92" spans="1:12" s="1992" customFormat="1" ht="15" x14ac:dyDescent="0.25">
      <c r="A92" s="1997" t="s">
        <v>2187</v>
      </c>
      <c r="B92" s="2033"/>
      <c r="C92" s="1997"/>
      <c r="D92" s="1997"/>
      <c r="E92" s="2005"/>
      <c r="F92" s="2005" t="s">
        <v>1168</v>
      </c>
      <c r="G92" s="2005"/>
      <c r="H92" s="2005"/>
      <c r="I92" s="2005"/>
      <c r="J92" s="2008"/>
      <c r="K92" s="2005"/>
      <c r="L92" s="2005"/>
    </row>
    <row r="93" spans="1:12" s="1992" customFormat="1" ht="15" x14ac:dyDescent="0.25">
      <c r="A93" s="2034" t="s">
        <v>2188</v>
      </c>
      <c r="B93" s="1997"/>
      <c r="C93" s="1997"/>
      <c r="D93" s="1997"/>
      <c r="E93" s="2005"/>
      <c r="F93" s="2005"/>
      <c r="G93" s="2005"/>
      <c r="H93" s="2005"/>
      <c r="I93" s="2005"/>
      <c r="J93" s="2008"/>
      <c r="K93" s="2005"/>
      <c r="L93" s="2005"/>
    </row>
    <row r="94" spans="1:12" s="1992" customFormat="1" ht="15" x14ac:dyDescent="0.25">
      <c r="A94" s="2010" t="s">
        <v>2189</v>
      </c>
      <c r="B94" s="2035"/>
      <c r="C94" s="2035"/>
      <c r="D94" s="2035"/>
      <c r="E94" s="2036"/>
      <c r="F94" s="2036"/>
      <c r="G94" s="2036"/>
      <c r="H94" s="2036" t="s">
        <v>1168</v>
      </c>
      <c r="I94" s="2036" t="s">
        <v>1168</v>
      </c>
      <c r="J94" s="2037"/>
      <c r="K94" s="2036" t="s">
        <v>1168</v>
      </c>
      <c r="L94" s="2036" t="s">
        <v>1168</v>
      </c>
    </row>
    <row r="95" spans="1:12" s="1992" customFormat="1" ht="15" x14ac:dyDescent="0.2">
      <c r="A95" s="1988" t="s">
        <v>2190</v>
      </c>
      <c r="B95" s="2038"/>
      <c r="E95" s="2039"/>
      <c r="F95" s="2039"/>
      <c r="G95" s="2039"/>
      <c r="H95" s="2039"/>
      <c r="I95" s="2039"/>
      <c r="J95" s="2040"/>
      <c r="K95" s="2039"/>
      <c r="L95" s="2039"/>
    </row>
    <row r="96" spans="1:12" s="2043" customFormat="1" ht="13.5" customHeight="1" x14ac:dyDescent="0.2">
      <c r="A96" s="2041" t="s">
        <v>2191</v>
      </c>
      <c r="B96" s="2042"/>
      <c r="C96" s="2042"/>
      <c r="D96" s="2042"/>
      <c r="E96" s="2042"/>
      <c r="F96" s="2042"/>
      <c r="G96" s="2042"/>
      <c r="H96" s="2042"/>
    </row>
    <row r="97" spans="1:8" s="2043" customFormat="1" ht="13.5" customHeight="1" x14ac:dyDescent="0.2">
      <c r="A97" s="2044" t="s">
        <v>2192</v>
      </c>
      <c r="B97" s="2045"/>
      <c r="C97" s="2045"/>
      <c r="D97" s="2045"/>
      <c r="E97" s="2045"/>
      <c r="F97" s="2045"/>
      <c r="G97" s="2045"/>
      <c r="H97" s="2045"/>
    </row>
    <row r="98" spans="1:8" s="2043" customFormat="1" ht="13.5" customHeight="1" x14ac:dyDescent="0.2">
      <c r="A98" s="2041" t="s">
        <v>2193</v>
      </c>
      <c r="B98" s="2042"/>
      <c r="C98" s="2042"/>
      <c r="D98" s="2042"/>
      <c r="E98" s="2042"/>
      <c r="F98" s="2042"/>
      <c r="G98" s="2042"/>
      <c r="H98" s="2042"/>
    </row>
    <row r="99" spans="1:8" s="2043" customFormat="1" ht="13.5" customHeight="1" x14ac:dyDescent="0.2">
      <c r="A99" s="2044" t="s">
        <v>2194</v>
      </c>
      <c r="B99" s="2046"/>
      <c r="C99" s="2046"/>
      <c r="D99" s="2046"/>
      <c r="E99" s="2046"/>
      <c r="F99" s="2046"/>
      <c r="G99" s="2046"/>
      <c r="H99" s="2046"/>
    </row>
    <row r="100" spans="1:8" s="2043" customFormat="1" ht="13.5" customHeight="1" x14ac:dyDescent="0.2">
      <c r="A100" s="2041" t="s">
        <v>2195</v>
      </c>
      <c r="B100" s="2047"/>
      <c r="C100" s="2048"/>
      <c r="D100" s="2048"/>
      <c r="E100" s="2048"/>
      <c r="F100" s="2048"/>
    </row>
    <row r="101" spans="1:8" s="2043" customFormat="1" ht="13.5" customHeight="1" x14ac:dyDescent="0.2">
      <c r="A101" s="2041" t="s">
        <v>2196</v>
      </c>
      <c r="B101" s="2047"/>
      <c r="C101" s="2048"/>
      <c r="D101" s="2048"/>
      <c r="E101" s="2048"/>
      <c r="F101" s="2048"/>
    </row>
    <row r="102" spans="1:8" s="2043" customFormat="1" ht="13.5" customHeight="1" x14ac:dyDescent="0.2">
      <c r="A102" s="2048" t="s">
        <v>2197</v>
      </c>
      <c r="B102" s="2049"/>
    </row>
    <row r="103" spans="1:8" s="2043" customFormat="1" ht="13.5" customHeight="1" x14ac:dyDescent="0.2">
      <c r="A103" s="2048" t="s">
        <v>2198</v>
      </c>
      <c r="B103" s="2049"/>
    </row>
    <row r="104" spans="1:8" s="2043" customFormat="1" ht="13.5" customHeight="1" x14ac:dyDescent="0.2">
      <c r="A104" s="2048" t="s">
        <v>2199</v>
      </c>
      <c r="B104" s="2049"/>
    </row>
    <row r="105" spans="1:8" s="2052" customFormat="1" ht="13.5" customHeight="1" x14ac:dyDescent="0.15">
      <c r="A105" s="2050"/>
      <c r="B105" s="2051"/>
      <c r="E105" s="2053"/>
      <c r="F105" s="2053"/>
    </row>
  </sheetData>
  <mergeCells count="6">
    <mergeCell ref="A1:L1"/>
    <mergeCell ref="A2:L2"/>
    <mergeCell ref="A3:L3"/>
    <mergeCell ref="A4:L4"/>
    <mergeCell ref="E7:F7"/>
    <mergeCell ref="G7:H7"/>
  </mergeCells>
  <printOptions horizontalCentered="1" gridLinesSet="0"/>
  <pageMargins left="0.25" right="0.25" top="0.5" bottom="0.42" header="0.5" footer="0.23"/>
  <pageSetup scale="79" fitToHeight="0" orientation="landscape" r:id="rId1"/>
  <headerFooter alignWithMargins="0">
    <oddFooter>&amp;L&amp;"Times New Roman,Regular"See the accompanying notes to the Schedule of Expenditures of Federal Awards.</oddFooter>
  </headerFooter>
  <rowBreaks count="1" manualBreakCount="1">
    <brk id="54"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561" t="str">
        <f>'Single Audit Cover'!A7</f>
        <v>Dunlap CUSD 323</v>
      </c>
      <c r="B1" s="2561"/>
      <c r="C1" s="2561"/>
      <c r="D1" s="2561"/>
      <c r="E1" s="2561"/>
      <c r="F1" s="2561"/>
    </row>
    <row r="2" spans="1:7" ht="13.5" customHeight="1" x14ac:dyDescent="0.2">
      <c r="A2" s="2553">
        <f>'Single Audit Cover'!E7</f>
        <v>48072323026</v>
      </c>
      <c r="B2" s="2553"/>
      <c r="C2" s="2553"/>
      <c r="D2" s="2553"/>
      <c r="E2" s="2553"/>
      <c r="F2" s="2553"/>
      <c r="G2" s="1269"/>
    </row>
    <row r="3" spans="1:7" ht="15.75" customHeight="1" x14ac:dyDescent="0.2">
      <c r="A3" s="2562" t="s">
        <v>1270</v>
      </c>
      <c r="B3" s="2562"/>
      <c r="C3" s="2562"/>
      <c r="D3" s="2562"/>
      <c r="E3" s="2562"/>
      <c r="F3" s="2562"/>
    </row>
    <row r="4" spans="1:7" ht="13.5" customHeight="1" x14ac:dyDescent="0.2">
      <c r="A4" s="2563" t="str">
        <f>'Single Audit Cover'!A4</f>
        <v>Year Ending June 30, 2019</v>
      </c>
      <c r="B4" s="2563"/>
      <c r="C4" s="2563"/>
      <c r="D4" s="2563"/>
      <c r="E4" s="2563"/>
      <c r="F4" s="2563"/>
    </row>
    <row r="5" spans="1:7" ht="8.25" customHeight="1" x14ac:dyDescent="0.2">
      <c r="C5" s="317"/>
      <c r="D5" s="317"/>
    </row>
    <row r="6" spans="1:7" ht="13.5" customHeight="1" x14ac:dyDescent="0.2">
      <c r="A6" s="1270" t="s">
        <v>1727</v>
      </c>
      <c r="C6" s="317"/>
      <c r="D6" s="317"/>
    </row>
    <row r="7" spans="1:7" ht="60.95" customHeight="1" x14ac:dyDescent="0.2">
      <c r="A7" s="2560" t="s">
        <v>2202</v>
      </c>
      <c r="B7" s="2560"/>
      <c r="C7" s="2560"/>
      <c r="D7" s="2560"/>
      <c r="E7" s="2560"/>
      <c r="F7" s="2560"/>
    </row>
    <row r="8" spans="1:7" ht="12" customHeight="1" x14ac:dyDescent="0.2">
      <c r="A8" s="1270"/>
      <c r="B8" s="1276"/>
      <c r="C8" s="1276"/>
      <c r="D8" s="1276"/>
    </row>
    <row r="9" spans="1:7" ht="15" customHeight="1" x14ac:dyDescent="0.2">
      <c r="A9" s="1271" t="s">
        <v>1728</v>
      </c>
      <c r="B9" s="1274"/>
      <c r="C9" s="1274"/>
      <c r="D9" s="1274"/>
      <c r="E9" s="1272"/>
      <c r="F9" s="1272"/>
      <c r="G9" s="1272"/>
    </row>
    <row r="10" spans="1:7" ht="15" customHeight="1" x14ac:dyDescent="0.2">
      <c r="A10" s="1273" t="s">
        <v>1546</v>
      </c>
      <c r="B10" s="1274"/>
      <c r="C10" s="1275"/>
      <c r="D10" s="1274" t="s">
        <v>1547</v>
      </c>
      <c r="E10" s="1275" t="s">
        <v>2066</v>
      </c>
      <c r="F10" s="1274" t="s">
        <v>99</v>
      </c>
      <c r="G10" s="1272"/>
    </row>
    <row r="11" spans="1:7" ht="12" customHeight="1" x14ac:dyDescent="0.2">
      <c r="A11" s="1273"/>
      <c r="B11" s="1274"/>
      <c r="C11" s="1899"/>
      <c r="D11" s="1274"/>
      <c r="E11" s="1899"/>
      <c r="F11" s="1274"/>
      <c r="G11" s="1272"/>
    </row>
    <row r="12" spans="1:7" x14ac:dyDescent="0.2">
      <c r="A12" s="1270" t="s">
        <v>1586</v>
      </c>
      <c r="C12" s="1254"/>
      <c r="D12" s="1254"/>
    </row>
    <row r="13" spans="1:7" ht="15" customHeight="1" x14ac:dyDescent="0.2">
      <c r="A13" s="2560" t="s">
        <v>2203</v>
      </c>
      <c r="B13" s="2560"/>
      <c r="C13" s="2560"/>
      <c r="D13" s="2560"/>
      <c r="E13" s="2560"/>
      <c r="F13" s="2560"/>
    </row>
    <row r="14" spans="1:7" ht="9.75" customHeight="1" x14ac:dyDescent="0.2">
      <c r="C14" s="1254"/>
      <c r="D14" s="1254"/>
    </row>
    <row r="15" spans="1:7" ht="13.5" customHeight="1" x14ac:dyDescent="0.2">
      <c r="C15" s="1843" t="s">
        <v>1269</v>
      </c>
      <c r="D15" s="2565" t="s">
        <v>1268</v>
      </c>
      <c r="E15" s="2565"/>
      <c r="F15" s="2565"/>
    </row>
    <row r="16" spans="1:7" ht="13.5" customHeight="1" x14ac:dyDescent="0.2">
      <c r="A16" s="1276"/>
      <c r="B16" s="1270" t="s">
        <v>1267</v>
      </c>
      <c r="C16" s="1843" t="s">
        <v>1266</v>
      </c>
      <c r="D16" s="2566" t="s">
        <v>1587</v>
      </c>
      <c r="E16" s="2566"/>
      <c r="F16" s="2566"/>
    </row>
    <row r="17" spans="1:6" ht="20.45" customHeight="1" x14ac:dyDescent="0.2">
      <c r="A17" s="1277"/>
      <c r="B17" s="1278" t="s">
        <v>2107</v>
      </c>
      <c r="C17" s="1279"/>
      <c r="D17" s="2564"/>
      <c r="E17" s="2564"/>
      <c r="F17" s="2564"/>
    </row>
    <row r="18" spans="1:6" ht="20.65" customHeight="1" x14ac:dyDescent="0.2">
      <c r="A18" s="1277"/>
      <c r="B18" s="1278"/>
      <c r="C18" s="1279"/>
      <c r="D18" s="2564"/>
      <c r="E18" s="2564"/>
      <c r="F18" s="2564"/>
    </row>
    <row r="19" spans="1:6" ht="20.65" customHeight="1" x14ac:dyDescent="0.2">
      <c r="A19" s="1277"/>
      <c r="B19" s="1278"/>
      <c r="C19" s="1279"/>
      <c r="D19" s="2564"/>
      <c r="E19" s="2564"/>
      <c r="F19" s="2564"/>
    </row>
    <row r="20" spans="1:6" ht="20.65" customHeight="1" x14ac:dyDescent="0.2">
      <c r="A20" s="1277"/>
      <c r="B20" s="1278"/>
      <c r="C20" s="1279"/>
      <c r="D20" s="2564"/>
      <c r="E20" s="2564"/>
      <c r="F20" s="2564"/>
    </row>
    <row r="21" spans="1:6" ht="20.65" customHeight="1" x14ac:dyDescent="0.2">
      <c r="A21" s="1277"/>
      <c r="B21" s="1278"/>
      <c r="C21" s="1279"/>
      <c r="D21" s="2564"/>
      <c r="E21" s="2564"/>
      <c r="F21" s="2564"/>
    </row>
    <row r="22" spans="1:6" ht="20.65" customHeight="1" x14ac:dyDescent="0.2">
      <c r="A22" s="1277"/>
      <c r="B22" s="1278"/>
      <c r="C22" s="1279"/>
      <c r="D22" s="2564"/>
      <c r="E22" s="2564"/>
      <c r="F22" s="2564"/>
    </row>
    <row r="23" spans="1:6" ht="20.65" customHeight="1" x14ac:dyDescent="0.2">
      <c r="A23" s="1277"/>
      <c r="B23" s="1278"/>
      <c r="C23" s="1279"/>
      <c r="D23" s="2564"/>
      <c r="E23" s="2564"/>
      <c r="F23" s="2564"/>
    </row>
    <row r="24" spans="1:6" ht="20.65" customHeight="1" x14ac:dyDescent="0.2">
      <c r="A24" s="1277"/>
      <c r="B24" s="1278"/>
      <c r="C24" s="1279"/>
      <c r="D24" s="2564"/>
      <c r="E24" s="2564"/>
      <c r="F24" s="2564"/>
    </row>
    <row r="25" spans="1:6" ht="20.65" customHeight="1" x14ac:dyDescent="0.2">
      <c r="A25" s="1277"/>
      <c r="B25" s="1278"/>
      <c r="C25" s="1279"/>
      <c r="D25" s="2564"/>
      <c r="E25" s="2564"/>
      <c r="F25" s="2564"/>
    </row>
    <row r="26" spans="1:6" ht="20.65" customHeight="1" x14ac:dyDescent="0.2">
      <c r="A26" s="1277"/>
      <c r="B26" s="1278"/>
      <c r="C26" s="1279"/>
      <c r="D26" s="2564"/>
      <c r="E26" s="2564"/>
      <c r="F26" s="2564"/>
    </row>
    <row r="27" spans="1:6" ht="20.65" customHeight="1" x14ac:dyDescent="0.2">
      <c r="A27" s="1277"/>
      <c r="B27" s="1278"/>
      <c r="C27" s="1279"/>
      <c r="D27" s="2564"/>
      <c r="E27" s="2564"/>
      <c r="F27" s="2564"/>
    </row>
    <row r="28" spans="1:6" ht="20.65" customHeight="1" x14ac:dyDescent="0.2">
      <c r="A28" s="1277"/>
      <c r="B28" s="1278"/>
      <c r="C28" s="1279"/>
      <c r="D28" s="2564"/>
      <c r="E28" s="2564"/>
      <c r="F28" s="2564"/>
    </row>
    <row r="29" spans="1:6" ht="20.65" customHeight="1" x14ac:dyDescent="0.2">
      <c r="A29" s="1277"/>
      <c r="B29" s="1278"/>
      <c r="C29" s="1279"/>
      <c r="D29" s="2564"/>
      <c r="E29" s="2564"/>
      <c r="F29" s="2564"/>
    </row>
    <row r="30" spans="1:6" ht="12" customHeight="1" x14ac:dyDescent="0.2">
      <c r="A30" s="328"/>
      <c r="B30" s="328"/>
      <c r="C30" s="1459"/>
      <c r="D30" s="1900"/>
      <c r="E30" s="1280"/>
    </row>
    <row r="31" spans="1:6" ht="12" customHeight="1" x14ac:dyDescent="0.2">
      <c r="A31" s="1281" t="s">
        <v>1548</v>
      </c>
      <c r="B31" s="328"/>
      <c r="C31" s="1459"/>
      <c r="D31" s="1900"/>
      <c r="E31" s="1280"/>
    </row>
    <row r="32" spans="1:6" ht="30" customHeight="1" x14ac:dyDescent="0.2">
      <c r="A32" s="2568" t="s">
        <v>2204</v>
      </c>
      <c r="B32" s="2568"/>
      <c r="C32" s="2568"/>
      <c r="D32" s="2568"/>
      <c r="E32" s="2568"/>
      <c r="F32" s="2568"/>
    </row>
    <row r="33" spans="1:6" ht="13.5" customHeight="1" x14ac:dyDescent="0.2">
      <c r="A33" s="328" t="s">
        <v>1433</v>
      </c>
      <c r="B33" s="328"/>
      <c r="C33" s="1282">
        <f>SEFA19!H27+SEFA19!H30</f>
        <v>114858</v>
      </c>
      <c r="D33" s="1900"/>
      <c r="E33" s="1280"/>
    </row>
    <row r="34" spans="1:6" ht="13.5" customHeight="1" x14ac:dyDescent="0.2">
      <c r="A34" s="328" t="s">
        <v>1834</v>
      </c>
      <c r="B34" s="328"/>
      <c r="C34" s="1283">
        <v>0</v>
      </c>
      <c r="D34" s="1900" t="s">
        <v>1588</v>
      </c>
      <c r="E34" s="2569">
        <f>+C33+C34</f>
        <v>114858</v>
      </c>
      <c r="F34" s="2570"/>
    </row>
    <row r="35" spans="1:6" ht="12" customHeight="1" x14ac:dyDescent="0.2">
      <c r="A35" s="328"/>
      <c r="B35" s="328"/>
      <c r="C35" s="1901"/>
      <c r="D35" s="1900"/>
      <c r="E35" s="1284"/>
      <c r="F35" s="1285"/>
    </row>
    <row r="36" spans="1:6" ht="13.5" customHeight="1" x14ac:dyDescent="0.2">
      <c r="A36" s="1281" t="s">
        <v>1549</v>
      </c>
      <c r="B36" s="328"/>
      <c r="C36" s="1459"/>
      <c r="D36" s="1900"/>
      <c r="E36" s="1280"/>
    </row>
    <row r="37" spans="1:6" ht="14.25" customHeight="1" x14ac:dyDescent="0.2">
      <c r="A37" s="328" t="s">
        <v>1483</v>
      </c>
      <c r="B37" s="328"/>
      <c r="C37" s="1902"/>
      <c r="D37" s="1900"/>
      <c r="E37" s="1280"/>
    </row>
    <row r="38" spans="1:6" ht="14.25" customHeight="1" x14ac:dyDescent="0.2">
      <c r="A38" s="328"/>
      <c r="B38" s="328" t="s">
        <v>1434</v>
      </c>
      <c r="C38" s="1286" t="s">
        <v>382</v>
      </c>
      <c r="D38" s="1900"/>
      <c r="E38" s="1280"/>
    </row>
    <row r="39" spans="1:6" ht="14.25" customHeight="1" x14ac:dyDescent="0.2">
      <c r="A39" s="328"/>
      <c r="B39" s="328" t="s">
        <v>1435</v>
      </c>
      <c r="C39" s="1286" t="s">
        <v>382</v>
      </c>
      <c r="D39" s="1900"/>
      <c r="E39" s="1280"/>
    </row>
    <row r="40" spans="1:6" ht="14.25" customHeight="1" x14ac:dyDescent="0.2">
      <c r="A40" s="328"/>
      <c r="B40" s="328" t="s">
        <v>1436</v>
      </c>
      <c r="C40" s="1286" t="s">
        <v>382</v>
      </c>
      <c r="D40" s="1900"/>
      <c r="E40" s="1280"/>
    </row>
    <row r="41" spans="1:6" ht="14.25" customHeight="1" x14ac:dyDescent="0.2">
      <c r="A41" s="328"/>
      <c r="B41" s="328" t="s">
        <v>1437</v>
      </c>
      <c r="C41" s="1286" t="s">
        <v>382</v>
      </c>
      <c r="D41" s="1900"/>
      <c r="E41" s="1280"/>
    </row>
    <row r="42" spans="1:6" ht="14.25" customHeight="1" x14ac:dyDescent="0.2">
      <c r="A42" s="328" t="s">
        <v>1438</v>
      </c>
      <c r="B42" s="328"/>
      <c r="C42" s="1898" t="s">
        <v>382</v>
      </c>
      <c r="D42" s="1900"/>
      <c r="E42" s="1280"/>
    </row>
    <row r="43" spans="1:6" ht="14.25" customHeight="1" x14ac:dyDescent="0.2">
      <c r="A43" s="328" t="s">
        <v>1439</v>
      </c>
      <c r="B43" s="328"/>
      <c r="C43" s="1287" t="s">
        <v>382</v>
      </c>
      <c r="D43" s="1900"/>
      <c r="E43" s="1280"/>
    </row>
    <row r="44" spans="1:6" ht="14.25" customHeight="1" x14ac:dyDescent="0.2">
      <c r="A44" s="328"/>
      <c r="B44" s="328"/>
      <c r="C44" s="1902" t="s">
        <v>1440</v>
      </c>
      <c r="D44" s="1900"/>
      <c r="E44" s="1280"/>
    </row>
    <row r="45" spans="1:6" ht="13.5" customHeight="1" x14ac:dyDescent="0.2">
      <c r="B45" s="322"/>
      <c r="C45" s="1288"/>
      <c r="D45" s="1288"/>
    </row>
    <row r="46" spans="1:6" x14ac:dyDescent="0.2">
      <c r="A46" s="1289" t="s">
        <v>1729</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571" t="s">
        <v>1589</v>
      </c>
      <c r="C49" s="2571"/>
      <c r="D49" s="2571"/>
      <c r="E49" s="1393"/>
    </row>
    <row r="50" spans="1:5" s="1294" customFormat="1" ht="3.75" customHeight="1" x14ac:dyDescent="0.2">
      <c r="A50" s="1293"/>
      <c r="B50" s="1842"/>
      <c r="C50" s="1842"/>
      <c r="D50" s="1842"/>
      <c r="E50" s="1393"/>
    </row>
    <row r="51" spans="1:5" s="1294" customFormat="1" ht="20.25" customHeight="1" x14ac:dyDescent="0.2">
      <c r="A51" s="1295">
        <v>6</v>
      </c>
      <c r="B51" s="2567" t="s">
        <v>1550</v>
      </c>
      <c r="C51" s="2567"/>
      <c r="D51" s="2567"/>
    </row>
    <row r="52" spans="1:5" ht="14.25" customHeight="1" x14ac:dyDescent="0.2">
      <c r="A52" s="1295"/>
      <c r="B52" s="2567"/>
      <c r="C52" s="2567"/>
      <c r="D52" s="2567"/>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C11" sqref="C11:D11"/>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76" t="str">
        <f>'Single Audit Cover'!A7</f>
        <v>Dunlap CUSD 323</v>
      </c>
      <c r="C1" s="2577"/>
      <c r="D1" s="2577"/>
      <c r="E1" s="2577"/>
      <c r="F1" s="2577"/>
      <c r="G1" s="2577"/>
      <c r="H1" s="2577"/>
      <c r="I1" s="2577"/>
      <c r="J1" s="1403"/>
    </row>
    <row r="2" spans="2:10" s="317" customFormat="1" ht="12.75" customHeight="1" x14ac:dyDescent="0.2">
      <c r="B2" s="2578">
        <f>'Single Audit Cover'!E7</f>
        <v>48072323026</v>
      </c>
      <c r="C2" s="2579"/>
      <c r="D2" s="2579"/>
      <c r="E2" s="2579"/>
      <c r="F2" s="2579"/>
      <c r="G2" s="2579"/>
      <c r="H2" s="2579"/>
      <c r="I2" s="2579"/>
      <c r="J2" s="1403"/>
    </row>
    <row r="3" spans="2:10" s="317" customFormat="1" ht="12.75" customHeight="1" x14ac:dyDescent="0.2">
      <c r="B3" s="2580" t="s">
        <v>1284</v>
      </c>
      <c r="C3" s="2581"/>
      <c r="D3" s="2581"/>
      <c r="E3" s="2581"/>
      <c r="F3" s="2581"/>
      <c r="G3" s="2581"/>
      <c r="H3" s="2581"/>
      <c r="I3" s="2581"/>
      <c r="J3" s="1404"/>
    </row>
    <row r="4" spans="2:10" s="317" customFormat="1" ht="12.75" customHeight="1" x14ac:dyDescent="0.2">
      <c r="B4" s="2580" t="str">
        <f>'Single Audit Cover'!A4</f>
        <v>Year Ending June 30, 2019</v>
      </c>
      <c r="C4" s="2581"/>
      <c r="D4" s="2581"/>
      <c r="E4" s="2581"/>
      <c r="F4" s="2581"/>
      <c r="G4" s="2581"/>
      <c r="H4" s="2581"/>
      <c r="I4" s="2581"/>
    </row>
    <row r="5" spans="2:10" s="317" customFormat="1" ht="6.2" customHeight="1" x14ac:dyDescent="0.2">
      <c r="B5" s="1405" t="s">
        <v>1168</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580" t="s">
        <v>1283</v>
      </c>
      <c r="C7" s="2581"/>
      <c r="D7" s="2581"/>
      <c r="E7" s="2581"/>
      <c r="F7" s="2581"/>
      <c r="G7" s="2581"/>
      <c r="H7" s="2581"/>
      <c r="I7" s="2581"/>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1282</v>
      </c>
      <c r="C10" s="1412"/>
      <c r="D10" s="1412"/>
      <c r="E10" s="1252"/>
    </row>
    <row r="11" spans="2:10" s="317" customFormat="1" ht="13.5" customHeight="1" x14ac:dyDescent="0.2">
      <c r="B11" s="1343" t="s">
        <v>1281</v>
      </c>
      <c r="C11" s="2582" t="s">
        <v>2270</v>
      </c>
      <c r="D11" s="2582"/>
      <c r="E11" s="1413"/>
      <c r="F11" s="1413"/>
      <c r="G11" s="1413"/>
    </row>
    <row r="12" spans="2:10" s="317" customFormat="1" ht="11.45" customHeight="1" x14ac:dyDescent="0.2">
      <c r="B12" s="1351"/>
      <c r="C12" s="1414" t="s">
        <v>1441</v>
      </c>
      <c r="D12" s="1415"/>
      <c r="E12" s="1252"/>
    </row>
    <row r="13" spans="2:10" s="317" customFormat="1" ht="12.75" customHeight="1" x14ac:dyDescent="0.2">
      <c r="B13" s="1416"/>
      <c r="C13" s="1381"/>
      <c r="D13" s="1381"/>
      <c r="E13" s="1252"/>
    </row>
    <row r="14" spans="2:10" s="317" customFormat="1" ht="12.75" customHeight="1" x14ac:dyDescent="0.2">
      <c r="B14" s="1362" t="s">
        <v>1280</v>
      </c>
      <c r="C14" s="1276"/>
      <c r="E14" s="1252"/>
    </row>
    <row r="15" spans="2:10" s="317" customFormat="1" ht="13.5" customHeight="1" x14ac:dyDescent="0.2">
      <c r="B15" s="1417" t="s">
        <v>1277</v>
      </c>
      <c r="C15" s="1418"/>
      <c r="D15" s="1392"/>
      <c r="E15" s="1419"/>
      <c r="F15" s="1294" t="s">
        <v>884</v>
      </c>
      <c r="G15" s="1419" t="s">
        <v>2066</v>
      </c>
      <c r="H15" s="1294" t="s">
        <v>1275</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1276</v>
      </c>
      <c r="C17" s="1418"/>
      <c r="D17" s="1392"/>
      <c r="E17" s="1420"/>
      <c r="F17" s="1251"/>
      <c r="G17" s="1420"/>
      <c r="H17" s="1294"/>
      <c r="I17" s="1294"/>
    </row>
    <row r="18" spans="2:9" s="317" customFormat="1" ht="12.75" customHeight="1" x14ac:dyDescent="0.2">
      <c r="B18" s="1417" t="s">
        <v>1442</v>
      </c>
      <c r="C18" s="1418"/>
      <c r="D18" s="1392"/>
      <c r="E18" s="1419" t="s">
        <v>2066</v>
      </c>
      <c r="F18" s="1294" t="s">
        <v>884</v>
      </c>
      <c r="G18" s="1419"/>
      <c r="H18" s="1294" t="s">
        <v>1275</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1590</v>
      </c>
      <c r="C20" s="1418"/>
      <c r="D20" s="1392"/>
      <c r="E20" s="1419"/>
      <c r="F20" s="1294" t="s">
        <v>884</v>
      </c>
      <c r="G20" s="1419" t="s">
        <v>2066</v>
      </c>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1279</v>
      </c>
      <c r="C22" s="1421"/>
      <c r="D22" s="1412"/>
      <c r="E22" s="1377"/>
      <c r="F22" s="1294"/>
      <c r="G22" s="322"/>
      <c r="H22" s="1294"/>
      <c r="I22" s="1294"/>
    </row>
    <row r="23" spans="2:9" s="317" customFormat="1" ht="12.75" customHeight="1" x14ac:dyDescent="0.2">
      <c r="B23" s="1362" t="s">
        <v>1278</v>
      </c>
      <c r="C23" s="1276"/>
      <c r="E23" s="1377"/>
      <c r="F23" s="1294"/>
      <c r="G23" s="322"/>
      <c r="H23" s="1294"/>
      <c r="I23" s="1294"/>
    </row>
    <row r="24" spans="2:9" s="317" customFormat="1" ht="13.5" customHeight="1" x14ac:dyDescent="0.2">
      <c r="B24" s="1417" t="s">
        <v>1277</v>
      </c>
      <c r="C24" s="1418"/>
      <c r="D24" s="1392"/>
      <c r="E24" s="1419" t="s">
        <v>2066</v>
      </c>
      <c r="F24" s="1294" t="s">
        <v>884</v>
      </c>
      <c r="G24" s="1419"/>
      <c r="H24" s="1294" t="s">
        <v>1275</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1276</v>
      </c>
      <c r="C26" s="1418"/>
      <c r="D26" s="1392"/>
      <c r="E26" s="1420"/>
      <c r="F26" s="1251"/>
      <c r="G26" s="1420"/>
      <c r="H26" s="1294"/>
      <c r="I26" s="1294"/>
    </row>
    <row r="27" spans="2:9" s="317" customFormat="1" ht="12.75" customHeight="1" x14ac:dyDescent="0.2">
      <c r="B27" s="1417" t="s">
        <v>1442</v>
      </c>
      <c r="C27" s="1418"/>
      <c r="D27" s="1392"/>
      <c r="E27" s="1419"/>
      <c r="F27" s="1294" t="s">
        <v>884</v>
      </c>
      <c r="G27" s="1419" t="s">
        <v>2066</v>
      </c>
      <c r="H27" s="1294" t="s">
        <v>1275</v>
      </c>
      <c r="I27" s="1294"/>
    </row>
    <row r="28" spans="2:9" s="317" customFormat="1" ht="12.75" customHeight="1" x14ac:dyDescent="0.2">
      <c r="B28" s="1362"/>
      <c r="C28" s="1276"/>
      <c r="E28" s="1252"/>
    </row>
    <row r="29" spans="2:9" s="317" customFormat="1" ht="12.75" customHeight="1" x14ac:dyDescent="0.2">
      <c r="B29" s="1362" t="s">
        <v>1274</v>
      </c>
      <c r="C29" s="1276"/>
      <c r="D29" s="2583" t="s">
        <v>2200</v>
      </c>
      <c r="E29" s="2583"/>
      <c r="F29" s="2583"/>
      <c r="G29" s="2583"/>
      <c r="H29" s="2583"/>
      <c r="I29" s="2583"/>
    </row>
    <row r="30" spans="2:9" s="317" customFormat="1" x14ac:dyDescent="0.2">
      <c r="B30" s="1362"/>
      <c r="C30" s="322"/>
      <c r="D30" s="1414" t="s">
        <v>1744</v>
      </c>
      <c r="E30" s="1415"/>
      <c r="F30" s="1415"/>
      <c r="G30" s="1415"/>
      <c r="H30" s="1415"/>
      <c r="I30" s="1415"/>
    </row>
    <row r="31" spans="2:9" s="317" customFormat="1" ht="9.9499999999999993" customHeight="1" x14ac:dyDescent="0.2">
      <c r="B31" s="1362"/>
      <c r="E31" s="1252"/>
    </row>
    <row r="32" spans="2:9" s="317" customFormat="1" x14ac:dyDescent="0.2">
      <c r="B32" s="1362" t="s">
        <v>1273</v>
      </c>
      <c r="C32" s="1276"/>
      <c r="E32" s="1252"/>
    </row>
    <row r="33" spans="2:9" ht="13.5" customHeight="1" x14ac:dyDescent="0.2">
      <c r="B33" s="1362" t="s">
        <v>1551</v>
      </c>
      <c r="C33" s="1276"/>
      <c r="E33" s="1419"/>
      <c r="F33" s="1294" t="s">
        <v>884</v>
      </c>
      <c r="G33" s="1419" t="s">
        <v>2066</v>
      </c>
      <c r="H33" s="1294" t="s">
        <v>99</v>
      </c>
    </row>
    <row r="35" spans="2:9" x14ac:dyDescent="0.2">
      <c r="B35" s="1422" t="s">
        <v>1745</v>
      </c>
      <c r="C35" s="1423"/>
      <c r="D35" s="1261"/>
    </row>
    <row r="36" spans="2:9" ht="6" customHeight="1" x14ac:dyDescent="0.2">
      <c r="B36" s="1422"/>
      <c r="C36" s="1423"/>
      <c r="D36" s="1261"/>
    </row>
    <row r="37" spans="2:9" ht="17.25" customHeight="1" x14ac:dyDescent="0.2">
      <c r="B37" s="1424" t="s">
        <v>1746</v>
      </c>
      <c r="C37" s="2584" t="s">
        <v>1747</v>
      </c>
      <c r="D37" s="2585"/>
      <c r="E37" s="2585"/>
      <c r="F37" s="2586"/>
      <c r="G37" s="2584" t="s">
        <v>1591</v>
      </c>
      <c r="H37" s="2585"/>
      <c r="I37" s="2586"/>
    </row>
    <row r="38" spans="2:9" ht="16.5" customHeight="1" x14ac:dyDescent="0.2">
      <c r="B38" s="1425">
        <v>10.555</v>
      </c>
      <c r="C38" s="2572" t="s">
        <v>2201</v>
      </c>
      <c r="D38" s="2573"/>
      <c r="E38" s="2573"/>
      <c r="F38" s="2574"/>
      <c r="G38" s="2587">
        <v>479034</v>
      </c>
      <c r="H38" s="2588"/>
      <c r="I38" s="2589"/>
    </row>
    <row r="39" spans="2:9" ht="16.5" customHeight="1" x14ac:dyDescent="0.2">
      <c r="B39" s="1425"/>
      <c r="C39" s="2572"/>
      <c r="D39" s="2573"/>
      <c r="E39" s="2573"/>
      <c r="F39" s="2574"/>
      <c r="G39" s="2575"/>
      <c r="H39" s="2575"/>
      <c r="I39" s="2575"/>
    </row>
    <row r="40" spans="2:9" ht="16.5" customHeight="1" x14ac:dyDescent="0.2">
      <c r="B40" s="1425"/>
      <c r="C40" s="2572"/>
      <c r="D40" s="2573"/>
      <c r="E40" s="2573"/>
      <c r="F40" s="2574"/>
      <c r="G40" s="2575"/>
      <c r="H40" s="2575"/>
      <c r="I40" s="2575"/>
    </row>
    <row r="41" spans="2:9" ht="16.5" customHeight="1" x14ac:dyDescent="0.2">
      <c r="B41" s="1425"/>
      <c r="C41" s="2572"/>
      <c r="D41" s="2573"/>
      <c r="E41" s="2573"/>
      <c r="F41" s="2574"/>
      <c r="G41" s="2575"/>
      <c r="H41" s="2575"/>
      <c r="I41" s="2575"/>
    </row>
    <row r="42" spans="2:9" ht="16.5" customHeight="1" x14ac:dyDescent="0.2">
      <c r="B42" s="1425"/>
      <c r="C42" s="2572"/>
      <c r="D42" s="2573"/>
      <c r="E42" s="2573"/>
      <c r="F42" s="2574"/>
      <c r="G42" s="2575"/>
      <c r="H42" s="2575"/>
      <c r="I42" s="2575"/>
    </row>
    <row r="43" spans="2:9" ht="16.5" customHeight="1" x14ac:dyDescent="0.2">
      <c r="B43" s="1425"/>
      <c r="C43" s="2590" t="s">
        <v>1592</v>
      </c>
      <c r="D43" s="2591"/>
      <c r="E43" s="2591"/>
      <c r="F43" s="2592"/>
      <c r="G43" s="2593">
        <f>SUM(G38:I42)</f>
        <v>479034</v>
      </c>
      <c r="H43" s="2593"/>
      <c r="I43" s="2593"/>
    </row>
    <row r="44" spans="2:9" ht="12.75" customHeight="1" x14ac:dyDescent="0.2"/>
    <row r="45" spans="2:9" ht="12.75" customHeight="1" x14ac:dyDescent="0.2">
      <c r="B45" s="1416" t="s">
        <v>1837</v>
      </c>
      <c r="D45" s="2594">
        <v>1091941</v>
      </c>
      <c r="E45" s="2595"/>
    </row>
    <row r="46" spans="2:9" ht="5.25" customHeight="1" x14ac:dyDescent="0.2">
      <c r="B46" s="1426"/>
      <c r="D46" s="1427"/>
      <c r="E46" s="1428"/>
    </row>
    <row r="47" spans="2:9" ht="12.75" customHeight="1" x14ac:dyDescent="0.2">
      <c r="B47" s="1294" t="s">
        <v>1593</v>
      </c>
      <c r="C47" s="1294"/>
      <c r="D47" s="1429">
        <f>+G43/D45</f>
        <v>0.43869952680593549</v>
      </c>
      <c r="E47" s="1430"/>
      <c r="F47" s="1431"/>
      <c r="I47" s="1432"/>
    </row>
    <row r="48" spans="2:9" ht="9.9499999999999993" customHeight="1" x14ac:dyDescent="0.2"/>
    <row r="49" spans="1:9" x14ac:dyDescent="0.2">
      <c r="B49" s="1362" t="s">
        <v>1272</v>
      </c>
      <c r="C49" s="1276"/>
      <c r="D49" s="1276"/>
      <c r="E49" s="2596">
        <v>750000</v>
      </c>
      <c r="F49" s="2596"/>
      <c r="G49" s="2596"/>
      <c r="H49" s="322"/>
    </row>
    <row r="51" spans="1:9" ht="13.5" customHeight="1" x14ac:dyDescent="0.2">
      <c r="B51" s="1362" t="s">
        <v>1271</v>
      </c>
      <c r="C51" s="1276"/>
      <c r="E51" s="1419"/>
      <c r="F51" s="1294" t="s">
        <v>884</v>
      </c>
      <c r="G51" s="1419" t="s">
        <v>2066</v>
      </c>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1748</v>
      </c>
      <c r="C54" s="1441"/>
      <c r="D54" s="1441"/>
    </row>
    <row r="55" spans="1:9" s="1442" customFormat="1" ht="12.75" customHeight="1" x14ac:dyDescent="0.2">
      <c r="A55" s="1439"/>
      <c r="B55" s="1443" t="s">
        <v>1594</v>
      </c>
      <c r="C55" s="1439"/>
      <c r="D55" s="1439"/>
    </row>
    <row r="56" spans="1:9" s="1442" customFormat="1" ht="12.75" customHeight="1" x14ac:dyDescent="0.2">
      <c r="A56" s="1439"/>
      <c r="B56" s="1443" t="s">
        <v>1595</v>
      </c>
      <c r="C56" s="1439"/>
      <c r="D56" s="1439"/>
    </row>
    <row r="57" spans="1:9" s="1442" customFormat="1" ht="3.95" customHeight="1" x14ac:dyDescent="0.2">
      <c r="A57" s="1439"/>
      <c r="B57" s="1443"/>
      <c r="C57" s="1439"/>
      <c r="D57" s="1439"/>
    </row>
    <row r="58" spans="1:9" s="1442" customFormat="1" ht="13.5" customHeight="1" x14ac:dyDescent="0.2">
      <c r="A58" s="1439"/>
      <c r="B58" s="1444" t="s">
        <v>1749</v>
      </c>
      <c r="C58" s="1445"/>
      <c r="D58" s="1445"/>
    </row>
    <row r="59" spans="1:9" s="1442" customFormat="1" ht="3.95" customHeight="1" x14ac:dyDescent="0.2">
      <c r="A59" s="1439"/>
      <c r="B59" s="1444"/>
      <c r="C59" s="1445"/>
      <c r="D59" s="1445"/>
    </row>
    <row r="60" spans="1:9" s="1442" customFormat="1" ht="13.5" customHeight="1" x14ac:dyDescent="0.2">
      <c r="A60" s="1439"/>
      <c r="B60" s="1444" t="s">
        <v>1750</v>
      </c>
      <c r="C60" s="1445"/>
      <c r="D60" s="1445"/>
    </row>
    <row r="61" spans="1:9" s="1442" customFormat="1" ht="3.95" customHeight="1" x14ac:dyDescent="0.2">
      <c r="A61" s="1439"/>
      <c r="B61" s="1444"/>
      <c r="C61" s="1445"/>
      <c r="D61" s="1445"/>
    </row>
    <row r="62" spans="1:9" s="1442" customFormat="1" ht="12.75" customHeight="1" x14ac:dyDescent="0.2">
      <c r="A62" s="1439"/>
      <c r="B62" s="1444" t="s">
        <v>1751</v>
      </c>
      <c r="C62" s="1445"/>
      <c r="D62" s="1445"/>
    </row>
    <row r="63" spans="1:9" s="1442" customFormat="1" ht="13.5" customHeight="1" x14ac:dyDescent="0.2">
      <c r="A63" s="1439"/>
      <c r="B63" s="1443" t="s">
        <v>1596</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76" t="str">
        <f>'Single Audit Cover'!A7</f>
        <v>Dunlap CUSD 323</v>
      </c>
      <c r="C1" s="2576"/>
      <c r="D1" s="2576"/>
      <c r="E1" s="2576"/>
      <c r="F1" s="2576"/>
      <c r="G1" s="2576"/>
      <c r="H1" s="2576"/>
      <c r="I1" s="2576"/>
      <c r="J1" s="2576"/>
      <c r="K1" s="2576"/>
      <c r="L1" s="1368"/>
      <c r="M1" s="1368"/>
    </row>
    <row r="2" spans="1:13" ht="12" customHeight="1" x14ac:dyDescent="0.2">
      <c r="B2" s="2578">
        <f>'Single Audit Cover'!E7</f>
        <v>48072323026</v>
      </c>
      <c r="C2" s="2578"/>
      <c r="D2" s="2578"/>
      <c r="E2" s="2578"/>
      <c r="F2" s="2578"/>
      <c r="G2" s="2578"/>
      <c r="H2" s="2578"/>
      <c r="I2" s="2578"/>
      <c r="J2" s="2578"/>
      <c r="K2" s="2578"/>
      <c r="L2" s="1369"/>
      <c r="M2" s="1370"/>
    </row>
    <row r="3" spans="1:13" ht="10.35" customHeight="1" x14ac:dyDescent="0.2">
      <c r="B3" s="2599" t="s">
        <v>1284</v>
      </c>
      <c r="C3" s="2599"/>
      <c r="D3" s="2599"/>
      <c r="E3" s="2599"/>
      <c r="F3" s="2599"/>
      <c r="G3" s="2599"/>
      <c r="H3" s="2599"/>
      <c r="I3" s="2599"/>
      <c r="J3" s="2599"/>
      <c r="K3" s="2599"/>
      <c r="L3" s="1371"/>
      <c r="M3" s="1371"/>
    </row>
    <row r="4" spans="1:13" ht="14.25" customHeight="1" x14ac:dyDescent="0.2">
      <c r="B4" s="2600" t="str">
        <f>'Single Audit Cover'!A4</f>
        <v>Year Ending June 30, 2019</v>
      </c>
      <c r="C4" s="2600"/>
      <c r="D4" s="2600"/>
      <c r="E4" s="2600"/>
      <c r="F4" s="2600"/>
      <c r="G4" s="2600"/>
      <c r="H4" s="2600"/>
      <c r="I4" s="2600"/>
      <c r="J4" s="2600"/>
      <c r="K4" s="2600"/>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600" t="s">
        <v>1295</v>
      </c>
      <c r="C7" s="2600"/>
      <c r="D7" s="2601"/>
      <c r="E7" s="2601"/>
      <c r="F7" s="2601"/>
      <c r="G7" s="2601"/>
      <c r="H7" s="2601"/>
      <c r="I7" s="2601"/>
      <c r="J7" s="2601"/>
      <c r="K7" s="2601"/>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1738</v>
      </c>
      <c r="C10" s="1379" t="s">
        <v>1987</v>
      </c>
      <c r="D10" s="1380"/>
      <c r="E10" s="322"/>
      <c r="F10" s="1381" t="s">
        <v>1294</v>
      </c>
      <c r="G10" s="1382"/>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598"/>
      <c r="C14" s="2598"/>
      <c r="D14" s="2598"/>
      <c r="E14" s="2598"/>
      <c r="F14" s="2598"/>
      <c r="G14" s="2598"/>
      <c r="H14" s="2598"/>
      <c r="I14" s="2598"/>
      <c r="J14" s="2598"/>
      <c r="K14" s="2598"/>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598"/>
      <c r="C17" s="2598"/>
      <c r="D17" s="2598"/>
      <c r="E17" s="2598"/>
      <c r="F17" s="2598"/>
      <c r="G17" s="2598"/>
      <c r="H17" s="2598"/>
      <c r="I17" s="2598"/>
      <c r="J17" s="2598"/>
      <c r="K17" s="2598"/>
      <c r="L17" s="1375"/>
    </row>
    <row r="18" spans="2:12" ht="4.5" customHeight="1" x14ac:dyDescent="0.2">
      <c r="B18" s="1392"/>
      <c r="C18" s="1392"/>
      <c r="L18" s="1375"/>
    </row>
    <row r="19" spans="2:12" s="1276" customFormat="1" ht="13.5" customHeight="1" x14ac:dyDescent="0.2">
      <c r="B19" s="1387" t="s">
        <v>1739</v>
      </c>
      <c r="C19" s="1387"/>
      <c r="D19" s="1388"/>
      <c r="E19" s="1388"/>
      <c r="F19" s="1388"/>
      <c r="G19" s="1389"/>
      <c r="H19" s="1388"/>
      <c r="I19" s="1389"/>
      <c r="J19" s="1388"/>
      <c r="K19" s="1388"/>
      <c r="L19" s="1390"/>
    </row>
    <row r="20" spans="2:12" ht="45.75" customHeight="1" x14ac:dyDescent="0.2">
      <c r="B20" s="2602"/>
      <c r="C20" s="2602"/>
      <c r="D20" s="2598"/>
      <c r="E20" s="2598"/>
      <c r="F20" s="2598"/>
      <c r="G20" s="2598"/>
      <c r="H20" s="2598"/>
      <c r="I20" s="2598"/>
      <c r="J20" s="2598"/>
      <c r="K20" s="2598"/>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598"/>
      <c r="C23" s="2598"/>
      <c r="D23" s="2598"/>
      <c r="E23" s="2598"/>
      <c r="F23" s="2598"/>
      <c r="G23" s="2598"/>
      <c r="H23" s="2598"/>
      <c r="I23" s="2598"/>
      <c r="J23" s="2598"/>
      <c r="K23" s="2598"/>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598"/>
      <c r="C26" s="2598"/>
      <c r="D26" s="2598"/>
      <c r="E26" s="2598"/>
      <c r="F26" s="2598"/>
      <c r="G26" s="2598"/>
      <c r="H26" s="2598"/>
      <c r="I26" s="2598"/>
      <c r="J26" s="2598"/>
      <c r="K26" s="2598"/>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597"/>
      <c r="C29" s="2597"/>
      <c r="D29" s="2598"/>
      <c r="E29" s="2598"/>
      <c r="F29" s="2598"/>
      <c r="G29" s="2598"/>
      <c r="H29" s="2598"/>
      <c r="I29" s="2598"/>
      <c r="J29" s="2598"/>
      <c r="K29" s="2598"/>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1740</v>
      </c>
      <c r="C31" s="1397"/>
      <c r="D31" s="1372"/>
      <c r="E31" s="1373"/>
      <c r="F31" s="1373"/>
      <c r="G31" s="1374"/>
      <c r="H31" s="1373"/>
      <c r="I31" s="1374"/>
      <c r="J31" s="1373"/>
      <c r="K31" s="1373"/>
      <c r="L31" s="1375"/>
    </row>
    <row r="32" spans="2:12" s="322" customFormat="1" ht="44.25" customHeight="1" x14ac:dyDescent="0.2">
      <c r="B32" s="2597"/>
      <c r="C32" s="2597"/>
      <c r="D32" s="2598"/>
      <c r="E32" s="2598"/>
      <c r="F32" s="2598"/>
      <c r="G32" s="2598"/>
      <c r="H32" s="2598"/>
      <c r="I32" s="2598"/>
      <c r="J32" s="2598"/>
      <c r="K32" s="2598"/>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1741</v>
      </c>
      <c r="C35" s="1400"/>
      <c r="D35" s="322"/>
      <c r="E35" s="322"/>
      <c r="F35" s="322"/>
      <c r="L35" s="1375"/>
    </row>
    <row r="36" spans="1:13" ht="9.6" customHeight="1" x14ac:dyDescent="0.2">
      <c r="B36" s="1294" t="s">
        <v>1838</v>
      </c>
      <c r="C36" s="1294"/>
      <c r="L36" s="1375"/>
    </row>
    <row r="37" spans="1:13" ht="9.6" customHeight="1" x14ac:dyDescent="0.2">
      <c r="B37" s="1294" t="s">
        <v>1839</v>
      </c>
      <c r="C37" s="1294"/>
    </row>
    <row r="38" spans="1:13" ht="11.85" customHeight="1" x14ac:dyDescent="0.2">
      <c r="B38" s="1401" t="s">
        <v>1742</v>
      </c>
      <c r="C38" s="1401"/>
    </row>
    <row r="39" spans="1:13" ht="9.6" customHeight="1" x14ac:dyDescent="0.2">
      <c r="B39" s="1294" t="s">
        <v>1285</v>
      </c>
      <c r="C39" s="1294"/>
      <c r="M39" s="1402"/>
    </row>
    <row r="40" spans="1:13" ht="12.6" customHeight="1" x14ac:dyDescent="0.2">
      <c r="B40" s="1401" t="s">
        <v>1743</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64" customWidth="1"/>
    <col min="8" max="8" width="10.5703125" style="316" customWidth="1"/>
    <col min="9" max="9" width="3.42578125" style="196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603" t="str">
        <f>'Single Audit Cover'!A7</f>
        <v>Dunlap CUSD 323</v>
      </c>
      <c r="C1" s="2603"/>
      <c r="D1" s="2603"/>
      <c r="E1" s="2603"/>
      <c r="F1" s="2603"/>
      <c r="G1" s="2603"/>
      <c r="H1" s="2603"/>
      <c r="I1" s="2603"/>
      <c r="J1" s="2603"/>
      <c r="K1" s="2603"/>
      <c r="L1" s="1960"/>
      <c r="M1" s="1960"/>
    </row>
    <row r="2" spans="1:13" ht="12" customHeight="1" x14ac:dyDescent="0.2">
      <c r="B2" s="2604">
        <f>'Single Audit Cover'!E7</f>
        <v>48072323026</v>
      </c>
      <c r="C2" s="2604"/>
      <c r="D2" s="2604"/>
      <c r="E2" s="2604"/>
      <c r="F2" s="2604"/>
      <c r="G2" s="2604"/>
      <c r="H2" s="2604"/>
      <c r="I2" s="2604"/>
      <c r="J2" s="2604"/>
      <c r="K2" s="2604"/>
      <c r="L2" s="1961"/>
      <c r="M2" s="1962"/>
    </row>
    <row r="3" spans="1:13" ht="10.35" customHeight="1" x14ac:dyDescent="0.2">
      <c r="B3" s="2605" t="s">
        <v>1284</v>
      </c>
      <c r="C3" s="2605"/>
      <c r="D3" s="2605"/>
      <c r="E3" s="2605"/>
      <c r="F3" s="2605"/>
      <c r="G3" s="2605"/>
      <c r="H3" s="2605"/>
      <c r="I3" s="2605"/>
      <c r="J3" s="2605"/>
      <c r="K3" s="2605"/>
      <c r="L3" s="1937"/>
      <c r="M3" s="1937"/>
    </row>
    <row r="4" spans="1:13" ht="14.25" customHeight="1" x14ac:dyDescent="0.2">
      <c r="B4" s="2605" t="str">
        <f>'Single Audit Cover'!A4</f>
        <v>Year Ending June 30, 2019</v>
      </c>
      <c r="C4" s="2605"/>
      <c r="D4" s="2605"/>
      <c r="E4" s="2605"/>
      <c r="F4" s="2605"/>
      <c r="G4" s="2605"/>
      <c r="H4" s="2605"/>
      <c r="I4" s="2605"/>
      <c r="J4" s="2605"/>
      <c r="K4" s="2605"/>
      <c r="L4" s="1937"/>
      <c r="M4" s="1937"/>
    </row>
    <row r="5" spans="1:13" ht="7.5" customHeight="1" x14ac:dyDescent="0.2">
      <c r="B5" s="1963" t="s">
        <v>1168</v>
      </c>
      <c r="C5" s="1963"/>
    </row>
    <row r="6" spans="1:13" ht="7.5" customHeight="1" x14ac:dyDescent="0.2">
      <c r="B6" s="1965"/>
      <c r="C6" s="1965"/>
      <c r="D6" s="1966"/>
      <c r="E6" s="1966"/>
      <c r="F6" s="1966"/>
      <c r="G6" s="1967"/>
      <c r="H6" s="1966"/>
      <c r="I6" s="1967"/>
      <c r="J6" s="1966"/>
      <c r="K6" s="1966"/>
    </row>
    <row r="7" spans="1:13" ht="12.75" customHeight="1" x14ac:dyDescent="0.2">
      <c r="A7" s="1209"/>
      <c r="B7" s="2605" t="s">
        <v>1295</v>
      </c>
      <c r="C7" s="2605"/>
      <c r="D7" s="2579"/>
      <c r="E7" s="2579"/>
      <c r="F7" s="2579"/>
      <c r="G7" s="2579"/>
      <c r="H7" s="2579"/>
      <c r="I7" s="2579"/>
      <c r="J7" s="2579"/>
      <c r="K7" s="2579"/>
      <c r="L7" s="1968"/>
    </row>
    <row r="8" spans="1:13" ht="7.5" customHeight="1" x14ac:dyDescent="0.2"/>
    <row r="9" spans="1:13" ht="9.6" customHeight="1" x14ac:dyDescent="0.2">
      <c r="B9" s="1966"/>
      <c r="C9" s="1966"/>
      <c r="D9" s="1966"/>
      <c r="E9" s="1966"/>
      <c r="F9" s="1966"/>
      <c r="G9" s="1967"/>
      <c r="H9" s="1966"/>
      <c r="I9" s="1967"/>
      <c r="J9" s="1966"/>
      <c r="K9" s="1966"/>
    </row>
    <row r="10" spans="1:13" ht="16.5" customHeight="1" x14ac:dyDescent="0.2">
      <c r="B10" s="1213" t="s">
        <v>1738</v>
      </c>
      <c r="C10" s="1969" t="s">
        <v>1987</v>
      </c>
      <c r="D10" s="1380">
        <v>1</v>
      </c>
      <c r="F10" s="1213" t="s">
        <v>1294</v>
      </c>
      <c r="G10" s="1382" t="s">
        <v>2066</v>
      </c>
      <c r="H10" s="1970" t="s">
        <v>1293</v>
      </c>
      <c r="I10" s="1382"/>
      <c r="J10" s="1971" t="s">
        <v>1292</v>
      </c>
    </row>
    <row r="11" spans="1:13" ht="13.5" customHeight="1" x14ac:dyDescent="0.2">
      <c r="I11" s="1972" t="s">
        <v>1291</v>
      </c>
      <c r="K11" s="1386"/>
    </row>
    <row r="12" spans="1:13" ht="13.5" customHeight="1" x14ac:dyDescent="0.2">
      <c r="B12" s="1963"/>
      <c r="C12" s="1963"/>
    </row>
    <row r="13" spans="1:13" s="1209" customFormat="1" ht="13.5" customHeight="1" x14ac:dyDescent="0.2">
      <c r="B13" s="1973" t="s">
        <v>1290</v>
      </c>
      <c r="C13" s="1973"/>
      <c r="D13" s="1974"/>
      <c r="E13" s="1974"/>
      <c r="F13" s="1974"/>
      <c r="G13" s="1975"/>
      <c r="H13" s="1974"/>
      <c r="I13" s="1975"/>
      <c r="J13" s="1974"/>
      <c r="K13" s="1974"/>
    </row>
    <row r="14" spans="1:13" ht="18" customHeight="1" x14ac:dyDescent="0.2">
      <c r="B14" s="2598" t="s">
        <v>2241</v>
      </c>
      <c r="C14" s="2598"/>
      <c r="D14" s="2598"/>
      <c r="E14" s="2598"/>
      <c r="F14" s="2598"/>
      <c r="G14" s="2598"/>
      <c r="H14" s="2598"/>
      <c r="I14" s="2598"/>
      <c r="J14" s="2598"/>
      <c r="K14" s="2598"/>
    </row>
    <row r="15" spans="1:13" ht="4.5" customHeight="1" x14ac:dyDescent="0.2">
      <c r="B15" s="1083"/>
      <c r="C15" s="1083"/>
    </row>
    <row r="16" spans="1:13" s="1209" customFormat="1" ht="13.5" customHeight="1" x14ac:dyDescent="0.2">
      <c r="B16" s="1973" t="s">
        <v>1289</v>
      </c>
      <c r="C16" s="1973"/>
      <c r="D16" s="1974"/>
      <c r="E16" s="1974"/>
      <c r="F16" s="1974"/>
      <c r="G16" s="1975"/>
      <c r="H16" s="1974"/>
      <c r="I16" s="1975"/>
      <c r="J16" s="1974"/>
      <c r="K16" s="1974"/>
    </row>
    <row r="17" spans="2:11" ht="135" customHeight="1" x14ac:dyDescent="0.2">
      <c r="B17" s="2598" t="s">
        <v>2263</v>
      </c>
      <c r="C17" s="2598"/>
      <c r="D17" s="2598"/>
      <c r="E17" s="2598"/>
      <c r="F17" s="2598"/>
      <c r="G17" s="2598"/>
      <c r="H17" s="2598"/>
      <c r="I17" s="2598"/>
      <c r="J17" s="2598"/>
      <c r="K17" s="2598"/>
    </row>
    <row r="18" spans="2:11" ht="4.5" customHeight="1" x14ac:dyDescent="0.2">
      <c r="B18" s="1083"/>
      <c r="C18" s="1083"/>
    </row>
    <row r="19" spans="2:11" s="1209" customFormat="1" ht="13.5" customHeight="1" x14ac:dyDescent="0.2">
      <c r="B19" s="1973" t="s">
        <v>1739</v>
      </c>
      <c r="C19" s="1973"/>
      <c r="D19" s="1974"/>
      <c r="E19" s="1974"/>
      <c r="F19" s="1974"/>
      <c r="G19" s="1975"/>
      <c r="H19" s="1974"/>
      <c r="I19" s="1975"/>
      <c r="J19" s="1974"/>
      <c r="K19" s="1974"/>
    </row>
    <row r="20" spans="2:11" ht="44.45" customHeight="1" x14ac:dyDescent="0.2">
      <c r="B20" s="2606" t="s">
        <v>2264</v>
      </c>
      <c r="C20" s="2606"/>
      <c r="D20" s="2607"/>
      <c r="E20" s="2607"/>
      <c r="F20" s="2607"/>
      <c r="G20" s="2607"/>
      <c r="H20" s="2607"/>
      <c r="I20" s="2607"/>
      <c r="J20" s="2607"/>
      <c r="K20" s="2607"/>
    </row>
    <row r="21" spans="2:11" ht="4.5" customHeight="1" x14ac:dyDescent="0.2">
      <c r="B21" s="1976"/>
      <c r="C21" s="1976"/>
    </row>
    <row r="22" spans="2:11" ht="13.5" customHeight="1" x14ac:dyDescent="0.2">
      <c r="B22" s="1973" t="s">
        <v>1288</v>
      </c>
      <c r="C22" s="1973"/>
      <c r="D22" s="1966"/>
      <c r="E22" s="1966"/>
      <c r="F22" s="1966"/>
      <c r="G22" s="1967"/>
      <c r="H22" s="1966"/>
      <c r="I22" s="1967"/>
      <c r="J22" s="1966"/>
      <c r="K22" s="1966"/>
    </row>
    <row r="23" spans="2:11" ht="29.45" customHeight="1" x14ac:dyDescent="0.2">
      <c r="B23" s="2598" t="s">
        <v>2265</v>
      </c>
      <c r="C23" s="2598"/>
      <c r="D23" s="2598"/>
      <c r="E23" s="2598"/>
      <c r="F23" s="2598"/>
      <c r="G23" s="2598"/>
      <c r="H23" s="2598"/>
      <c r="I23" s="2598"/>
      <c r="J23" s="2598"/>
      <c r="K23" s="2598"/>
    </row>
    <row r="24" spans="2:11" ht="4.5" customHeight="1" x14ac:dyDescent="0.2">
      <c r="B24" s="1083"/>
      <c r="C24" s="1083"/>
    </row>
    <row r="25" spans="2:11" ht="13.5" customHeight="1" x14ac:dyDescent="0.2">
      <c r="B25" s="1973" t="s">
        <v>1287</v>
      </c>
      <c r="C25" s="1973"/>
      <c r="D25" s="1966"/>
      <c r="E25" s="1966"/>
      <c r="F25" s="1966"/>
      <c r="G25" s="1967"/>
      <c r="H25" s="1966"/>
      <c r="I25" s="1967"/>
      <c r="J25" s="1966"/>
      <c r="K25" s="1966"/>
    </row>
    <row r="26" spans="2:11" ht="27" customHeight="1" x14ac:dyDescent="0.2">
      <c r="B26" s="2598" t="s">
        <v>2260</v>
      </c>
      <c r="C26" s="2598"/>
      <c r="D26" s="2598"/>
      <c r="E26" s="2598"/>
      <c r="F26" s="2598"/>
      <c r="G26" s="2598"/>
      <c r="H26" s="2598"/>
      <c r="I26" s="2598"/>
      <c r="J26" s="2598"/>
      <c r="K26" s="2598"/>
    </row>
    <row r="27" spans="2:11" ht="4.5" customHeight="1" x14ac:dyDescent="0.2">
      <c r="B27" s="1083"/>
      <c r="C27" s="1083"/>
    </row>
    <row r="28" spans="2:11" ht="13.5" customHeight="1" x14ac:dyDescent="0.2">
      <c r="B28" s="1977" t="s">
        <v>1286</v>
      </c>
      <c r="C28" s="1977"/>
      <c r="D28" s="1966"/>
      <c r="E28" s="1966"/>
      <c r="F28" s="1966"/>
      <c r="G28" s="1967"/>
      <c r="H28" s="1966"/>
      <c r="I28" s="1967"/>
      <c r="J28" s="1966"/>
      <c r="K28" s="1966"/>
    </row>
    <row r="29" spans="2:11" ht="96" customHeight="1" x14ac:dyDescent="0.2">
      <c r="B29" s="2598" t="s">
        <v>2266</v>
      </c>
      <c r="C29" s="2598"/>
      <c r="D29" s="2598"/>
      <c r="E29" s="2598"/>
      <c r="F29" s="2598"/>
      <c r="G29" s="2598"/>
      <c r="H29" s="2598"/>
      <c r="I29" s="2598"/>
      <c r="J29" s="2598"/>
      <c r="K29" s="2598"/>
    </row>
    <row r="30" spans="2:11" ht="4.5" customHeight="1" x14ac:dyDescent="0.2">
      <c r="B30" s="1083"/>
      <c r="C30" s="1083"/>
    </row>
    <row r="31" spans="2:11" ht="13.5" customHeight="1" x14ac:dyDescent="0.2">
      <c r="B31" s="1978" t="s">
        <v>1740</v>
      </c>
      <c r="C31" s="1978"/>
      <c r="D31" s="1965"/>
      <c r="E31" s="1966"/>
      <c r="F31" s="1966"/>
      <c r="G31" s="1967"/>
      <c r="H31" s="1966"/>
      <c r="I31" s="1967"/>
      <c r="J31" s="1966"/>
      <c r="K31" s="1966"/>
    </row>
    <row r="32" spans="2:11" ht="32.450000000000003" customHeight="1" x14ac:dyDescent="0.2">
      <c r="B32" s="2598" t="s">
        <v>2262</v>
      </c>
      <c r="C32" s="2598"/>
      <c r="D32" s="2598"/>
      <c r="E32" s="2598"/>
      <c r="F32" s="2598"/>
      <c r="G32" s="2598"/>
      <c r="H32" s="2598"/>
      <c r="I32" s="2598"/>
      <c r="J32" s="2598"/>
      <c r="K32" s="2598"/>
    </row>
    <row r="33" spans="1:13" ht="4.5" customHeight="1" x14ac:dyDescent="0.2">
      <c r="B33" s="1083"/>
      <c r="C33" s="1083"/>
    </row>
    <row r="34" spans="1:13" ht="6.95" customHeight="1" x14ac:dyDescent="0.2">
      <c r="A34" s="1979"/>
      <c r="B34" s="1979"/>
      <c r="C34" s="1979"/>
      <c r="D34" s="1979"/>
      <c r="E34" s="1979"/>
      <c r="F34" s="1979"/>
      <c r="G34" s="1980"/>
      <c r="H34" s="1979"/>
      <c r="I34" s="1980"/>
      <c r="J34" s="1979"/>
      <c r="K34" s="1979"/>
    </row>
    <row r="35" spans="1:13" ht="11.85" customHeight="1" x14ac:dyDescent="0.2">
      <c r="B35" s="1981" t="s">
        <v>1741</v>
      </c>
      <c r="C35" s="1981"/>
    </row>
    <row r="36" spans="1:13" ht="9.6" customHeight="1" x14ac:dyDescent="0.2">
      <c r="B36" s="1216" t="s">
        <v>2106</v>
      </c>
      <c r="C36" s="1216"/>
    </row>
    <row r="37" spans="1:13" ht="9.6" customHeight="1" x14ac:dyDescent="0.2">
      <c r="B37" s="1216" t="s">
        <v>2105</v>
      </c>
      <c r="C37" s="1216"/>
    </row>
    <row r="38" spans="1:13" ht="11.85" customHeight="1" x14ac:dyDescent="0.2">
      <c r="B38" s="1981" t="s">
        <v>1742</v>
      </c>
      <c r="C38" s="1981"/>
    </row>
    <row r="39" spans="1:13" ht="9.6" customHeight="1" x14ac:dyDescent="0.2">
      <c r="B39" s="1216" t="s">
        <v>1285</v>
      </c>
      <c r="C39" s="1216"/>
      <c r="M39" s="1982"/>
    </row>
    <row r="40" spans="1:13" ht="12.6" customHeight="1" x14ac:dyDescent="0.2">
      <c r="B40" s="1981" t="s">
        <v>1743</v>
      </c>
      <c r="C40" s="1981"/>
      <c r="M40" s="1982"/>
    </row>
    <row r="41" spans="1:13" ht="9.6" customHeight="1" x14ac:dyDescent="0.2">
      <c r="B41" s="1216"/>
      <c r="C41" s="1216"/>
      <c r="M41" s="198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64" customWidth="1"/>
    <col min="8" max="8" width="10.5703125" style="316" customWidth="1"/>
    <col min="9" max="9" width="3.42578125" style="196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603" t="str">
        <f>'Single Audit Cover'!A7</f>
        <v>Dunlap CUSD 323</v>
      </c>
      <c r="C1" s="2603"/>
      <c r="D1" s="2603"/>
      <c r="E1" s="2603"/>
      <c r="F1" s="2603"/>
      <c r="G1" s="2603"/>
      <c r="H1" s="2603"/>
      <c r="I1" s="2603"/>
      <c r="J1" s="2603"/>
      <c r="K1" s="2603"/>
      <c r="L1" s="1960"/>
      <c r="M1" s="1960"/>
    </row>
    <row r="2" spans="1:13" ht="12" customHeight="1" x14ac:dyDescent="0.2">
      <c r="B2" s="2604">
        <f>'Single Audit Cover'!E7</f>
        <v>48072323026</v>
      </c>
      <c r="C2" s="2604"/>
      <c r="D2" s="2604"/>
      <c r="E2" s="2604"/>
      <c r="F2" s="2604"/>
      <c r="G2" s="2604"/>
      <c r="H2" s="2604"/>
      <c r="I2" s="2604"/>
      <c r="J2" s="2604"/>
      <c r="K2" s="2604"/>
      <c r="L2" s="1961"/>
      <c r="M2" s="1962"/>
    </row>
    <row r="3" spans="1:13" ht="10.35" customHeight="1" x14ac:dyDescent="0.2">
      <c r="B3" s="2605" t="s">
        <v>1284</v>
      </c>
      <c r="C3" s="2605"/>
      <c r="D3" s="2605"/>
      <c r="E3" s="2605"/>
      <c r="F3" s="2605"/>
      <c r="G3" s="2605"/>
      <c r="H3" s="2605"/>
      <c r="I3" s="2605"/>
      <c r="J3" s="2605"/>
      <c r="K3" s="2605"/>
      <c r="L3" s="2056"/>
      <c r="M3" s="2056"/>
    </row>
    <row r="4" spans="1:13" ht="14.25" customHeight="1" x14ac:dyDescent="0.2">
      <c r="B4" s="2605" t="str">
        <f>'Single Audit Cover'!A4</f>
        <v>Year Ending June 30, 2019</v>
      </c>
      <c r="C4" s="2605"/>
      <c r="D4" s="2605"/>
      <c r="E4" s="2605"/>
      <c r="F4" s="2605"/>
      <c r="G4" s="2605"/>
      <c r="H4" s="2605"/>
      <c r="I4" s="2605"/>
      <c r="J4" s="2605"/>
      <c r="K4" s="2605"/>
      <c r="L4" s="2056"/>
      <c r="M4" s="2056"/>
    </row>
    <row r="5" spans="1:13" ht="7.5" customHeight="1" x14ac:dyDescent="0.2">
      <c r="B5" s="1963" t="s">
        <v>1168</v>
      </c>
      <c r="C5" s="1963"/>
    </row>
    <row r="6" spans="1:13" ht="7.5" customHeight="1" x14ac:dyDescent="0.2">
      <c r="B6" s="1965"/>
      <c r="C6" s="1965"/>
      <c r="D6" s="1966"/>
      <c r="E6" s="1966"/>
      <c r="F6" s="1966"/>
      <c r="G6" s="1967"/>
      <c r="H6" s="1966"/>
      <c r="I6" s="1967"/>
      <c r="J6" s="1966"/>
      <c r="K6" s="1966"/>
    </row>
    <row r="7" spans="1:13" ht="12.75" customHeight="1" x14ac:dyDescent="0.2">
      <c r="A7" s="1209"/>
      <c r="B7" s="2605" t="s">
        <v>1295</v>
      </c>
      <c r="C7" s="2605"/>
      <c r="D7" s="2579"/>
      <c r="E7" s="2579"/>
      <c r="F7" s="2579"/>
      <c r="G7" s="2579"/>
      <c r="H7" s="2579"/>
      <c r="I7" s="2579"/>
      <c r="J7" s="2579"/>
      <c r="K7" s="2579"/>
      <c r="L7" s="1968"/>
    </row>
    <row r="8" spans="1:13" ht="7.5" customHeight="1" x14ac:dyDescent="0.2"/>
    <row r="9" spans="1:13" ht="9.6" customHeight="1" x14ac:dyDescent="0.2">
      <c r="B9" s="1966"/>
      <c r="C9" s="1966"/>
      <c r="D9" s="1966"/>
      <c r="E9" s="1966"/>
      <c r="F9" s="1966"/>
      <c r="G9" s="1967"/>
      <c r="H9" s="1966"/>
      <c r="I9" s="1967"/>
      <c r="J9" s="1966"/>
      <c r="K9" s="1966"/>
    </row>
    <row r="10" spans="1:13" ht="16.5" customHeight="1" x14ac:dyDescent="0.2">
      <c r="B10" s="1213" t="s">
        <v>1738</v>
      </c>
      <c r="C10" s="1969" t="s">
        <v>1987</v>
      </c>
      <c r="D10" s="1380">
        <v>2</v>
      </c>
      <c r="F10" s="1213" t="s">
        <v>1294</v>
      </c>
      <c r="G10" s="1382" t="s">
        <v>2066</v>
      </c>
      <c r="H10" s="1970" t="s">
        <v>1293</v>
      </c>
      <c r="I10" s="1382"/>
      <c r="J10" s="1971" t="s">
        <v>1292</v>
      </c>
    </row>
    <row r="11" spans="1:13" ht="13.5" customHeight="1" x14ac:dyDescent="0.2">
      <c r="I11" s="1972" t="s">
        <v>1291</v>
      </c>
      <c r="K11" s="1386"/>
    </row>
    <row r="12" spans="1:13" ht="13.5" customHeight="1" x14ac:dyDescent="0.2">
      <c r="B12" s="1963"/>
      <c r="C12" s="1963"/>
    </row>
    <row r="13" spans="1:13" s="1209" customFormat="1" ht="13.5" customHeight="1" x14ac:dyDescent="0.2">
      <c r="B13" s="1973" t="s">
        <v>1290</v>
      </c>
      <c r="C13" s="1973"/>
      <c r="D13" s="1974"/>
      <c r="E13" s="1974"/>
      <c r="F13" s="1974"/>
      <c r="G13" s="1975"/>
      <c r="H13" s="1974"/>
      <c r="I13" s="1975"/>
      <c r="J13" s="1974"/>
      <c r="K13" s="1974"/>
    </row>
    <row r="14" spans="1:13" ht="42.95" customHeight="1" x14ac:dyDescent="0.2">
      <c r="B14" s="2598" t="s">
        <v>2242</v>
      </c>
      <c r="C14" s="2598"/>
      <c r="D14" s="2598"/>
      <c r="E14" s="2598"/>
      <c r="F14" s="2598"/>
      <c r="G14" s="2598"/>
      <c r="H14" s="2598"/>
      <c r="I14" s="2598"/>
      <c r="J14" s="2598"/>
      <c r="K14" s="2598"/>
    </row>
    <row r="15" spans="1:13" ht="4.5" customHeight="1" x14ac:dyDescent="0.2">
      <c r="B15" s="1083"/>
      <c r="C15" s="1083"/>
    </row>
    <row r="16" spans="1:13" s="1209" customFormat="1" ht="13.5" customHeight="1" x14ac:dyDescent="0.2">
      <c r="B16" s="1973" t="s">
        <v>1289</v>
      </c>
      <c r="C16" s="1973"/>
      <c r="D16" s="1974"/>
      <c r="E16" s="1974"/>
      <c r="F16" s="1974"/>
      <c r="G16" s="1975"/>
      <c r="H16" s="1974"/>
      <c r="I16" s="1975"/>
      <c r="J16" s="1974"/>
      <c r="K16" s="1974"/>
    </row>
    <row r="17" spans="2:11" ht="80.45" customHeight="1" x14ac:dyDescent="0.2">
      <c r="B17" s="2598" t="s">
        <v>2252</v>
      </c>
      <c r="C17" s="2598"/>
      <c r="D17" s="2598"/>
      <c r="E17" s="2598"/>
      <c r="F17" s="2598"/>
      <c r="G17" s="2598"/>
      <c r="H17" s="2598"/>
      <c r="I17" s="2598"/>
      <c r="J17" s="2598"/>
      <c r="K17" s="2598"/>
    </row>
    <row r="18" spans="2:11" ht="4.5" customHeight="1" x14ac:dyDescent="0.2">
      <c r="B18" s="1083"/>
      <c r="C18" s="1083"/>
    </row>
    <row r="19" spans="2:11" s="1209" customFormat="1" ht="13.5" customHeight="1" x14ac:dyDescent="0.2">
      <c r="B19" s="1973" t="s">
        <v>1739</v>
      </c>
      <c r="C19" s="1973"/>
      <c r="D19" s="1974"/>
      <c r="E19" s="1974"/>
      <c r="F19" s="1974"/>
      <c r="G19" s="1975"/>
      <c r="H19" s="1974"/>
      <c r="I19" s="1975"/>
      <c r="J19" s="1974"/>
      <c r="K19" s="1974"/>
    </row>
    <row r="20" spans="2:11" ht="27.6" customHeight="1" x14ac:dyDescent="0.2">
      <c r="B20" s="2606"/>
      <c r="C20" s="2606"/>
      <c r="D20" s="2607"/>
      <c r="E20" s="2607"/>
      <c r="F20" s="2607"/>
      <c r="G20" s="2607"/>
      <c r="H20" s="2607"/>
      <c r="I20" s="2607"/>
      <c r="J20" s="2607"/>
      <c r="K20" s="2607"/>
    </row>
    <row r="21" spans="2:11" ht="4.5" customHeight="1" x14ac:dyDescent="0.2">
      <c r="B21" s="1976"/>
      <c r="C21" s="1976"/>
    </row>
    <row r="22" spans="2:11" ht="13.5" customHeight="1" x14ac:dyDescent="0.2">
      <c r="B22" s="1973" t="s">
        <v>1288</v>
      </c>
      <c r="C22" s="1973"/>
      <c r="D22" s="1966"/>
      <c r="E22" s="1966"/>
      <c r="F22" s="1966"/>
      <c r="G22" s="1967"/>
      <c r="H22" s="1966"/>
      <c r="I22" s="1967"/>
      <c r="J22" s="1966"/>
      <c r="K22" s="1966"/>
    </row>
    <row r="23" spans="2:11" ht="24.95" customHeight="1" x14ac:dyDescent="0.2">
      <c r="B23" s="2598" t="s">
        <v>2250</v>
      </c>
      <c r="C23" s="2598"/>
      <c r="D23" s="2598"/>
      <c r="E23" s="2598"/>
      <c r="F23" s="2598"/>
      <c r="G23" s="2598"/>
      <c r="H23" s="2598"/>
      <c r="I23" s="2598"/>
      <c r="J23" s="2598"/>
      <c r="K23" s="2598"/>
    </row>
    <row r="24" spans="2:11" ht="4.5" customHeight="1" x14ac:dyDescent="0.2">
      <c r="B24" s="1083"/>
      <c r="C24" s="1083"/>
    </row>
    <row r="25" spans="2:11" ht="13.5" customHeight="1" x14ac:dyDescent="0.2">
      <c r="B25" s="1973" t="s">
        <v>1287</v>
      </c>
      <c r="C25" s="1973"/>
      <c r="D25" s="1966"/>
      <c r="E25" s="1966"/>
      <c r="F25" s="1966"/>
      <c r="G25" s="1967"/>
      <c r="H25" s="1966"/>
      <c r="I25" s="1967"/>
      <c r="J25" s="1966"/>
      <c r="K25" s="1966"/>
    </row>
    <row r="26" spans="2:11" ht="34.5" customHeight="1" x14ac:dyDescent="0.2">
      <c r="B26" s="2598" t="s">
        <v>2251</v>
      </c>
      <c r="C26" s="2598"/>
      <c r="D26" s="2598"/>
      <c r="E26" s="2598"/>
      <c r="F26" s="2598"/>
      <c r="G26" s="2598"/>
      <c r="H26" s="2598"/>
      <c r="I26" s="2598"/>
      <c r="J26" s="2598"/>
      <c r="K26" s="2598"/>
    </row>
    <row r="27" spans="2:11" ht="4.5" customHeight="1" x14ac:dyDescent="0.2">
      <c r="B27" s="1083"/>
      <c r="C27" s="1083"/>
    </row>
    <row r="28" spans="2:11" ht="13.5" customHeight="1" x14ac:dyDescent="0.2">
      <c r="B28" s="1977" t="s">
        <v>1286</v>
      </c>
      <c r="C28" s="1977"/>
      <c r="D28" s="1966"/>
      <c r="E28" s="1966"/>
      <c r="F28" s="1966"/>
      <c r="G28" s="1967"/>
      <c r="H28" s="1966"/>
      <c r="I28" s="1967"/>
      <c r="J28" s="1966"/>
      <c r="K28" s="1966"/>
    </row>
    <row r="29" spans="2:11" ht="29.1" customHeight="1" x14ac:dyDescent="0.2">
      <c r="B29" s="2598" t="s">
        <v>2249</v>
      </c>
      <c r="C29" s="2598"/>
      <c r="D29" s="2598"/>
      <c r="E29" s="2598"/>
      <c r="F29" s="2598"/>
      <c r="G29" s="2598"/>
      <c r="H29" s="2598"/>
      <c r="I29" s="2598"/>
      <c r="J29" s="2598"/>
      <c r="K29" s="2598"/>
    </row>
    <row r="30" spans="2:11" ht="4.5" customHeight="1" x14ac:dyDescent="0.2">
      <c r="B30" s="1083"/>
      <c r="C30" s="1083"/>
    </row>
    <row r="31" spans="2:11" ht="13.5" customHeight="1" x14ac:dyDescent="0.2">
      <c r="B31" s="1978" t="s">
        <v>1740</v>
      </c>
      <c r="C31" s="1978"/>
      <c r="D31" s="1965"/>
      <c r="E31" s="1966"/>
      <c r="F31" s="1966"/>
      <c r="G31" s="1967"/>
      <c r="H31" s="1966"/>
      <c r="I31" s="1967"/>
      <c r="J31" s="1966"/>
      <c r="K31" s="1966"/>
    </row>
    <row r="32" spans="2:11" ht="21.95" customHeight="1" x14ac:dyDescent="0.2">
      <c r="B32" s="2598" t="s">
        <v>2243</v>
      </c>
      <c r="C32" s="2598"/>
      <c r="D32" s="2598"/>
      <c r="E32" s="2598"/>
      <c r="F32" s="2598"/>
      <c r="G32" s="2598"/>
      <c r="H32" s="2598"/>
      <c r="I32" s="2598"/>
      <c r="J32" s="2598"/>
      <c r="K32" s="2598"/>
    </row>
    <row r="33" spans="1:13" ht="4.5" customHeight="1" x14ac:dyDescent="0.2">
      <c r="B33" s="1083"/>
      <c r="C33" s="1083"/>
    </row>
    <row r="34" spans="1:13" x14ac:dyDescent="0.2">
      <c r="A34" s="1979"/>
      <c r="B34" s="1979"/>
      <c r="C34" s="1979"/>
      <c r="D34" s="1979"/>
      <c r="E34" s="1979"/>
      <c r="F34" s="1979"/>
      <c r="G34" s="1980"/>
      <c r="H34" s="1979"/>
      <c r="I34" s="1980"/>
      <c r="J34" s="1979"/>
      <c r="K34" s="1979"/>
    </row>
    <row r="35" spans="1:13" ht="11.85" customHeight="1" x14ac:dyDescent="0.2">
      <c r="B35" s="1981" t="s">
        <v>1741</v>
      </c>
      <c r="C35" s="1981"/>
    </row>
    <row r="36" spans="1:13" ht="9.6" customHeight="1" x14ac:dyDescent="0.2">
      <c r="B36" s="1216" t="s">
        <v>2106</v>
      </c>
      <c r="C36" s="1216"/>
    </row>
    <row r="37" spans="1:13" ht="9.6" customHeight="1" x14ac:dyDescent="0.2">
      <c r="B37" s="1216" t="s">
        <v>2105</v>
      </c>
      <c r="C37" s="1216"/>
    </row>
    <row r="38" spans="1:13" ht="11.85" customHeight="1" x14ac:dyDescent="0.2">
      <c r="B38" s="1981" t="s">
        <v>1742</v>
      </c>
      <c r="C38" s="1981"/>
    </row>
    <row r="39" spans="1:13" ht="9.6" customHeight="1" x14ac:dyDescent="0.2">
      <c r="B39" s="1216" t="s">
        <v>1285</v>
      </c>
      <c r="C39" s="1216"/>
      <c r="M39" s="1982"/>
    </row>
    <row r="40" spans="1:13" ht="12.6" customHeight="1" x14ac:dyDescent="0.2">
      <c r="B40" s="1981" t="s">
        <v>1743</v>
      </c>
      <c r="C40" s="1981"/>
      <c r="M40" s="1982"/>
    </row>
    <row r="41" spans="1:13" ht="9.6" customHeight="1" x14ac:dyDescent="0.2">
      <c r="B41" s="1216"/>
      <c r="C41" s="1216"/>
      <c r="M41" s="198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64" customWidth="1"/>
    <col min="8" max="8" width="10.5703125" style="316" customWidth="1"/>
    <col min="9" max="9" width="3.42578125" style="196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603" t="str">
        <f>'Single Audit Cover'!A7</f>
        <v>Dunlap CUSD 323</v>
      </c>
      <c r="C1" s="2603"/>
      <c r="D1" s="2603"/>
      <c r="E1" s="2603"/>
      <c r="F1" s="2603"/>
      <c r="G1" s="2603"/>
      <c r="H1" s="2603"/>
      <c r="I1" s="2603"/>
      <c r="J1" s="2603"/>
      <c r="K1" s="2603"/>
      <c r="L1" s="1960"/>
      <c r="M1" s="1960"/>
    </row>
    <row r="2" spans="1:13" ht="12" customHeight="1" x14ac:dyDescent="0.2">
      <c r="B2" s="2604">
        <f>'Single Audit Cover'!E7</f>
        <v>48072323026</v>
      </c>
      <c r="C2" s="2604"/>
      <c r="D2" s="2604"/>
      <c r="E2" s="2604"/>
      <c r="F2" s="2604"/>
      <c r="G2" s="2604"/>
      <c r="H2" s="2604"/>
      <c r="I2" s="2604"/>
      <c r="J2" s="2604"/>
      <c r="K2" s="2604"/>
      <c r="L2" s="1961"/>
      <c r="M2" s="1962"/>
    </row>
    <row r="3" spans="1:13" ht="10.35" customHeight="1" x14ac:dyDescent="0.2">
      <c r="B3" s="2605" t="s">
        <v>1284</v>
      </c>
      <c r="C3" s="2605"/>
      <c r="D3" s="2605"/>
      <c r="E3" s="2605"/>
      <c r="F3" s="2605"/>
      <c r="G3" s="2605"/>
      <c r="H3" s="2605"/>
      <c r="I3" s="2605"/>
      <c r="J3" s="2605"/>
      <c r="K3" s="2605"/>
      <c r="L3" s="2056"/>
      <c r="M3" s="2056"/>
    </row>
    <row r="4" spans="1:13" ht="14.25" customHeight="1" x14ac:dyDescent="0.2">
      <c r="B4" s="2605" t="str">
        <f>'Single Audit Cover'!A4</f>
        <v>Year Ending June 30, 2019</v>
      </c>
      <c r="C4" s="2605"/>
      <c r="D4" s="2605"/>
      <c r="E4" s="2605"/>
      <c r="F4" s="2605"/>
      <c r="G4" s="2605"/>
      <c r="H4" s="2605"/>
      <c r="I4" s="2605"/>
      <c r="J4" s="2605"/>
      <c r="K4" s="2605"/>
      <c r="L4" s="2056"/>
      <c r="M4" s="2056"/>
    </row>
    <row r="5" spans="1:13" ht="7.5" customHeight="1" x14ac:dyDescent="0.2">
      <c r="B5" s="1963" t="s">
        <v>1168</v>
      </c>
      <c r="C5" s="1963"/>
    </row>
    <row r="6" spans="1:13" ht="7.5" customHeight="1" x14ac:dyDescent="0.2">
      <c r="B6" s="1965"/>
      <c r="C6" s="1965"/>
      <c r="D6" s="1966"/>
      <c r="E6" s="1966"/>
      <c r="F6" s="1966"/>
      <c r="G6" s="1967"/>
      <c r="H6" s="1966"/>
      <c r="I6" s="1967"/>
      <c r="J6" s="1966"/>
      <c r="K6" s="1966"/>
    </row>
    <row r="7" spans="1:13" ht="12.75" customHeight="1" x14ac:dyDescent="0.2">
      <c r="A7" s="1209"/>
      <c r="B7" s="2605" t="s">
        <v>1295</v>
      </c>
      <c r="C7" s="2605"/>
      <c r="D7" s="2579"/>
      <c r="E7" s="2579"/>
      <c r="F7" s="2579"/>
      <c r="G7" s="2579"/>
      <c r="H7" s="2579"/>
      <c r="I7" s="2579"/>
      <c r="J7" s="2579"/>
      <c r="K7" s="2579"/>
      <c r="L7" s="1968"/>
    </row>
    <row r="8" spans="1:13" ht="7.5" customHeight="1" x14ac:dyDescent="0.2"/>
    <row r="9" spans="1:13" ht="9.6" customHeight="1" x14ac:dyDescent="0.2">
      <c r="B9" s="1966"/>
      <c r="C9" s="1966"/>
      <c r="D9" s="1966"/>
      <c r="E9" s="1966"/>
      <c r="F9" s="1966"/>
      <c r="G9" s="1967"/>
      <c r="H9" s="1966"/>
      <c r="I9" s="1967"/>
      <c r="J9" s="1966"/>
      <c r="K9" s="1966"/>
    </row>
    <row r="10" spans="1:13" ht="16.5" customHeight="1" x14ac:dyDescent="0.2">
      <c r="B10" s="1213" t="s">
        <v>1738</v>
      </c>
      <c r="C10" s="1969" t="s">
        <v>1987</v>
      </c>
      <c r="D10" s="1380">
        <v>3</v>
      </c>
      <c r="F10" s="1213" t="s">
        <v>1294</v>
      </c>
      <c r="G10" s="1382" t="s">
        <v>2066</v>
      </c>
      <c r="H10" s="1970" t="s">
        <v>1293</v>
      </c>
      <c r="I10" s="1382"/>
      <c r="J10" s="1971" t="s">
        <v>1292</v>
      </c>
    </row>
    <row r="11" spans="1:13" ht="13.5" customHeight="1" x14ac:dyDescent="0.2">
      <c r="I11" s="1972" t="s">
        <v>1291</v>
      </c>
      <c r="K11" s="1386"/>
    </row>
    <row r="12" spans="1:13" ht="13.5" customHeight="1" x14ac:dyDescent="0.2">
      <c r="B12" s="1963"/>
      <c r="C12" s="1963"/>
    </row>
    <row r="13" spans="1:13" s="1209" customFormat="1" ht="13.5" customHeight="1" x14ac:dyDescent="0.2">
      <c r="B13" s="1973" t="s">
        <v>1290</v>
      </c>
      <c r="C13" s="1973"/>
      <c r="D13" s="1974"/>
      <c r="E13" s="1974"/>
      <c r="F13" s="1974"/>
      <c r="G13" s="1975"/>
      <c r="H13" s="1974"/>
      <c r="I13" s="1975"/>
      <c r="J13" s="1974"/>
      <c r="K13" s="1974"/>
    </row>
    <row r="14" spans="1:13" ht="96.6" customHeight="1" x14ac:dyDescent="0.2">
      <c r="B14" s="2598" t="s">
        <v>2244</v>
      </c>
      <c r="C14" s="2598"/>
      <c r="D14" s="2598"/>
      <c r="E14" s="2598"/>
      <c r="F14" s="2598"/>
      <c r="G14" s="2598"/>
      <c r="H14" s="2598"/>
      <c r="I14" s="2598"/>
      <c r="J14" s="2598"/>
      <c r="K14" s="2598"/>
    </row>
    <row r="15" spans="1:13" ht="4.5" customHeight="1" x14ac:dyDescent="0.2">
      <c r="B15" s="1083"/>
      <c r="C15" s="1083"/>
    </row>
    <row r="16" spans="1:13" s="1209" customFormat="1" ht="13.5" customHeight="1" x14ac:dyDescent="0.2">
      <c r="B16" s="1973" t="s">
        <v>1289</v>
      </c>
      <c r="C16" s="1973"/>
      <c r="D16" s="1974"/>
      <c r="E16" s="1974"/>
      <c r="F16" s="1974"/>
      <c r="G16" s="1975"/>
      <c r="H16" s="1974"/>
      <c r="I16" s="1975"/>
      <c r="J16" s="1974"/>
      <c r="K16" s="1974"/>
    </row>
    <row r="17" spans="2:11" ht="21.6" customHeight="1" x14ac:dyDescent="0.2">
      <c r="B17" s="2598" t="s">
        <v>2245</v>
      </c>
      <c r="C17" s="2598"/>
      <c r="D17" s="2598"/>
      <c r="E17" s="2598"/>
      <c r="F17" s="2598"/>
      <c r="G17" s="2598"/>
      <c r="H17" s="2598"/>
      <c r="I17" s="2598"/>
      <c r="J17" s="2598"/>
      <c r="K17" s="2598"/>
    </row>
    <row r="18" spans="2:11" ht="4.5" customHeight="1" x14ac:dyDescent="0.2">
      <c r="B18" s="1083"/>
      <c r="C18" s="1083"/>
    </row>
    <row r="19" spans="2:11" s="1209" customFormat="1" ht="13.5" customHeight="1" x14ac:dyDescent="0.2">
      <c r="B19" s="1973" t="s">
        <v>1739</v>
      </c>
      <c r="C19" s="1973"/>
      <c r="D19" s="1974"/>
      <c r="E19" s="1974"/>
      <c r="F19" s="1974"/>
      <c r="G19" s="1975"/>
      <c r="H19" s="1974"/>
      <c r="I19" s="1975"/>
      <c r="J19" s="1974"/>
      <c r="K19" s="1974"/>
    </row>
    <row r="20" spans="2:11" ht="55.5" customHeight="1" x14ac:dyDescent="0.2">
      <c r="B20" s="2606" t="s">
        <v>2267</v>
      </c>
      <c r="C20" s="2606"/>
      <c r="D20" s="2607"/>
      <c r="E20" s="2607"/>
      <c r="F20" s="2607"/>
      <c r="G20" s="2607"/>
      <c r="H20" s="2607"/>
      <c r="I20" s="2607"/>
      <c r="J20" s="2607"/>
      <c r="K20" s="2607"/>
    </row>
    <row r="21" spans="2:11" ht="4.5" customHeight="1" x14ac:dyDescent="0.2">
      <c r="B21" s="1976"/>
      <c r="C21" s="1976"/>
    </row>
    <row r="22" spans="2:11" ht="13.5" customHeight="1" x14ac:dyDescent="0.2">
      <c r="B22" s="1973" t="s">
        <v>1288</v>
      </c>
      <c r="C22" s="1973"/>
      <c r="D22" s="1966"/>
      <c r="E22" s="1966"/>
      <c r="F22" s="1966"/>
      <c r="G22" s="1967"/>
      <c r="H22" s="1966"/>
      <c r="I22" s="1967"/>
      <c r="J22" s="1966"/>
      <c r="K22" s="1966"/>
    </row>
    <row r="23" spans="2:11" ht="24.6" customHeight="1" x14ac:dyDescent="0.2">
      <c r="B23" s="2598" t="s">
        <v>2246</v>
      </c>
      <c r="C23" s="2598"/>
      <c r="D23" s="2598"/>
      <c r="E23" s="2598"/>
      <c r="F23" s="2598"/>
      <c r="G23" s="2598"/>
      <c r="H23" s="2598"/>
      <c r="I23" s="2598"/>
      <c r="J23" s="2598"/>
      <c r="K23" s="2598"/>
    </row>
    <row r="24" spans="2:11" ht="4.5" customHeight="1" x14ac:dyDescent="0.2">
      <c r="B24" s="1083"/>
      <c r="C24" s="1083"/>
    </row>
    <row r="25" spans="2:11" ht="13.5" customHeight="1" x14ac:dyDescent="0.2">
      <c r="B25" s="1973" t="s">
        <v>1287</v>
      </c>
      <c r="C25" s="1973"/>
      <c r="D25" s="1966"/>
      <c r="E25" s="1966"/>
      <c r="F25" s="1966"/>
      <c r="G25" s="1967"/>
      <c r="H25" s="1966"/>
      <c r="I25" s="1967"/>
      <c r="J25" s="1966"/>
      <c r="K25" s="1966"/>
    </row>
    <row r="26" spans="2:11" ht="25.5" customHeight="1" x14ac:dyDescent="0.2">
      <c r="B26" s="2598" t="s">
        <v>2247</v>
      </c>
      <c r="C26" s="2598"/>
      <c r="D26" s="2598"/>
      <c r="E26" s="2598"/>
      <c r="F26" s="2598"/>
      <c r="G26" s="2598"/>
      <c r="H26" s="2598"/>
      <c r="I26" s="2598"/>
      <c r="J26" s="2598"/>
      <c r="K26" s="2598"/>
    </row>
    <row r="27" spans="2:11" ht="4.5" customHeight="1" x14ac:dyDescent="0.2">
      <c r="B27" s="1083"/>
      <c r="C27" s="1083"/>
    </row>
    <row r="28" spans="2:11" ht="13.5" customHeight="1" x14ac:dyDescent="0.2">
      <c r="B28" s="1977" t="s">
        <v>1286</v>
      </c>
      <c r="C28" s="1977"/>
      <c r="D28" s="1966"/>
      <c r="E28" s="1966"/>
      <c r="F28" s="1966"/>
      <c r="G28" s="1967"/>
      <c r="H28" s="1966"/>
      <c r="I28" s="1967"/>
      <c r="J28" s="1966"/>
      <c r="K28" s="1966"/>
    </row>
    <row r="29" spans="2:11" ht="49.5" customHeight="1" x14ac:dyDescent="0.2">
      <c r="B29" s="2598" t="s">
        <v>2248</v>
      </c>
      <c r="C29" s="2598"/>
      <c r="D29" s="2598"/>
      <c r="E29" s="2598"/>
      <c r="F29" s="2598"/>
      <c r="G29" s="2598"/>
      <c r="H29" s="2598"/>
      <c r="I29" s="2598"/>
      <c r="J29" s="2598"/>
      <c r="K29" s="2598"/>
    </row>
    <row r="30" spans="2:11" ht="4.5" customHeight="1" x14ac:dyDescent="0.2">
      <c r="B30" s="1083"/>
      <c r="C30" s="1083"/>
    </row>
    <row r="31" spans="2:11" ht="13.5" customHeight="1" x14ac:dyDescent="0.2">
      <c r="B31" s="1978" t="s">
        <v>1740</v>
      </c>
      <c r="C31" s="1978"/>
      <c r="D31" s="1965"/>
      <c r="E31" s="1966"/>
      <c r="F31" s="1966"/>
      <c r="G31" s="1967"/>
      <c r="H31" s="1966"/>
      <c r="I31" s="1967"/>
      <c r="J31" s="1966"/>
      <c r="K31" s="1966"/>
    </row>
    <row r="32" spans="2:11" ht="24.6" customHeight="1" x14ac:dyDescent="0.2">
      <c r="B32" s="2598" t="s">
        <v>2243</v>
      </c>
      <c r="C32" s="2598"/>
      <c r="D32" s="2598"/>
      <c r="E32" s="2598"/>
      <c r="F32" s="2598"/>
      <c r="G32" s="2598"/>
      <c r="H32" s="2598"/>
      <c r="I32" s="2598"/>
      <c r="J32" s="2598"/>
      <c r="K32" s="2598"/>
    </row>
    <row r="33" spans="1:13" ht="4.5" customHeight="1" x14ac:dyDescent="0.2">
      <c r="B33" s="1083"/>
      <c r="C33" s="1083"/>
    </row>
    <row r="34" spans="1:13" x14ac:dyDescent="0.2">
      <c r="A34" s="1979"/>
      <c r="B34" s="1979"/>
      <c r="C34" s="1979"/>
      <c r="D34" s="1979"/>
      <c r="E34" s="1979"/>
      <c r="F34" s="1979"/>
      <c r="G34" s="1980"/>
      <c r="H34" s="1979"/>
      <c r="I34" s="1980"/>
      <c r="J34" s="1979"/>
      <c r="K34" s="1979"/>
    </row>
    <row r="35" spans="1:13" ht="11.85" customHeight="1" x14ac:dyDescent="0.2">
      <c r="B35" s="1981" t="s">
        <v>1741</v>
      </c>
      <c r="C35" s="1981"/>
    </row>
    <row r="36" spans="1:13" ht="9.6" customHeight="1" x14ac:dyDescent="0.2">
      <c r="B36" s="1216" t="s">
        <v>2106</v>
      </c>
      <c r="C36" s="1216"/>
    </row>
    <row r="37" spans="1:13" ht="9.6" customHeight="1" x14ac:dyDescent="0.2">
      <c r="B37" s="1216" t="s">
        <v>2105</v>
      </c>
      <c r="C37" s="1216"/>
    </row>
    <row r="38" spans="1:13" ht="11.85" customHeight="1" x14ac:dyDescent="0.2">
      <c r="B38" s="1981" t="s">
        <v>1742</v>
      </c>
      <c r="C38" s="1981"/>
    </row>
    <row r="39" spans="1:13" ht="9.6" customHeight="1" x14ac:dyDescent="0.2">
      <c r="B39" s="1216" t="s">
        <v>1285</v>
      </c>
      <c r="C39" s="1216"/>
      <c r="M39" s="1982"/>
    </row>
    <row r="40" spans="1:13" ht="12.6" customHeight="1" x14ac:dyDescent="0.2">
      <c r="B40" s="1981" t="s">
        <v>1743</v>
      </c>
      <c r="C40" s="1981"/>
      <c r="M40" s="1982"/>
    </row>
    <row r="41" spans="1:13" ht="9.6" customHeight="1" x14ac:dyDescent="0.2">
      <c r="B41" s="1216"/>
      <c r="C41" s="1216"/>
      <c r="M41" s="198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08" t="str">
        <f>'Single Audit Cover'!A7</f>
        <v>Dunlap CUSD 323</v>
      </c>
      <c r="C1" s="2608"/>
      <c r="D1" s="2608"/>
      <c r="E1" s="2608"/>
      <c r="F1" s="2608"/>
      <c r="G1" s="2608"/>
      <c r="H1" s="2608"/>
      <c r="I1" s="2608"/>
      <c r="J1" s="2608"/>
      <c r="K1" s="2608"/>
      <c r="L1" s="1446"/>
    </row>
    <row r="2" spans="1:12" ht="12.75" customHeight="1" x14ac:dyDescent="0.2">
      <c r="B2" s="2609">
        <f>'Single Audit Cover'!E7</f>
        <v>48072323026</v>
      </c>
      <c r="C2" s="2609"/>
      <c r="D2" s="2609"/>
      <c r="E2" s="2609"/>
      <c r="F2" s="2609"/>
      <c r="G2" s="2609"/>
      <c r="H2" s="2609"/>
      <c r="I2" s="2609"/>
      <c r="J2" s="2609"/>
      <c r="K2" s="2609"/>
      <c r="L2" s="1447"/>
    </row>
    <row r="3" spans="1:12" ht="12.75" customHeight="1" x14ac:dyDescent="0.2">
      <c r="B3" s="2599" t="s">
        <v>1284</v>
      </c>
      <c r="C3" s="2599"/>
      <c r="D3" s="2599"/>
      <c r="E3" s="2599"/>
      <c r="F3" s="2599"/>
      <c r="G3" s="2599"/>
      <c r="H3" s="2599"/>
      <c r="I3" s="2599"/>
      <c r="J3" s="2599"/>
      <c r="K3" s="2599"/>
      <c r="L3" s="1371"/>
    </row>
    <row r="4" spans="1:12" ht="12.75" customHeight="1" x14ac:dyDescent="0.2">
      <c r="B4" s="2599" t="str">
        <f>'Single Audit Cover'!A4</f>
        <v>Year Ending June 30, 2019</v>
      </c>
      <c r="C4" s="2599"/>
      <c r="D4" s="2599"/>
      <c r="E4" s="2599"/>
      <c r="F4" s="2599"/>
      <c r="G4" s="2599"/>
      <c r="H4" s="2599"/>
      <c r="I4" s="2599"/>
      <c r="J4" s="2599"/>
      <c r="K4" s="2599"/>
      <c r="L4" s="1371"/>
    </row>
    <row r="5" spans="1:12" ht="5.25" customHeight="1" x14ac:dyDescent="0.2">
      <c r="B5" s="1254" t="s">
        <v>1168</v>
      </c>
      <c r="C5" s="1254"/>
      <c r="L5" s="322"/>
    </row>
    <row r="6" spans="1:12" ht="30.75" customHeight="1" x14ac:dyDescent="0.2">
      <c r="A6" s="322"/>
      <c r="B6" s="2610" t="s">
        <v>1307</v>
      </c>
      <c r="C6" s="2610"/>
      <c r="D6" s="2610"/>
      <c r="E6" s="2610"/>
      <c r="F6" s="2610"/>
      <c r="G6" s="2610"/>
      <c r="H6" s="2610"/>
      <c r="I6" s="2610"/>
      <c r="J6" s="2610"/>
      <c r="K6" s="2610"/>
      <c r="L6" s="322"/>
    </row>
    <row r="7" spans="1:12" ht="4.5" customHeight="1" x14ac:dyDescent="0.2">
      <c r="B7" s="1373"/>
      <c r="C7" s="1373"/>
      <c r="D7" s="1373"/>
      <c r="E7" s="1373"/>
      <c r="F7" s="1373"/>
      <c r="G7" s="1374"/>
      <c r="H7" s="1373"/>
      <c r="I7" s="1374"/>
      <c r="J7" s="1373"/>
      <c r="K7" s="1373"/>
      <c r="L7" s="322"/>
    </row>
    <row r="8" spans="1:12" ht="13.5" customHeight="1" x14ac:dyDescent="0.2">
      <c r="B8" s="1381" t="s">
        <v>1752</v>
      </c>
      <c r="C8" s="1448" t="s">
        <v>1987</v>
      </c>
      <c r="D8" s="1449">
        <v>4</v>
      </c>
      <c r="E8" s="322"/>
      <c r="F8" s="1378" t="s">
        <v>1294</v>
      </c>
      <c r="G8" s="1450" t="s">
        <v>2066</v>
      </c>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583" t="s">
        <v>2206</v>
      </c>
      <c r="G12" s="2583"/>
      <c r="H12" s="2583"/>
      <c r="I12" s="2583"/>
      <c r="J12" s="2583"/>
      <c r="K12" s="2583"/>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1303</v>
      </c>
      <c r="C14" s="1381"/>
      <c r="D14" s="2611" t="s">
        <v>2269</v>
      </c>
      <c r="E14" s="2611"/>
      <c r="F14" s="2611"/>
      <c r="H14" s="1456" t="s">
        <v>1302</v>
      </c>
      <c r="I14" s="2612">
        <v>10.555</v>
      </c>
      <c r="J14" s="2612"/>
      <c r="K14" s="2612"/>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612" t="s">
        <v>2111</v>
      </c>
      <c r="E16" s="2612"/>
      <c r="F16" s="2612"/>
      <c r="G16" s="2612"/>
      <c r="H16" s="2612"/>
      <c r="I16" s="2612"/>
      <c r="J16" s="2612"/>
      <c r="K16" s="2612"/>
      <c r="L16" s="322"/>
    </row>
    <row r="17" spans="2:12" ht="13.5" customHeight="1" x14ac:dyDescent="0.2">
      <c r="B17" s="1381" t="s">
        <v>1300</v>
      </c>
      <c r="C17" s="1381"/>
      <c r="D17" s="2613" t="s">
        <v>2207</v>
      </c>
      <c r="E17" s="2613"/>
      <c r="F17" s="2613"/>
      <c r="G17" s="2613"/>
      <c r="H17" s="2613"/>
      <c r="I17" s="2613"/>
      <c r="J17" s="2613"/>
      <c r="K17" s="2613"/>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35.25" customHeight="1" x14ac:dyDescent="0.2">
      <c r="B20" s="2598" t="s">
        <v>2213</v>
      </c>
      <c r="C20" s="2598"/>
      <c r="D20" s="2598"/>
      <c r="E20" s="2598"/>
      <c r="F20" s="2598"/>
      <c r="G20" s="2598"/>
      <c r="H20" s="2598"/>
      <c r="I20" s="2598"/>
      <c r="J20" s="2598"/>
      <c r="K20" s="2598"/>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1753</v>
      </c>
      <c r="C22" s="1458"/>
      <c r="D22" s="322"/>
      <c r="E22" s="322"/>
      <c r="F22" s="322"/>
      <c r="G22" s="1377"/>
      <c r="H22" s="322"/>
      <c r="I22" s="1377"/>
      <c r="J22" s="322"/>
      <c r="K22" s="322"/>
      <c r="L22" s="322"/>
    </row>
    <row r="23" spans="2:12" ht="37.5" customHeight="1" x14ac:dyDescent="0.2">
      <c r="B23" s="2598" t="s">
        <v>2214</v>
      </c>
      <c r="C23" s="2598"/>
      <c r="D23" s="2598"/>
      <c r="E23" s="2598"/>
      <c r="F23" s="2598"/>
      <c r="G23" s="2598"/>
      <c r="H23" s="2598"/>
      <c r="I23" s="2598"/>
      <c r="J23" s="2598"/>
      <c r="K23" s="2598"/>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1754</v>
      </c>
      <c r="C25" s="1458"/>
      <c r="D25" s="322"/>
      <c r="E25" s="322"/>
      <c r="F25" s="322"/>
      <c r="G25" s="1377"/>
      <c r="H25" s="322"/>
      <c r="I25" s="1377"/>
      <c r="J25" s="322"/>
      <c r="K25" s="322"/>
      <c r="L25" s="322"/>
    </row>
    <row r="26" spans="2:12" ht="37.5" customHeight="1" x14ac:dyDescent="0.2">
      <c r="B26" s="2598" t="s">
        <v>2208</v>
      </c>
      <c r="C26" s="2598"/>
      <c r="D26" s="2598"/>
      <c r="E26" s="2598"/>
      <c r="F26" s="2598"/>
      <c r="G26" s="2598"/>
      <c r="H26" s="2598"/>
      <c r="I26" s="2598"/>
      <c r="J26" s="2598"/>
      <c r="K26" s="2598"/>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1755</v>
      </c>
      <c r="C28" s="1458"/>
      <c r="D28" s="322"/>
      <c r="E28" s="322"/>
      <c r="F28" s="322"/>
      <c r="G28" s="1377"/>
      <c r="H28" s="322"/>
      <c r="I28" s="1377"/>
      <c r="J28" s="322"/>
      <c r="K28" s="322"/>
      <c r="L28" s="322"/>
    </row>
    <row r="29" spans="2:12" ht="37.5" customHeight="1" x14ac:dyDescent="0.2">
      <c r="B29" s="2598" t="s">
        <v>2209</v>
      </c>
      <c r="C29" s="2598"/>
      <c r="D29" s="2598"/>
      <c r="E29" s="2598"/>
      <c r="F29" s="2598"/>
      <c r="G29" s="2598"/>
      <c r="H29" s="2598"/>
      <c r="I29" s="2598"/>
      <c r="J29" s="2598"/>
      <c r="K29" s="2598"/>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598" t="s">
        <v>2210</v>
      </c>
      <c r="C32" s="2598"/>
      <c r="D32" s="2598"/>
      <c r="E32" s="2598"/>
      <c r="F32" s="2598"/>
      <c r="G32" s="2598"/>
      <c r="H32" s="2598"/>
      <c r="I32" s="2598"/>
      <c r="J32" s="2598"/>
      <c r="K32" s="2598"/>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37.5" customHeight="1" x14ac:dyDescent="0.2">
      <c r="B35" s="2598" t="s">
        <v>2211</v>
      </c>
      <c r="C35" s="2598"/>
      <c r="D35" s="2598"/>
      <c r="E35" s="2598"/>
      <c r="F35" s="2598"/>
      <c r="G35" s="2598"/>
      <c r="H35" s="2598"/>
      <c r="I35" s="2598"/>
      <c r="J35" s="2598"/>
      <c r="K35" s="2598"/>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35.25" customHeight="1" x14ac:dyDescent="0.2">
      <c r="B38" s="2598" t="s">
        <v>2215</v>
      </c>
      <c r="C38" s="2598"/>
      <c r="D38" s="2598"/>
      <c r="E38" s="2598"/>
      <c r="F38" s="2598"/>
      <c r="G38" s="2598"/>
      <c r="H38" s="2598"/>
      <c r="I38" s="2598"/>
      <c r="J38" s="2598"/>
      <c r="K38" s="2598"/>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1756</v>
      </c>
      <c r="C40" s="1397"/>
      <c r="D40" s="1372"/>
      <c r="E40" s="1373"/>
      <c r="F40" s="1373"/>
      <c r="G40" s="1374"/>
      <c r="H40" s="1373"/>
      <c r="I40" s="1374"/>
      <c r="J40" s="1373"/>
      <c r="K40" s="1373"/>
    </row>
    <row r="41" spans="2:12" s="322" customFormat="1" ht="33.75" customHeight="1" x14ac:dyDescent="0.2">
      <c r="B41" s="2598" t="s">
        <v>2212</v>
      </c>
      <c r="C41" s="2598"/>
      <c r="D41" s="2598"/>
      <c r="E41" s="2598"/>
      <c r="F41" s="2598"/>
      <c r="G41" s="2598"/>
      <c r="H41" s="2598"/>
      <c r="I41" s="2598"/>
      <c r="J41" s="2598"/>
      <c r="K41" s="2598"/>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576" t="str">
        <f>'Single Audit Cover'!A7</f>
        <v>Dunlap CUSD 323</v>
      </c>
      <c r="C1" s="2576"/>
      <c r="D1" s="2576"/>
      <c r="E1" s="1466"/>
    </row>
    <row r="2" spans="2:5" s="1276" customFormat="1" ht="12.75" customHeight="1" x14ac:dyDescent="0.2">
      <c r="B2" s="2578">
        <f>'Single Audit Cover'!E7</f>
        <v>48072323026</v>
      </c>
      <c r="C2" s="2578"/>
      <c r="D2" s="2578"/>
      <c r="E2" s="1467"/>
    </row>
    <row r="3" spans="2:5" ht="12.75" customHeight="1" x14ac:dyDescent="0.2">
      <c r="B3" s="2599" t="s">
        <v>1762</v>
      </c>
      <c r="C3" s="2599"/>
      <c r="D3" s="2599"/>
      <c r="E3" s="1268"/>
    </row>
    <row r="4" spans="2:5" s="1276" customFormat="1" ht="12.75" customHeight="1" x14ac:dyDescent="0.2">
      <c r="B4" s="2614" t="str">
        <f>'Single Audit Cover'!A4</f>
        <v>Year Ending June 30, 2019</v>
      </c>
      <c r="C4" s="2614"/>
      <c r="D4" s="2614"/>
      <c r="E4" s="1468"/>
    </row>
    <row r="5" spans="2:5" s="1276" customFormat="1" ht="40.15" customHeight="1" x14ac:dyDescent="0.2">
      <c r="B5" s="1469" t="s">
        <v>1763</v>
      </c>
      <c r="C5" s="328"/>
      <c r="D5" s="328"/>
      <c r="E5" s="328"/>
    </row>
    <row r="6" spans="2:5" s="1276" customFormat="1" ht="13.5" customHeight="1" x14ac:dyDescent="0.2">
      <c r="B6" s="1470" t="s">
        <v>1314</v>
      </c>
      <c r="C6" s="1470" t="s">
        <v>1313</v>
      </c>
      <c r="D6" s="1470" t="s">
        <v>1764</v>
      </c>
    </row>
    <row r="7" spans="2:5" ht="13.5" customHeight="1" x14ac:dyDescent="0.2">
      <c r="B7" s="1471" t="s">
        <v>2205</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1312</v>
      </c>
      <c r="C44" s="322"/>
    </row>
    <row r="45" spans="2:5" ht="12.2" customHeight="1" x14ac:dyDescent="0.2">
      <c r="B45" s="1480" t="s">
        <v>1765</v>
      </c>
    </row>
    <row r="46" spans="2:5" ht="12.2" customHeight="1" x14ac:dyDescent="0.2">
      <c r="B46" s="1480" t="s">
        <v>1766</v>
      </c>
    </row>
    <row r="47" spans="2:5" ht="12.2" customHeight="1" x14ac:dyDescent="0.2">
      <c r="B47" s="1481" t="s">
        <v>1311</v>
      </c>
    </row>
    <row r="48" spans="2:5" ht="12.2" customHeight="1" x14ac:dyDescent="0.2">
      <c r="B48" s="1481" t="s">
        <v>1310</v>
      </c>
    </row>
    <row r="49" spans="2:5" ht="12.2" customHeight="1" x14ac:dyDescent="0.2">
      <c r="B49" s="1481" t="s">
        <v>1309</v>
      </c>
    </row>
    <row r="50" spans="2:5" ht="12.2" customHeight="1" x14ac:dyDescent="0.2">
      <c r="B50" s="1481" t="s">
        <v>1308</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2"/>
  <sheetViews>
    <sheetView showGridLines="0" zoomScale="110" zoomScaleNormal="110" zoomScaleSheetLayoutView="100" workbookViewId="0"/>
  </sheetViews>
  <sheetFormatPr defaultColWidth="9.140625" defaultRowHeight="12.75" x14ac:dyDescent="0.2"/>
  <cols>
    <col min="1" max="1" width="1.5703125" style="1939" customWidth="1"/>
    <col min="2" max="2" width="11.28515625" style="1939" customWidth="1"/>
    <col min="3" max="3" width="6.42578125" style="1939" customWidth="1"/>
    <col min="4" max="4" width="5.42578125" style="1939" customWidth="1"/>
    <col min="5" max="5" width="74.7109375" style="1939" customWidth="1"/>
    <col min="6" max="6" width="1.5703125" style="1939" customWidth="1"/>
    <col min="7" max="8" width="2.42578125" style="1939" customWidth="1"/>
    <col min="9" max="9" width="9.28515625" style="1939" customWidth="1"/>
    <col min="10" max="10" width="14.42578125" style="1939" customWidth="1"/>
    <col min="11" max="11" width="7.28515625" style="1939" customWidth="1"/>
    <col min="12" max="12" width="3.140625" style="1939" customWidth="1"/>
    <col min="13" max="16384" width="9.140625" style="1939"/>
  </cols>
  <sheetData>
    <row r="1" spans="2:12" ht="13.5" customHeight="1" x14ac:dyDescent="0.2">
      <c r="B1" s="2616" t="str">
        <f>'Single Audit Cover'!A7</f>
        <v>Dunlap CUSD 323</v>
      </c>
      <c r="C1" s="2616"/>
      <c r="D1" s="2616"/>
      <c r="E1" s="2616"/>
      <c r="F1" s="1938"/>
      <c r="G1" s="1938"/>
      <c r="H1" s="1938"/>
      <c r="I1" s="1938"/>
      <c r="J1" s="1938"/>
      <c r="K1" s="1938"/>
      <c r="L1" s="1938"/>
    </row>
    <row r="2" spans="2:12" ht="13.5" customHeight="1" x14ac:dyDescent="0.2">
      <c r="B2" s="2617">
        <f>'Single Audit Cover'!E7</f>
        <v>48072323026</v>
      </c>
      <c r="C2" s="2617"/>
      <c r="D2" s="2617"/>
      <c r="E2" s="2617"/>
      <c r="F2" s="1940"/>
      <c r="G2" s="1940"/>
      <c r="H2" s="1940"/>
      <c r="I2" s="1940"/>
      <c r="J2" s="1940"/>
      <c r="K2" s="1940"/>
      <c r="L2" s="1940"/>
    </row>
    <row r="3" spans="2:12" ht="13.5" customHeight="1" x14ac:dyDescent="0.2">
      <c r="B3" s="2618" t="s">
        <v>2096</v>
      </c>
      <c r="C3" s="2618"/>
      <c r="D3" s="2618"/>
      <c r="E3" s="2618"/>
      <c r="F3" s="1941"/>
      <c r="G3" s="1941"/>
      <c r="H3" s="1941"/>
      <c r="I3" s="1941"/>
      <c r="J3" s="1941"/>
      <c r="K3" s="1941"/>
      <c r="L3" s="1941"/>
    </row>
    <row r="4" spans="2:12" ht="13.5" customHeight="1" x14ac:dyDescent="0.2">
      <c r="B4" s="2619" t="s">
        <v>1985</v>
      </c>
      <c r="C4" s="2619"/>
      <c r="D4" s="2619"/>
      <c r="E4" s="2619"/>
      <c r="F4" s="1942"/>
      <c r="G4" s="1942"/>
      <c r="H4" s="1942"/>
      <c r="I4" s="1942"/>
      <c r="J4" s="1942"/>
      <c r="K4" s="1942"/>
      <c r="L4" s="1942"/>
    </row>
    <row r="5" spans="2:12" ht="29.85" customHeight="1" x14ac:dyDescent="0.2"/>
    <row r="6" spans="2:12" ht="13.5" customHeight="1" x14ac:dyDescent="0.2">
      <c r="B6" s="1943" t="s">
        <v>2097</v>
      </c>
      <c r="C6" s="1943"/>
      <c r="D6" s="1944"/>
      <c r="E6" s="1945"/>
      <c r="F6" s="1945"/>
      <c r="G6" s="1946"/>
      <c r="H6" s="1946"/>
      <c r="I6" s="1946"/>
    </row>
    <row r="7" spans="2:12" ht="13.5" customHeight="1" x14ac:dyDescent="0.2">
      <c r="B7" s="1939" t="s">
        <v>1168</v>
      </c>
    </row>
    <row r="8" spans="2:12" ht="13.5" customHeight="1" x14ac:dyDescent="0.2">
      <c r="B8" s="1947" t="s">
        <v>2098</v>
      </c>
      <c r="C8" s="1948" t="s">
        <v>1987</v>
      </c>
      <c r="D8" s="1949">
        <v>1</v>
      </c>
    </row>
    <row r="9" spans="2:12" ht="13.5" customHeight="1" x14ac:dyDescent="0.2">
      <c r="B9" s="1950"/>
      <c r="C9" s="1950"/>
      <c r="D9" s="1950"/>
    </row>
    <row r="10" spans="2:12" ht="13.5" customHeight="1" x14ac:dyDescent="0.2">
      <c r="B10" s="1947" t="s">
        <v>2099</v>
      </c>
      <c r="C10" s="1947"/>
    </row>
    <row r="11" spans="2:12" ht="152.1" customHeight="1" x14ac:dyDescent="0.2">
      <c r="B11" s="2615" t="str">
        <f>'Finding 2019-001'!B17:K17</f>
        <v>"Control Pay" is used to pay vendor payables electronically by which the amount of disbursements to vendors is uploaded to the financial institution and the vendor then logs in and completes the transfer to the vendor's bank account.  No disbursements to vendors are completed until the vendor finalizes the transfer of funds.  The District's vendor payables that were processed with "control pay" then post to the cash reconciliation module as one entry each month which does not allow for clearing each individual vendor disbursement when they clear the bank statement.  To account for this, journal entries were posted to adjust the accounting records to equal the amount that cleared the bank each month.  If all "control pay" disbursements cleared the bank in the same month they were processed no journal entry would be needed.  Typically, the "control pay" disbursements are processed after a board meeting which a limited amount, if any, vendors would have completed the transfer of funds by the end of the month.  Posting an entry to match the amount clearing the bank then resulted in overstating cash and understating expenditures by the amount of uncleared "control pay" transactions.</v>
      </c>
      <c r="C11" s="2615"/>
      <c r="D11" s="2615"/>
      <c r="E11" s="2615"/>
    </row>
    <row r="12" spans="2:12" ht="13.5" customHeight="1" x14ac:dyDescent="0.2"/>
    <row r="13" spans="2:12" ht="13.5" customHeight="1" x14ac:dyDescent="0.2">
      <c r="B13" s="1947" t="s">
        <v>2100</v>
      </c>
      <c r="C13" s="1947"/>
    </row>
    <row r="14" spans="2:12" ht="25.5" customHeight="1" x14ac:dyDescent="0.2">
      <c r="B14" s="2615" t="s">
        <v>2259</v>
      </c>
      <c r="C14" s="2615"/>
      <c r="D14" s="2615"/>
      <c r="E14" s="2615"/>
    </row>
    <row r="15" spans="2:12" ht="13.5" customHeight="1" x14ac:dyDescent="0.2"/>
    <row r="16" spans="2:12" ht="13.5" customHeight="1" x14ac:dyDescent="0.2">
      <c r="B16" s="1947" t="s">
        <v>2101</v>
      </c>
      <c r="C16" s="1947"/>
      <c r="E16" s="1959">
        <v>44012</v>
      </c>
    </row>
    <row r="17" spans="2:5" ht="13.5" customHeight="1" x14ac:dyDescent="0.2"/>
    <row r="18" spans="2:5" ht="13.5" customHeight="1" x14ac:dyDescent="0.2">
      <c r="B18" s="1947" t="s">
        <v>2102</v>
      </c>
      <c r="C18" s="1947"/>
      <c r="E18" s="1951" t="s">
        <v>2253</v>
      </c>
    </row>
    <row r="19" spans="2:5" ht="13.5" customHeight="1" x14ac:dyDescent="0.2"/>
    <row r="20" spans="2:5" ht="13.5" customHeight="1" x14ac:dyDescent="0.2">
      <c r="B20" s="1947" t="s">
        <v>2103</v>
      </c>
      <c r="C20" s="1947"/>
      <c r="E20" s="1951" t="s">
        <v>2261</v>
      </c>
    </row>
    <row r="21" spans="2:5" ht="13.5" customHeight="1" x14ac:dyDescent="0.2">
      <c r="E21" s="1951"/>
    </row>
    <row r="22" spans="2:5" ht="13.5" customHeight="1" x14ac:dyDescent="0.2">
      <c r="E22" s="1951"/>
    </row>
    <row r="23" spans="2:5" ht="13.5" hidden="1" customHeight="1" x14ac:dyDescent="0.2"/>
    <row r="24" spans="2:5" ht="13.5" hidden="1" customHeight="1" x14ac:dyDescent="0.2"/>
    <row r="25" spans="2:5" ht="13.5" hidden="1" customHeight="1" x14ac:dyDescent="0.2">
      <c r="B25" s="1952"/>
      <c r="C25" s="1952"/>
      <c r="D25" s="1952"/>
    </row>
    <row r="26" spans="2:5" ht="13.5" hidden="1" customHeight="1" x14ac:dyDescent="0.2">
      <c r="B26" s="1952"/>
      <c r="C26" s="1952"/>
      <c r="D26" s="1952"/>
    </row>
    <row r="27" spans="2:5" ht="13.5" hidden="1" customHeight="1" x14ac:dyDescent="0.2">
      <c r="B27" s="1952"/>
      <c r="C27" s="1952"/>
      <c r="D27" s="1952"/>
    </row>
    <row r="28" spans="2:5" ht="13.5" hidden="1"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1953"/>
      <c r="C37" s="1953"/>
      <c r="D37" s="1953"/>
    </row>
    <row r="38" spans="2:5" ht="13.5" customHeight="1" x14ac:dyDescent="0.2"/>
    <row r="39" spans="2:5" ht="13.5" customHeight="1" x14ac:dyDescent="0.2">
      <c r="B39" s="1953"/>
      <c r="C39" s="1953"/>
      <c r="D39" s="1953"/>
    </row>
    <row r="40" spans="2:5" ht="13.5" customHeight="1" x14ac:dyDescent="0.2">
      <c r="B40" s="1953"/>
      <c r="C40" s="1953"/>
      <c r="D40" s="1953"/>
    </row>
    <row r="41" spans="2:5" ht="13.5" customHeight="1" x14ac:dyDescent="0.2">
      <c r="B41" s="1953"/>
      <c r="C41" s="1953"/>
      <c r="D41" s="1953"/>
    </row>
    <row r="42" spans="2:5" ht="13.5" customHeight="1" x14ac:dyDescent="0.2">
      <c r="B42" s="1953"/>
      <c r="C42" s="1953"/>
      <c r="D42" s="1953"/>
    </row>
    <row r="43" spans="2:5" ht="13.5" customHeight="1" x14ac:dyDescent="0.2">
      <c r="B43" s="1954"/>
      <c r="C43" s="1954"/>
      <c r="D43" s="1954"/>
      <c r="E43" s="1954"/>
    </row>
    <row r="44" spans="2:5" ht="12.2" customHeight="1" x14ac:dyDescent="0.2">
      <c r="B44" s="1955" t="s">
        <v>2104</v>
      </c>
      <c r="C44" s="1955"/>
      <c r="D44" s="1955"/>
    </row>
    <row r="45" spans="2:5" ht="12.2" customHeight="1" x14ac:dyDescent="0.2">
      <c r="B45" s="1956"/>
      <c r="C45" s="1956"/>
      <c r="D45" s="1956"/>
    </row>
    <row r="46" spans="2:5" ht="12.75" customHeight="1" x14ac:dyDescent="0.2">
      <c r="B46" s="1947"/>
      <c r="C46" s="1947"/>
      <c r="D46" s="1947"/>
    </row>
    <row r="47" spans="2:5" ht="12.75" customHeight="1" x14ac:dyDescent="0.2">
      <c r="B47" s="1947"/>
      <c r="C47" s="1947"/>
      <c r="D47" s="1947"/>
    </row>
    <row r="48" spans="2:5" x14ac:dyDescent="0.2">
      <c r="B48" s="1947"/>
      <c r="C48" s="1947"/>
      <c r="D48" s="1947"/>
    </row>
    <row r="49" spans="2:4" x14ac:dyDescent="0.2">
      <c r="B49" s="1947"/>
      <c r="C49" s="1947"/>
      <c r="D49" s="1947"/>
    </row>
    <row r="53" spans="2:4" x14ac:dyDescent="0.2">
      <c r="B53" s="1957"/>
      <c r="C53" s="1957"/>
      <c r="D53" s="1957"/>
    </row>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1" spans="2:4" ht="12.75" customHeight="1" x14ac:dyDescent="0.2"/>
    <row r="62" spans="2:4" ht="12.75" customHeight="1" x14ac:dyDescent="0.2"/>
    <row r="66" spans="2:4" x14ac:dyDescent="0.2">
      <c r="B66" s="1958"/>
      <c r="C66" s="1958"/>
      <c r="D66" s="1958"/>
    </row>
    <row r="67" spans="2:4" x14ac:dyDescent="0.2">
      <c r="B67" s="1947"/>
      <c r="C67" s="1947"/>
      <c r="D67" s="1947"/>
    </row>
    <row r="68" spans="2:4" x14ac:dyDescent="0.2">
      <c r="B68" s="1947"/>
      <c r="C68" s="1947"/>
      <c r="D68" s="1947"/>
    </row>
    <row r="69" spans="2:4" x14ac:dyDescent="0.2">
      <c r="B69" s="1958"/>
      <c r="C69" s="1958"/>
      <c r="D69" s="1958"/>
    </row>
    <row r="70" spans="2:4" x14ac:dyDescent="0.2">
      <c r="B70" s="1958"/>
      <c r="C70" s="1958"/>
      <c r="D70" s="1958"/>
    </row>
    <row r="71" spans="2:4" x14ac:dyDescent="0.2">
      <c r="B71" s="1958"/>
      <c r="C71" s="1958"/>
      <c r="D71" s="1958"/>
    </row>
    <row r="72" spans="2:4" x14ac:dyDescent="0.2">
      <c r="B72" s="1947"/>
      <c r="C72" s="1947"/>
      <c r="D72" s="1947"/>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39" customWidth="1"/>
    <col min="2" max="2" width="11.28515625" style="1939" customWidth="1"/>
    <col min="3" max="3" width="6.42578125" style="1939" customWidth="1"/>
    <col min="4" max="4" width="5.42578125" style="1939" customWidth="1"/>
    <col min="5" max="5" width="74.7109375" style="1939" customWidth="1"/>
    <col min="6" max="6" width="1.5703125" style="1939" customWidth="1"/>
    <col min="7" max="8" width="2.42578125" style="1939" customWidth="1"/>
    <col min="9" max="9" width="9.28515625" style="1939" customWidth="1"/>
    <col min="10" max="10" width="14.42578125" style="1939" customWidth="1"/>
    <col min="11" max="11" width="7.28515625" style="1939" customWidth="1"/>
    <col min="12" max="12" width="3.140625" style="1939" customWidth="1"/>
    <col min="13" max="16384" width="9.140625" style="1939"/>
  </cols>
  <sheetData>
    <row r="1" spans="2:12" ht="13.5" customHeight="1" x14ac:dyDescent="0.2">
      <c r="B1" s="2616" t="str">
        <f>'Single Audit Cover'!A7</f>
        <v>Dunlap CUSD 323</v>
      </c>
      <c r="C1" s="2616"/>
      <c r="D1" s="2616"/>
      <c r="E1" s="2616"/>
      <c r="F1" s="1938"/>
      <c r="G1" s="1938"/>
      <c r="H1" s="1938"/>
      <c r="I1" s="1938"/>
      <c r="J1" s="1938"/>
      <c r="K1" s="1938"/>
      <c r="L1" s="1938"/>
    </row>
    <row r="2" spans="2:12" ht="13.5" customHeight="1" x14ac:dyDescent="0.2">
      <c r="B2" s="2617">
        <f>'Single Audit Cover'!E7</f>
        <v>48072323026</v>
      </c>
      <c r="C2" s="2617"/>
      <c r="D2" s="2617"/>
      <c r="E2" s="2617"/>
      <c r="F2" s="1940"/>
      <c r="G2" s="1940"/>
      <c r="H2" s="1940"/>
      <c r="I2" s="1940"/>
      <c r="J2" s="1940"/>
      <c r="K2" s="1940"/>
      <c r="L2" s="1940"/>
    </row>
    <row r="3" spans="2:12" ht="13.5" customHeight="1" x14ac:dyDescent="0.2">
      <c r="B3" s="2618" t="s">
        <v>2096</v>
      </c>
      <c r="C3" s="2618"/>
      <c r="D3" s="2618"/>
      <c r="E3" s="2618"/>
      <c r="F3" s="1941"/>
      <c r="G3" s="1941"/>
      <c r="H3" s="1941"/>
      <c r="I3" s="1941"/>
      <c r="J3" s="1941"/>
      <c r="K3" s="1941"/>
      <c r="L3" s="1941"/>
    </row>
    <row r="4" spans="2:12" ht="13.5" customHeight="1" x14ac:dyDescent="0.2">
      <c r="B4" s="2619" t="s">
        <v>1985</v>
      </c>
      <c r="C4" s="2619"/>
      <c r="D4" s="2619"/>
      <c r="E4" s="2619"/>
      <c r="F4" s="1942"/>
      <c r="G4" s="1942"/>
      <c r="H4" s="1942"/>
      <c r="I4" s="1942"/>
      <c r="J4" s="1942"/>
      <c r="K4" s="1942"/>
      <c r="L4" s="1942"/>
    </row>
    <row r="5" spans="2:12" ht="29.85" customHeight="1" x14ac:dyDescent="0.2"/>
    <row r="6" spans="2:12" ht="13.5" customHeight="1" x14ac:dyDescent="0.2">
      <c r="B6" s="1943" t="s">
        <v>2097</v>
      </c>
      <c r="C6" s="1943"/>
      <c r="D6" s="1944"/>
      <c r="E6" s="1945"/>
      <c r="F6" s="1945"/>
      <c r="G6" s="1946"/>
      <c r="H6" s="1946"/>
      <c r="I6" s="1946"/>
    </row>
    <row r="7" spans="2:12" ht="13.5" customHeight="1" x14ac:dyDescent="0.2">
      <c r="B7" s="1939" t="s">
        <v>1168</v>
      </c>
    </row>
    <row r="8" spans="2:12" ht="13.5" customHeight="1" x14ac:dyDescent="0.2">
      <c r="B8" s="1947" t="s">
        <v>2098</v>
      </c>
      <c r="C8" s="1948" t="s">
        <v>1987</v>
      </c>
      <c r="D8" s="1949">
        <v>2</v>
      </c>
    </row>
    <row r="9" spans="2:12" ht="13.5" customHeight="1" x14ac:dyDescent="0.2">
      <c r="B9" s="1950"/>
      <c r="C9" s="1950"/>
      <c r="D9" s="1950"/>
    </row>
    <row r="10" spans="2:12" ht="13.5" customHeight="1" x14ac:dyDescent="0.2">
      <c r="B10" s="1947" t="s">
        <v>2099</v>
      </c>
      <c r="C10" s="1947"/>
    </row>
    <row r="11" spans="2:12" ht="66.75" customHeight="1" x14ac:dyDescent="0.2">
      <c r="B11" s="2615" t="s">
        <v>2254</v>
      </c>
      <c r="C11" s="2615"/>
      <c r="D11" s="2615"/>
      <c r="E11" s="2615"/>
    </row>
    <row r="12" spans="2:12" ht="13.5" customHeight="1" x14ac:dyDescent="0.2"/>
    <row r="13" spans="2:12" ht="13.5" customHeight="1" x14ac:dyDescent="0.2">
      <c r="B13" s="1947" t="s">
        <v>2100</v>
      </c>
      <c r="C13" s="1947"/>
    </row>
    <row r="14" spans="2:12" ht="76.5" customHeight="1" x14ac:dyDescent="0.2">
      <c r="B14" s="2615" t="s">
        <v>2256</v>
      </c>
      <c r="C14" s="2615"/>
      <c r="D14" s="2615"/>
      <c r="E14" s="2615"/>
    </row>
    <row r="15" spans="2:12" ht="13.5" customHeight="1" x14ac:dyDescent="0.2"/>
    <row r="16" spans="2:12" ht="13.5" customHeight="1" x14ac:dyDescent="0.2">
      <c r="B16" s="1947" t="s">
        <v>2101</v>
      </c>
      <c r="C16" s="1947"/>
      <c r="E16" s="1959">
        <v>44012</v>
      </c>
    </row>
    <row r="17" spans="2:5" ht="13.5" customHeight="1" x14ac:dyDescent="0.2"/>
    <row r="18" spans="2:5" ht="13.5" customHeight="1" x14ac:dyDescent="0.2">
      <c r="B18" s="1947" t="s">
        <v>2102</v>
      </c>
      <c r="C18" s="1947"/>
      <c r="E18" s="1951" t="s">
        <v>2253</v>
      </c>
    </row>
    <row r="19" spans="2:5" ht="13.5" customHeight="1" x14ac:dyDescent="0.2"/>
    <row r="20" spans="2:5" ht="13.5" customHeight="1" x14ac:dyDescent="0.2">
      <c r="B20" s="1947" t="s">
        <v>2103</v>
      </c>
      <c r="C20" s="1947"/>
      <c r="E20" s="1951" t="s">
        <v>2255</v>
      </c>
    </row>
    <row r="21" spans="2:5" ht="13.5" customHeight="1" x14ac:dyDescent="0.2">
      <c r="E21" s="1951"/>
    </row>
    <row r="22" spans="2:5" ht="13.5" customHeight="1" x14ac:dyDescent="0.2">
      <c r="E22" s="1951"/>
    </row>
    <row r="23" spans="2:5" ht="13.5" customHeight="1" x14ac:dyDescent="0.2"/>
    <row r="24" spans="2:5" ht="13.5" customHeight="1" x14ac:dyDescent="0.2"/>
    <row r="25" spans="2:5" ht="13.5" customHeight="1" x14ac:dyDescent="0.2">
      <c r="B25" s="1952"/>
      <c r="C25" s="1952"/>
      <c r="D25" s="1952"/>
    </row>
    <row r="26" spans="2:5" ht="13.5" customHeight="1" x14ac:dyDescent="0.2">
      <c r="B26" s="1952"/>
      <c r="C26" s="1952"/>
      <c r="D26" s="1952"/>
    </row>
    <row r="27" spans="2:5" ht="13.5" customHeight="1" x14ac:dyDescent="0.2">
      <c r="B27" s="1952"/>
      <c r="C27" s="1952"/>
      <c r="D27" s="19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3"/>
      <c r="C35" s="1953"/>
      <c r="D35" s="1953"/>
    </row>
    <row r="36" spans="2:5" ht="13.5" customHeight="1" x14ac:dyDescent="0.2"/>
    <row r="37" spans="2:5" ht="13.5" customHeight="1" x14ac:dyDescent="0.2">
      <c r="B37" s="1953"/>
      <c r="C37" s="1953"/>
      <c r="D37" s="1953"/>
    </row>
    <row r="38" spans="2:5" ht="13.5" customHeight="1" x14ac:dyDescent="0.2">
      <c r="B38" s="1953"/>
      <c r="C38" s="1953"/>
      <c r="D38" s="1953"/>
    </row>
    <row r="39" spans="2:5" ht="13.5" customHeight="1" x14ac:dyDescent="0.2">
      <c r="B39" s="1953"/>
      <c r="C39" s="1953"/>
      <c r="D39" s="1953"/>
    </row>
    <row r="40" spans="2:5" ht="13.5" customHeight="1" x14ac:dyDescent="0.2">
      <c r="B40" s="1953"/>
      <c r="C40" s="1953"/>
      <c r="D40" s="1953"/>
    </row>
    <row r="41" spans="2:5" ht="13.5" customHeight="1" x14ac:dyDescent="0.2">
      <c r="B41" s="1954"/>
      <c r="C41" s="1954"/>
      <c r="D41" s="1954"/>
      <c r="E41" s="1954"/>
    </row>
    <row r="42" spans="2:5" ht="12.2" customHeight="1" x14ac:dyDescent="0.2">
      <c r="B42" s="1955" t="s">
        <v>2104</v>
      </c>
      <c r="C42" s="1955"/>
      <c r="D42" s="1955"/>
    </row>
    <row r="43" spans="2:5" ht="12.2" customHeight="1" x14ac:dyDescent="0.2">
      <c r="B43" s="1956"/>
      <c r="C43" s="1956"/>
      <c r="D43" s="1956"/>
    </row>
    <row r="44" spans="2:5" ht="12.75" customHeight="1" x14ac:dyDescent="0.2">
      <c r="B44" s="1947"/>
      <c r="C44" s="1947"/>
      <c r="D44" s="1947"/>
    </row>
    <row r="45" spans="2:5" ht="12.75" customHeight="1" x14ac:dyDescent="0.2">
      <c r="B45" s="1947"/>
      <c r="C45" s="1947"/>
      <c r="D45" s="1947"/>
    </row>
    <row r="46" spans="2:5" x14ac:dyDescent="0.2">
      <c r="B46" s="1947"/>
      <c r="C46" s="1947"/>
      <c r="D46" s="1947"/>
    </row>
    <row r="47" spans="2:5" x14ac:dyDescent="0.2">
      <c r="B47" s="1947"/>
      <c r="C47" s="1947"/>
      <c r="D47" s="1947"/>
    </row>
    <row r="51" spans="2:4" x14ac:dyDescent="0.2">
      <c r="B51" s="1957"/>
      <c r="C51" s="1957"/>
      <c r="D51" s="19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8"/>
      <c r="C64" s="1958"/>
      <c r="D64" s="1958"/>
    </row>
    <row r="65" spans="2:4" x14ac:dyDescent="0.2">
      <c r="B65" s="1947"/>
      <c r="C65" s="1947"/>
      <c r="D65" s="1947"/>
    </row>
    <row r="66" spans="2:4" x14ac:dyDescent="0.2">
      <c r="B66" s="1947"/>
      <c r="C66" s="1947"/>
      <c r="D66" s="1947"/>
    </row>
    <row r="67" spans="2:4" x14ac:dyDescent="0.2">
      <c r="B67" s="1958"/>
      <c r="C67" s="1958"/>
      <c r="D67" s="1958"/>
    </row>
    <row r="68" spans="2:4" x14ac:dyDescent="0.2">
      <c r="B68" s="1958"/>
      <c r="C68" s="1958"/>
      <c r="D68" s="1958"/>
    </row>
    <row r="69" spans="2:4" x14ac:dyDescent="0.2">
      <c r="B69" s="1958"/>
      <c r="C69" s="1958"/>
      <c r="D69" s="1958"/>
    </row>
    <row r="70" spans="2:4" x14ac:dyDescent="0.2">
      <c r="B70" s="1947"/>
      <c r="C70" s="1947"/>
      <c r="D70" s="1947"/>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39" customWidth="1"/>
    <col min="2" max="2" width="11.28515625" style="1939" customWidth="1"/>
    <col min="3" max="3" width="6.42578125" style="1939" customWidth="1"/>
    <col min="4" max="4" width="5.42578125" style="1939" customWidth="1"/>
    <col min="5" max="5" width="74.7109375" style="1939" customWidth="1"/>
    <col min="6" max="6" width="1.5703125" style="1939" customWidth="1"/>
    <col min="7" max="8" width="2.42578125" style="1939" customWidth="1"/>
    <col min="9" max="9" width="9.28515625" style="1939" customWidth="1"/>
    <col min="10" max="10" width="14.42578125" style="1939" customWidth="1"/>
    <col min="11" max="11" width="7.28515625" style="1939" customWidth="1"/>
    <col min="12" max="12" width="3.140625" style="1939" customWidth="1"/>
    <col min="13" max="16384" width="9.140625" style="1939"/>
  </cols>
  <sheetData>
    <row r="1" spans="2:12" ht="13.5" customHeight="1" x14ac:dyDescent="0.2">
      <c r="B1" s="2616" t="str">
        <f>'Single Audit Cover'!A7</f>
        <v>Dunlap CUSD 323</v>
      </c>
      <c r="C1" s="2616"/>
      <c r="D1" s="2616"/>
      <c r="E1" s="2616"/>
      <c r="F1" s="1938"/>
      <c r="G1" s="1938"/>
      <c r="H1" s="1938"/>
      <c r="I1" s="1938"/>
      <c r="J1" s="1938"/>
      <c r="K1" s="1938"/>
      <c r="L1" s="1938"/>
    </row>
    <row r="2" spans="2:12" ht="13.5" customHeight="1" x14ac:dyDescent="0.2">
      <c r="B2" s="2617">
        <f>'Single Audit Cover'!E7</f>
        <v>48072323026</v>
      </c>
      <c r="C2" s="2617"/>
      <c r="D2" s="2617"/>
      <c r="E2" s="2617"/>
      <c r="F2" s="1940"/>
      <c r="G2" s="1940"/>
      <c r="H2" s="1940"/>
      <c r="I2" s="1940"/>
      <c r="J2" s="1940"/>
      <c r="K2" s="1940"/>
      <c r="L2" s="1940"/>
    </row>
    <row r="3" spans="2:12" ht="13.5" customHeight="1" x14ac:dyDescent="0.2">
      <c r="B3" s="2618" t="s">
        <v>2096</v>
      </c>
      <c r="C3" s="2618"/>
      <c r="D3" s="2618"/>
      <c r="E3" s="2618"/>
      <c r="F3" s="1941"/>
      <c r="G3" s="1941"/>
      <c r="H3" s="1941"/>
      <c r="I3" s="1941"/>
      <c r="J3" s="1941"/>
      <c r="K3" s="1941"/>
      <c r="L3" s="1941"/>
    </row>
    <row r="4" spans="2:12" ht="13.5" customHeight="1" x14ac:dyDescent="0.2">
      <c r="B4" s="2619" t="s">
        <v>1985</v>
      </c>
      <c r="C4" s="2619"/>
      <c r="D4" s="2619"/>
      <c r="E4" s="2619"/>
      <c r="F4" s="1942"/>
      <c r="G4" s="1942"/>
      <c r="H4" s="1942"/>
      <c r="I4" s="1942"/>
      <c r="J4" s="1942"/>
      <c r="K4" s="1942"/>
      <c r="L4" s="1942"/>
    </row>
    <row r="5" spans="2:12" ht="29.85" customHeight="1" x14ac:dyDescent="0.2"/>
    <row r="6" spans="2:12" ht="13.5" customHeight="1" x14ac:dyDescent="0.2">
      <c r="B6" s="1943" t="s">
        <v>2097</v>
      </c>
      <c r="C6" s="1943"/>
      <c r="D6" s="1944"/>
      <c r="E6" s="1945"/>
      <c r="F6" s="1945"/>
      <c r="G6" s="1946"/>
      <c r="H6" s="1946"/>
      <c r="I6" s="1946"/>
    </row>
    <row r="7" spans="2:12" ht="13.5" customHeight="1" x14ac:dyDescent="0.2">
      <c r="B7" s="1939" t="s">
        <v>1168</v>
      </c>
    </row>
    <row r="8" spans="2:12" ht="13.5" customHeight="1" x14ac:dyDescent="0.2">
      <c r="B8" s="1947" t="s">
        <v>2098</v>
      </c>
      <c r="C8" s="1948" t="s">
        <v>1987</v>
      </c>
      <c r="D8" s="1949">
        <v>3</v>
      </c>
    </row>
    <row r="9" spans="2:12" ht="13.5" customHeight="1" x14ac:dyDescent="0.2">
      <c r="B9" s="1950"/>
      <c r="C9" s="1950"/>
      <c r="D9" s="1950"/>
    </row>
    <row r="10" spans="2:12" ht="13.5" customHeight="1" x14ac:dyDescent="0.2">
      <c r="B10" s="1947" t="s">
        <v>2099</v>
      </c>
      <c r="C10" s="1947"/>
    </row>
    <row r="11" spans="2:12" ht="104.45" customHeight="1" x14ac:dyDescent="0.2">
      <c r="B11" s="2615" t="str">
        <f>+'Finding 2019-003'!B14:K14</f>
        <v xml:space="preserve">105ILCS 5/8-2 Bond of Treasurer requires the school treasurer to post two types of bonds.  The first is a surety bond that every school treasurer must post "before entering upon his duties".  The bond must provide a penalty of 2 percent of "all bonds, notes, mortgages, moneys and effects of which the treasurer has custody at any time".  The bond must be approved by the governing school board and filed with the regional superintendent of schools.  The second bond is required before the treasurer can accept possession of the proceeds of a bond issue and will normally be required before bond counsel will give approval to issuance of bonds.  This bond must be equal to 25% of the amount of bond issue and must be approved by the governing school board.    </v>
      </c>
      <c r="C11" s="2615"/>
      <c r="D11" s="2615"/>
      <c r="E11" s="2615"/>
    </row>
    <row r="12" spans="2:12" ht="13.5" customHeight="1" x14ac:dyDescent="0.2"/>
    <row r="13" spans="2:12" ht="13.5" customHeight="1" x14ac:dyDescent="0.2">
      <c r="B13" s="1947" t="s">
        <v>2100</v>
      </c>
      <c r="C13" s="1947"/>
    </row>
    <row r="14" spans="2:12" ht="36" customHeight="1" x14ac:dyDescent="0.2">
      <c r="B14" s="2615" t="s">
        <v>2257</v>
      </c>
      <c r="C14" s="2615"/>
      <c r="D14" s="2615"/>
      <c r="E14" s="2615"/>
    </row>
    <row r="15" spans="2:12" ht="13.5" customHeight="1" x14ac:dyDescent="0.2"/>
    <row r="16" spans="2:12" ht="13.5" customHeight="1" x14ac:dyDescent="0.2">
      <c r="B16" s="1947" t="s">
        <v>2101</v>
      </c>
      <c r="C16" s="1947"/>
      <c r="E16" s="2055">
        <v>43800</v>
      </c>
    </row>
    <row r="17" spans="2:5" ht="13.5" customHeight="1" x14ac:dyDescent="0.2"/>
    <row r="18" spans="2:5" ht="13.5" customHeight="1" x14ac:dyDescent="0.2">
      <c r="B18" s="1947" t="s">
        <v>2102</v>
      </c>
      <c r="C18" s="1947"/>
      <c r="E18" s="1951" t="s">
        <v>2253</v>
      </c>
    </row>
    <row r="19" spans="2:5" ht="13.5" customHeight="1" x14ac:dyDescent="0.2"/>
    <row r="20" spans="2:5" ht="13.5" customHeight="1" x14ac:dyDescent="0.2">
      <c r="B20" s="1947" t="s">
        <v>2103</v>
      </c>
      <c r="C20" s="1947"/>
      <c r="E20" s="1951" t="s">
        <v>2261</v>
      </c>
    </row>
    <row r="21" spans="2:5" ht="13.5" customHeight="1" x14ac:dyDescent="0.2">
      <c r="E21" s="1951"/>
    </row>
    <row r="22" spans="2:5" ht="13.5" customHeight="1" x14ac:dyDescent="0.2">
      <c r="E22" s="1951"/>
    </row>
    <row r="23" spans="2:5" ht="13.5" customHeight="1" x14ac:dyDescent="0.2"/>
    <row r="24" spans="2:5" ht="13.5" customHeight="1" x14ac:dyDescent="0.2"/>
    <row r="25" spans="2:5" ht="13.5" customHeight="1" x14ac:dyDescent="0.2">
      <c r="B25" s="1952"/>
      <c r="C25" s="1952"/>
      <c r="D25" s="1952"/>
    </row>
    <row r="26" spans="2:5" ht="13.5" customHeight="1" x14ac:dyDescent="0.2">
      <c r="B26" s="1952"/>
      <c r="C26" s="1952"/>
      <c r="D26" s="1952"/>
    </row>
    <row r="27" spans="2:5" ht="13.5" customHeight="1" x14ac:dyDescent="0.2">
      <c r="B27" s="1952"/>
      <c r="C27" s="1952"/>
      <c r="D27" s="19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3"/>
      <c r="C35" s="1953"/>
      <c r="D35" s="1953"/>
    </row>
    <row r="36" spans="2:5" ht="13.5" customHeight="1" x14ac:dyDescent="0.2"/>
    <row r="37" spans="2:5" ht="13.5" customHeight="1" x14ac:dyDescent="0.2">
      <c r="B37" s="1953"/>
      <c r="C37" s="1953"/>
      <c r="D37" s="1953"/>
    </row>
    <row r="38" spans="2:5" ht="13.5" customHeight="1" x14ac:dyDescent="0.2">
      <c r="B38" s="1953"/>
      <c r="C38" s="1953"/>
      <c r="D38" s="1953"/>
    </row>
    <row r="39" spans="2:5" ht="13.5" customHeight="1" x14ac:dyDescent="0.2">
      <c r="B39" s="1953"/>
      <c r="C39" s="1953"/>
      <c r="D39" s="1953"/>
    </row>
    <row r="40" spans="2:5" ht="13.5" customHeight="1" x14ac:dyDescent="0.2">
      <c r="B40" s="1953"/>
      <c r="C40" s="1953"/>
      <c r="D40" s="1953"/>
    </row>
    <row r="41" spans="2:5" ht="13.5" customHeight="1" x14ac:dyDescent="0.2">
      <c r="B41" s="1954"/>
      <c r="C41" s="1954"/>
      <c r="D41" s="1954"/>
      <c r="E41" s="1954"/>
    </row>
    <row r="42" spans="2:5" ht="12.2" customHeight="1" x14ac:dyDescent="0.2">
      <c r="B42" s="1955" t="s">
        <v>2104</v>
      </c>
      <c r="C42" s="1955"/>
      <c r="D42" s="1955"/>
    </row>
    <row r="43" spans="2:5" ht="12.2" customHeight="1" x14ac:dyDescent="0.2">
      <c r="B43" s="1956"/>
      <c r="C43" s="1956"/>
      <c r="D43" s="1956"/>
    </row>
    <row r="44" spans="2:5" ht="12.75" customHeight="1" x14ac:dyDescent="0.2">
      <c r="B44" s="1947"/>
      <c r="C44" s="1947"/>
      <c r="D44" s="1947"/>
    </row>
    <row r="45" spans="2:5" ht="12.75" customHeight="1" x14ac:dyDescent="0.2">
      <c r="B45" s="1947"/>
      <c r="C45" s="1947"/>
      <c r="D45" s="1947"/>
    </row>
    <row r="46" spans="2:5" x14ac:dyDescent="0.2">
      <c r="B46" s="1947"/>
      <c r="C46" s="1947"/>
      <c r="D46" s="1947"/>
    </row>
    <row r="47" spans="2:5" x14ac:dyDescent="0.2">
      <c r="B47" s="1947"/>
      <c r="C47" s="1947"/>
      <c r="D47" s="1947"/>
    </row>
    <row r="51" spans="2:4" x14ac:dyDescent="0.2">
      <c r="B51" s="1957"/>
      <c r="C51" s="1957"/>
      <c r="D51" s="19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8"/>
      <c r="C64" s="1958"/>
      <c r="D64" s="1958"/>
    </row>
    <row r="65" spans="2:4" x14ac:dyDescent="0.2">
      <c r="B65" s="1947"/>
      <c r="C65" s="1947"/>
      <c r="D65" s="1947"/>
    </row>
    <row r="66" spans="2:4" x14ac:dyDescent="0.2">
      <c r="B66" s="1947"/>
      <c r="C66" s="1947"/>
      <c r="D66" s="1947"/>
    </row>
    <row r="67" spans="2:4" x14ac:dyDescent="0.2">
      <c r="B67" s="1958"/>
      <c r="C67" s="1958"/>
      <c r="D67" s="1958"/>
    </row>
    <row r="68" spans="2:4" x14ac:dyDescent="0.2">
      <c r="B68" s="1958"/>
      <c r="C68" s="1958"/>
      <c r="D68" s="1958"/>
    </row>
    <row r="69" spans="2:4" x14ac:dyDescent="0.2">
      <c r="B69" s="1958"/>
      <c r="C69" s="1958"/>
      <c r="D69" s="1958"/>
    </row>
    <row r="70" spans="2:4" x14ac:dyDescent="0.2">
      <c r="B70" s="1947"/>
      <c r="C70" s="1947"/>
      <c r="D70" s="1947"/>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39" customWidth="1"/>
    <col min="2" max="2" width="11.28515625" style="1939" customWidth="1"/>
    <col min="3" max="3" width="6.42578125" style="1939" customWidth="1"/>
    <col min="4" max="4" width="5.42578125" style="1939" customWidth="1"/>
    <col min="5" max="5" width="74.7109375" style="1939" customWidth="1"/>
    <col min="6" max="6" width="1.5703125" style="1939" customWidth="1"/>
    <col min="7" max="8" width="2.42578125" style="1939" customWidth="1"/>
    <col min="9" max="9" width="9.28515625" style="1939" customWidth="1"/>
    <col min="10" max="10" width="14.42578125" style="1939" customWidth="1"/>
    <col min="11" max="11" width="7.28515625" style="1939" customWidth="1"/>
    <col min="12" max="12" width="3.140625" style="1939" customWidth="1"/>
    <col min="13" max="16384" width="9.140625" style="1939"/>
  </cols>
  <sheetData>
    <row r="1" spans="2:12" ht="13.5" customHeight="1" x14ac:dyDescent="0.2">
      <c r="B1" s="2616" t="str">
        <f>'Single Audit Cover'!A7</f>
        <v>Dunlap CUSD 323</v>
      </c>
      <c r="C1" s="2616"/>
      <c r="D1" s="2616"/>
      <c r="E1" s="2616"/>
      <c r="F1" s="1938"/>
      <c r="G1" s="1938"/>
      <c r="H1" s="1938"/>
      <c r="I1" s="1938"/>
      <c r="J1" s="1938"/>
      <c r="K1" s="1938"/>
      <c r="L1" s="1938"/>
    </row>
    <row r="2" spans="2:12" ht="13.5" customHeight="1" x14ac:dyDescent="0.2">
      <c r="B2" s="2617">
        <f>'Single Audit Cover'!E7</f>
        <v>48072323026</v>
      </c>
      <c r="C2" s="2617"/>
      <c r="D2" s="2617"/>
      <c r="E2" s="2617"/>
      <c r="F2" s="1940"/>
      <c r="G2" s="1940"/>
      <c r="H2" s="1940"/>
      <c r="I2" s="1940"/>
      <c r="J2" s="1940"/>
      <c r="K2" s="1940"/>
      <c r="L2" s="1940"/>
    </row>
    <row r="3" spans="2:12" ht="13.5" customHeight="1" x14ac:dyDescent="0.2">
      <c r="B3" s="2618" t="s">
        <v>2096</v>
      </c>
      <c r="C3" s="2618"/>
      <c r="D3" s="2618"/>
      <c r="E3" s="2618"/>
      <c r="F3" s="1941"/>
      <c r="G3" s="1941"/>
      <c r="H3" s="1941"/>
      <c r="I3" s="1941"/>
      <c r="J3" s="1941"/>
      <c r="K3" s="1941"/>
      <c r="L3" s="1941"/>
    </row>
    <row r="4" spans="2:12" ht="13.5" customHeight="1" x14ac:dyDescent="0.2">
      <c r="B4" s="2619" t="s">
        <v>1985</v>
      </c>
      <c r="C4" s="2619"/>
      <c r="D4" s="2619"/>
      <c r="E4" s="2619"/>
      <c r="F4" s="1942"/>
      <c r="G4" s="1942"/>
      <c r="H4" s="1942"/>
      <c r="I4" s="1942"/>
      <c r="J4" s="1942"/>
      <c r="K4" s="1942"/>
      <c r="L4" s="1942"/>
    </row>
    <row r="5" spans="2:12" ht="29.85" customHeight="1" x14ac:dyDescent="0.2"/>
    <row r="6" spans="2:12" ht="13.5" customHeight="1" x14ac:dyDescent="0.2">
      <c r="B6" s="1943" t="s">
        <v>2097</v>
      </c>
      <c r="C6" s="1943"/>
      <c r="D6" s="1944"/>
      <c r="E6" s="1945"/>
      <c r="F6" s="1945"/>
      <c r="G6" s="1946"/>
      <c r="H6" s="1946"/>
      <c r="I6" s="1946"/>
    </row>
    <row r="7" spans="2:12" ht="13.5" customHeight="1" x14ac:dyDescent="0.2">
      <c r="B7" s="1939" t="s">
        <v>1168</v>
      </c>
    </row>
    <row r="8" spans="2:12" ht="13.5" customHeight="1" x14ac:dyDescent="0.2">
      <c r="B8" s="1947" t="s">
        <v>2098</v>
      </c>
      <c r="C8" s="1948" t="s">
        <v>1987</v>
      </c>
      <c r="D8" s="1949">
        <v>4</v>
      </c>
    </row>
    <row r="9" spans="2:12" ht="13.5" customHeight="1" x14ac:dyDescent="0.2">
      <c r="B9" s="1950"/>
      <c r="C9" s="1950"/>
      <c r="D9" s="1950"/>
    </row>
    <row r="10" spans="2:12" ht="13.5" customHeight="1" x14ac:dyDescent="0.2">
      <c r="B10" s="1947" t="s">
        <v>2099</v>
      </c>
      <c r="C10" s="1947"/>
    </row>
    <row r="11" spans="2:12" ht="66.75" customHeight="1" x14ac:dyDescent="0.2">
      <c r="B11" s="2615" t="str">
        <f>'Fed Finding 2019-004'!B23:K23</f>
        <v>The District has not monitored the net cash resources of the child nutrition program. Upon further review, it was determined that the net cash resources of the nonprofit school food service did not exceed 3 months average expenditures.</v>
      </c>
      <c r="C11" s="2615"/>
      <c r="D11" s="2615"/>
      <c r="E11" s="2615"/>
    </row>
    <row r="12" spans="2:12" ht="13.5" customHeight="1" x14ac:dyDescent="0.2"/>
    <row r="13" spans="2:12" ht="13.5" customHeight="1" x14ac:dyDescent="0.2">
      <c r="B13" s="1947" t="s">
        <v>2100</v>
      </c>
      <c r="C13" s="1947"/>
    </row>
    <row r="14" spans="2:12" ht="76.5" customHeight="1" x14ac:dyDescent="0.2">
      <c r="B14" s="2615" t="s">
        <v>2258</v>
      </c>
      <c r="C14" s="2615"/>
      <c r="D14" s="2615"/>
      <c r="E14" s="2615"/>
    </row>
    <row r="15" spans="2:12" ht="13.5" customHeight="1" x14ac:dyDescent="0.2"/>
    <row r="16" spans="2:12" ht="13.5" customHeight="1" x14ac:dyDescent="0.2">
      <c r="B16" s="1947" t="s">
        <v>2101</v>
      </c>
      <c r="C16" s="1947"/>
      <c r="E16" s="2055">
        <v>43800</v>
      </c>
    </row>
    <row r="17" spans="2:5" ht="13.5" customHeight="1" x14ac:dyDescent="0.2"/>
    <row r="18" spans="2:5" ht="13.5" customHeight="1" x14ac:dyDescent="0.2">
      <c r="B18" s="1947" t="s">
        <v>2102</v>
      </c>
      <c r="C18" s="1947"/>
      <c r="E18" s="1951" t="s">
        <v>2253</v>
      </c>
    </row>
    <row r="19" spans="2:5" ht="13.5" customHeight="1" x14ac:dyDescent="0.2"/>
    <row r="20" spans="2:5" ht="13.5" customHeight="1" x14ac:dyDescent="0.2">
      <c r="B20" s="1947" t="s">
        <v>2103</v>
      </c>
      <c r="C20" s="1947"/>
      <c r="E20" s="1951" t="s">
        <v>2261</v>
      </c>
    </row>
    <row r="21" spans="2:5" ht="13.5" customHeight="1" x14ac:dyDescent="0.2">
      <c r="E21" s="1951"/>
    </row>
    <row r="22" spans="2:5" ht="13.5" customHeight="1" x14ac:dyDescent="0.2">
      <c r="E22" s="1951"/>
    </row>
    <row r="23" spans="2:5" ht="13.5" customHeight="1" x14ac:dyDescent="0.2"/>
    <row r="24" spans="2:5" ht="13.5" customHeight="1" x14ac:dyDescent="0.2"/>
    <row r="25" spans="2:5" ht="13.5" customHeight="1" x14ac:dyDescent="0.2">
      <c r="B25" s="1952"/>
      <c r="C25" s="1952"/>
      <c r="D25" s="1952"/>
    </row>
    <row r="26" spans="2:5" ht="13.5" customHeight="1" x14ac:dyDescent="0.2">
      <c r="B26" s="1952"/>
      <c r="C26" s="1952"/>
      <c r="D26" s="1952"/>
    </row>
    <row r="27" spans="2:5" ht="13.5" customHeight="1" x14ac:dyDescent="0.2">
      <c r="B27" s="1952"/>
      <c r="C27" s="1952"/>
      <c r="D27" s="19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3"/>
      <c r="C35" s="1953"/>
      <c r="D35" s="1953"/>
    </row>
    <row r="36" spans="2:5" ht="13.5" customHeight="1" x14ac:dyDescent="0.2"/>
    <row r="37" spans="2:5" ht="13.5" customHeight="1" x14ac:dyDescent="0.2">
      <c r="B37" s="1953"/>
      <c r="C37" s="1953"/>
      <c r="D37" s="1953"/>
    </row>
    <row r="38" spans="2:5" ht="13.5" customHeight="1" x14ac:dyDescent="0.2">
      <c r="B38" s="1953"/>
      <c r="C38" s="1953"/>
      <c r="D38" s="1953"/>
    </row>
    <row r="39" spans="2:5" ht="13.5" customHeight="1" x14ac:dyDescent="0.2">
      <c r="B39" s="1953"/>
      <c r="C39" s="1953"/>
      <c r="D39" s="1953"/>
    </row>
    <row r="40" spans="2:5" ht="13.5" customHeight="1" x14ac:dyDescent="0.2">
      <c r="B40" s="1953"/>
      <c r="C40" s="1953"/>
      <c r="D40" s="1953"/>
    </row>
    <row r="41" spans="2:5" ht="13.5" customHeight="1" x14ac:dyDescent="0.2">
      <c r="B41" s="1954"/>
      <c r="C41" s="1954"/>
      <c r="D41" s="1954"/>
      <c r="E41" s="1954"/>
    </row>
    <row r="42" spans="2:5" ht="12.2" customHeight="1" x14ac:dyDescent="0.2">
      <c r="B42" s="1955" t="s">
        <v>2104</v>
      </c>
      <c r="C42" s="1955"/>
      <c r="D42" s="1955"/>
    </row>
    <row r="43" spans="2:5" ht="12.2" customHeight="1" x14ac:dyDescent="0.2">
      <c r="B43" s="1956"/>
      <c r="C43" s="1956"/>
      <c r="D43" s="1956"/>
    </row>
    <row r="44" spans="2:5" ht="12.75" customHeight="1" x14ac:dyDescent="0.2">
      <c r="B44" s="1947"/>
      <c r="C44" s="1947"/>
      <c r="D44" s="1947"/>
    </row>
    <row r="45" spans="2:5" ht="12.75" customHeight="1" x14ac:dyDescent="0.2">
      <c r="B45" s="1947"/>
      <c r="C45" s="1947"/>
      <c r="D45" s="1947"/>
    </row>
    <row r="46" spans="2:5" x14ac:dyDescent="0.2">
      <c r="B46" s="1947"/>
      <c r="C46" s="1947"/>
      <c r="D46" s="1947"/>
    </row>
    <row r="47" spans="2:5" x14ac:dyDescent="0.2">
      <c r="B47" s="1947"/>
      <c r="C47" s="1947"/>
      <c r="D47" s="1947"/>
    </row>
    <row r="51" spans="2:4" x14ac:dyDescent="0.2">
      <c r="B51" s="1957"/>
      <c r="C51" s="1957"/>
      <c r="D51" s="19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8"/>
      <c r="C64" s="1958"/>
      <c r="D64" s="1958"/>
    </row>
    <row r="65" spans="2:4" x14ac:dyDescent="0.2">
      <c r="B65" s="1947"/>
      <c r="C65" s="1947"/>
      <c r="D65" s="1947"/>
    </row>
    <row r="66" spans="2:4" x14ac:dyDescent="0.2">
      <c r="B66" s="1947"/>
      <c r="C66" s="1947"/>
      <c r="D66" s="1947"/>
    </row>
    <row r="67" spans="2:4" x14ac:dyDescent="0.2">
      <c r="B67" s="1958"/>
      <c r="C67" s="1958"/>
      <c r="D67" s="1958"/>
    </row>
    <row r="68" spans="2:4" x14ac:dyDescent="0.2">
      <c r="B68" s="1958"/>
      <c r="C68" s="1958"/>
      <c r="D68" s="1958"/>
    </row>
    <row r="69" spans="2:4" x14ac:dyDescent="0.2">
      <c r="B69" s="1958"/>
      <c r="C69" s="1958"/>
      <c r="D69" s="1958"/>
    </row>
    <row r="70" spans="2:4" x14ac:dyDescent="0.2">
      <c r="B70" s="1947"/>
      <c r="C70" s="1947"/>
      <c r="D70" s="1947"/>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openxmlformats.org/package/2006/metadata/core-properties"/>
    <ds:schemaRef ds:uri="http://purl.org/dc/elements/1.1/"/>
    <ds:schemaRef ds:uri="http://schemas.microsoft.com/sharepoint/v3"/>
    <ds:schemaRef ds:uri="http://purl.org/dc/terms/"/>
    <ds:schemaRef ds:uri="http://schemas.microsoft.com/office/2006/metadata/properties"/>
    <ds:schemaRef ds:uri="6ce3111e-7420-4802-b50a-75d4e9a0b980"/>
    <ds:schemaRef ds:uri="http://schemas.microsoft.com/office/infopath/2007/PartnerControls"/>
    <ds:schemaRef ds:uri="http://www.w3.org/XML/1998/namespace"/>
    <ds:schemaRef ds:uri="4d435f69-8686-490b-bd6d-b153bf22ab50"/>
    <ds:schemaRef ds:uri="d21dc803-237d-4c68-8692-8d731fd2911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19</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SEFA19</vt:lpstr>
      <vt:lpstr>SEFA NOTES</vt:lpstr>
      <vt:lpstr>SF&amp;QC Sec-1</vt:lpstr>
      <vt:lpstr>SF&amp;QC Sec-2</vt:lpstr>
      <vt:lpstr>Finding 2019-001</vt:lpstr>
      <vt:lpstr>Finding 2019-002</vt:lpstr>
      <vt:lpstr>Finding 2019-003</vt:lpstr>
      <vt:lpstr>Fed Finding 2019-004</vt:lpstr>
      <vt:lpstr>SSPAF</vt:lpstr>
      <vt:lpstr>CAP 001</vt:lpstr>
      <vt:lpstr>CAP 002</vt:lpstr>
      <vt:lpstr>CAP 003</vt:lpstr>
      <vt:lpstr>CAP 004</vt:lpstr>
      <vt:lpstr>' SEFA'!Print_Area</vt:lpstr>
      <vt:lpstr>'Fed Finding 2019-004'!Print_Area</vt:lpstr>
      <vt:lpstr>'SEFA NOTES'!Print_Area</vt:lpstr>
      <vt:lpstr>'SEFA Reconcile'!Print_Area</vt:lpstr>
      <vt:lpstr>SEFA19!Print_Area</vt:lpstr>
      <vt:lpstr>'SF&amp;QC Sec-1'!Print_Area</vt:lpstr>
      <vt:lpstr>'Single Audit Checklist'!Print_Area</vt:lpstr>
      <vt:lpstr>'Single Audit Cover'!Print_Area</vt:lpstr>
      <vt:lpstr>SEFA19!Print_Area_MI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2019-11-08T13:53:20Z</cp:lastPrinted>
  <dcterms:created xsi:type="dcterms:W3CDTF">2003-10-29T19:06:34Z</dcterms:created>
  <dcterms:modified xsi:type="dcterms:W3CDTF">2019-12-26T21:04:42Z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