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781A5AA-5E45-43EE-A111-E9E1DAAA5E6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 2019-001" sheetId="183" r:id="rId34"/>
  </sheets>
  <definedNames>
    <definedName name="CAP">#REF!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 i="183" l="1"/>
  <c r="B2" i="183" l="1"/>
  <c r="B1"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D24" i="37"/>
  <c r="B4270" i="106" s="1"/>
  <c r="D4270" i="106" s="1"/>
  <c r="J210" i="29" l="1"/>
  <c r="B7072" i="106" s="1"/>
  <c r="D7072" i="106" s="1"/>
  <c r="D54" i="36"/>
  <c r="J22" i="37"/>
  <c r="H28" i="118"/>
  <c r="B7078" i="106"/>
  <c r="D7078" i="106" s="1"/>
  <c r="H76" i="4"/>
  <c r="B3298" i="106" s="1"/>
  <c r="D3298" i="106" s="1"/>
  <c r="G33" i="108"/>
  <c r="D69" i="36"/>
  <c r="L5" i="11"/>
  <c r="B2056" i="106" s="1"/>
  <c r="D2056" i="106" s="1"/>
  <c r="F64" i="34"/>
  <c r="D68" i="36"/>
  <c r="L15" i="11"/>
  <c r="B3459" i="106" s="1"/>
  <c r="D3459" i="106" s="1"/>
  <c r="B6289" i="106"/>
  <c r="D6289" i="106" s="1"/>
  <c r="I210" i="29"/>
  <c r="B7071" i="106" s="1"/>
  <c r="D7071" i="106" s="1"/>
  <c r="E30" i="108"/>
  <c r="B6995" i="106"/>
  <c r="D6995" i="106" s="1"/>
  <c r="F36" i="34"/>
  <c r="F49" i="34"/>
  <c r="F36" i="108"/>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6" i="106" l="1"/>
  <c r="D7252" i="106"/>
  <c r="K28" i="118"/>
  <c r="O27" i="118" s="1"/>
  <c r="O29" i="118" s="1"/>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<sst xmlns="http://schemas.openxmlformats.org/spreadsheetml/2006/main" count="5100" uniqueCount="2117">
  <si>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</si>
  <si>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</si>
  <si>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</si>
  <si>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</si>
  <si>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</si>
  <si>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</si>
  <si>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</si>
  <si>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</si>
  <si>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</si>
  <si>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</si>
  <si>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</si>
  <si>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</si>
  <si>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</si>
  <si>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</si>
  <si>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</si>
  <si>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</si>
  <si>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</si>
  <si>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</si>
  <si>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</si>
  <si>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</si>
  <si>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</si>
  <si>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</si>
  <si>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</si>
  <si>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</si>
  <si>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</si>
  <si>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</si>
  <si>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</si>
  <si>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</si>
  <si>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</si>
  <si>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</si>
  <si>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</si>
  <si>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</si>
  <si>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</si>
  <si>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</si>
  <si>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</si>
  <si>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</si>
  <si>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</si>
  <si>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</si>
  <si>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</si>
  <si>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</si>
  <si>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</si>
  <si>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</si>
  <si>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</si>
  <si>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</si>
  <si>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</si>
  <si>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</si>
  <si>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</si>
  <si>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</si>
  <si>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</si>
  <si>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</si>
  <si>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</si>
  <si>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</si>
  <si>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</si>
  <si>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</si>
  <si>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</si>
  <si>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</si>
  <si>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</si>
  <si>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</si>
  <si>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</si>
  <si>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</si>
  <si>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</si>
  <si>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</si>
  <si>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</si>
  <si>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</si>
  <si>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</si>
  <si>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</si>
  <si>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</si>
  <si>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</si>
  <si>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</si>
  <si>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</si>
  <si>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</si>
  <si>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</si>
  <si>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</si>
  <si>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</si>
  <si>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</si>
  <si>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</si>
  <si>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</si>
  <si>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</si>
  <si>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</si>
  <si>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</si>
  <si>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</si>
  <si>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</si>
  <si>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</si>
  <si>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</si>
  <si>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</si>
  <si>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</si>
  <si>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</si>
  <si>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</si>
  <si>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</si>
  <si>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</si>
  <si>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</si>
  <si>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</si>
  <si>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</si>
  <si>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</si>
  <si>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</si>
  <si>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</si>
  <si>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</si>
  <si>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</si>
  <si>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</si>
  <si>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</si>
  <si>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</si>
  <si>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</si>
  <si>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</si>
  <si>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</si>
  <si>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</si>
  <si>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</si>
  <si>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</si>
  <si>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</si>
  <si>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</si>
  <si>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</si>
  <si>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</si>
  <si>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</si>
  <si>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</si>
  <si>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</si>
  <si>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</si>
  <si>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</si>
  <si>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</si>
  <si>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</si>
  <si>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</si>
  <si>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</si>
  <si>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</si>
  <si>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</si>
  <si>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</si>
  <si>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</si>
  <si>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</si>
  <si>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</si>
  <si>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</si>
  <si>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</si>
  <si>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</si>
  <si>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</si>
  <si>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</si>
  <si>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</si>
  <si>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</si>
  <si>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</si>
  <si>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</si>
  <si>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</si>
  <si>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</si>
  <si>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</si>
  <si>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</si>
  <si>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</si>
  <si>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</si>
  <si>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</si>
  <si>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</si>
  <si>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</si>
  <si>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</si>
  <si>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</si>
  <si>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</si>
  <si>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</si>
  <si>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</si>
  <si>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</si>
  <si>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</si>
  <si>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</si>
  <si>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</si>
  <si>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</si>
  <si>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</si>
  <si>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</si>
  <si>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</si>
  <si>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</si>
  <si>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</si>
  <si>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</si>
  <si>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</si>
  <si>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</si>
  <si>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</si>
  <si>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</si>
  <si>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</si>
  <si>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</si>
  <si>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</si>
  <si>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</si>
  <si>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</si>
  <si>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</si>
  <si>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</si>
  <si>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</si>
  <si>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</si>
  <si>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</si>
  <si>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</si>
  <si>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</si>
  <si>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</si>
  <si>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</si>
  <si>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</si>
  <si>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</si>
  <si>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</si>
  <si>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</si>
  <si>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</si>
  <si>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</si>
  <si>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</si>
  <si>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</si>
  <si>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</si>
  <si>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</si>
  <si>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</si>
  <si>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</si>
  <si>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</si>
  <si>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</si>
  <si>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</si>
  <si>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</si>
  <si>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</si>
  <si>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</si>
  <si>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</si>
  <si>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</si>
  <si>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</si>
  <si>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</si>
  <si>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</si>
  <si>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</si>
  <si>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</si>
  <si>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</si>
  <si>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</si>
  <si>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</si>
  <si>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</si>
  <si>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</si>
  <si>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</si>
  <si>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</si>
  <si>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</si>
  <si>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</si>
  <si>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</si>
  <si>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</si>
  <si>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</si>
  <si>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</si>
  <si>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</si>
  <si>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</si>
  <si>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</si>
  <si>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</si>
  <si>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</si>
  <si>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</si>
  <si>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</si>
  <si>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</si>
  <si>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</si>
  <si>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</si>
  <si>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</si>
  <si>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</si>
  <si>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</si>
  <si>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</si>
  <si>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</si>
  <si>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</si>
  <si>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</si>
  <si>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</si>
  <si>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</si>
  <si>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</si>
  <si>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</si>
  <si>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</si>
  <si>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</si>
  <si>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</si>
  <si>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</si>
  <si>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</si>
  <si>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</si>
  <si>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</si>
  <si>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</si>
  <si>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</si>
  <si>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</si>
  <si>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</si>
  <si>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</si>
  <si>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</si>
  <si>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</si>
  <si>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</si>
  <si>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</si>
  <si>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</si>
  <si>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</si>
  <si>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</si>
  <si>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</si>
  <si>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</si>
  <si>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</si>
  <si>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</si>
  <si>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</si>
  <si>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</si>
  <si>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</si>
  <si>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</si>
  <si>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</si>
  <si>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</si>
  <si>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</si>
  <si>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</si>
  <si>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</si>
  <si>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</si>
  <si>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</si>
  <si>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</si>
  <si>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</si>
  <si>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</si>
  <si>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</si>
  <si>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</si>
  <si>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</si>
  <si>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</si>
  <si>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</si>
  <si>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</si>
  <si>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</si>
  <si>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</si>
  <si>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</si>
  <si>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</si>
  <si>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</si>
  <si>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</si>
  <si>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</si>
  <si>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</si>
  <si>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</si>
  <si>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</si>
  <si>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</si>
  <si>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</si>
  <si>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</si>
  <si>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</si>
  <si>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</si>
  <si>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</si>
  <si>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</si>
  <si>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</si>
  <si>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</si>
  <si>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</si>
  <si>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</si>
  <si>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</si>
  <si>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</si>
  <si>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</si>
  <si>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</si>
  <si>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</si>
  <si>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</si>
  <si>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</si>
  <si>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</si>
  <si>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</si>
  <si>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</si>
  <si>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</si>
  <si>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</si>
  <si>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</si>
  <si>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</si>
  <si>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</si>
  <si>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</si>
  <si>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</si>
  <si>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</si>
  <si>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</si>
  <si>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</si>
  <si>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</si>
  <si>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</si>
  <si>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</si>
  <si>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</si>
  <si>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</si>
  <si>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</si>
  <si>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</si>
  <si>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</si>
  <si>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</si>
  <si>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</si>
  <si>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</si>
  <si>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</si>
  <si>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</si>
  <si>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</si>
  <si>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</si>
  <si>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</si>
  <si>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</si>
  <si>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</si>
  <si>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</si>
  <si>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</si>
  <si>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</si>
  <si>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</si>
  <si>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</si>
  <si>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</si>
  <si>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</si>
  <si>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</si>
  <si>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</si>
  <si>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</si>
  <si>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</si>
  <si>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</si>
  <si>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</si>
  <si>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</si>
  <si>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</si>
  <si>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</si>
  <si>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</si>
  <si>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</si>
  <si>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</si>
  <si>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</si>
  <si>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</si>
  <si>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</si>
  <si>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</si>
  <si>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</si>
  <si>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</si>
  <si>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</si>
  <si>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</si>
  <si>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</si>
  <si>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</si>
  <si>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</si>
  <si>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</si>
  <si>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</si>
  <si>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</si>
  <si>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</si>
  <si>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</si>
  <si>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</si>
  <si>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</si>
  <si>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</si>
  <si>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</si>
  <si>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</si>
  <si>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</si>
  <si>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</si>
  <si>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</si>
  <si>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</si>
  <si>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</si>
  <si>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</si>
  <si>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</si>
  <si>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</si>
  <si>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</si>
  <si>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</si>
  <si>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</si>
  <si>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</si>
  <si>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</si>
  <si>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</si>
  <si>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</si>
  <si>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</si>
  <si>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</si>
  <si>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</si>
  <si>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</si>
  <si>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</si>
  <si>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</si>
  <si>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</si>
  <si>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</si>
  <si>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</si>
  <si>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</si>
  <si>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</si>
  <si>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</si>
  <si>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</si>
  <si>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</si>
  <si>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</si>
  <si>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</si>
  <si>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</si>
  <si>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</si>
  <si>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</si>
  <si>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</si>
  <si>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</si>
  <si>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</si>
  <si>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</si>
  <si>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</si>
  <si>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</si>
  <si>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</si>
  <si>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</si>
  <si>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</si>
  <si>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</si>
  <si>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</si>
  <si>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</si>
  <si>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</si>
  <si>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</si>
  <si>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</si>
  <si>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</si>
  <si>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</si>
  <si>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</si>
  <si>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</si>
  <si>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</si>
  <si>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</si>
  <si>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</si>
  <si>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</si>
  <si>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</si>
  <si>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</si>
  <si>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</si>
  <si>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</si>
  <si>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</si>
  <si>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</si>
  <si>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</si>
  <si>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</si>
  <si>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</si>
  <si>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</si>
  <si>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</si>
  <si>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</si>
  <si>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</si>
  <si>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</si>
  <si>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</si>
  <si>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</si>
  <si>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</si>
  <si>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</si>
  <si>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</si>
  <si>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</si>
  <si>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</si>
  <si>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</si>
  <si>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</si>
  <si>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</si>
  <si>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</si>
  <si>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</si>
  <si>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</si>
  <si>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</si>
  <si>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</si>
  <si>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</si>
  <si>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</si>
  <si>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</si>
  <si>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</si>
  <si>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</si>
  <si>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</si>
  <si>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</si>
  <si>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</si>
  <si>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</si>
  <si>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</si>
  <si>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</si>
  <si>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</si>
  <si>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</si>
  <si>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</si>
  <si>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</si>
  <si>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</si>
  <si>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</si>
  <si>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</si>
  <si>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</si>
  <si>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</si>
  <si>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</si>
  <si>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</si>
  <si>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</si>
  <si>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</si>
  <si>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</si>
  <si>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</si>
  <si>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</si>
  <si>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</si>
  <si>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</si>
  <si>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</si>
  <si>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</si>
  <si>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</si>
  <si>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</si>
  <si>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</si>
  <si>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</si>
  <si>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</si>
  <si>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</si>
  <si>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</si>
  <si>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</si>
  <si>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</si>
  <si>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</si>
  <si>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</si>
  <si>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</si>
  <si>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</si>
  <si>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</si>
  <si>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</si>
  <si>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</si>
  <si>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</si>
  <si>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</si>
  <si>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</si>
  <si>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</si>
  <si>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</si>
  <si>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</si>
  <si>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</si>
  <si>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</si>
  <si>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</si>
  <si>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</si>
  <si>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</si>
  <si>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</si>
  <si>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</si>
  <si>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</si>
  <si>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</si>
  <si>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</si>
  <si>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</si>
  <si>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</si>
  <si>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</si>
  <si>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</si>
  <si>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</si>
  <si>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</si>
  <si>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</si>
  <si>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</si>
  <si>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</si>
  <si>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</si>
  <si>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</si>
  <si>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</si>
  <si>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</si>
  <si>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</si>
  <si>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</si>
  <si>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</si>
  <si>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</si>
  <si>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</si>
  <si>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</si>
  <si>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</si>
  <si>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</si>
  <si>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</si>
  <si>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</si>
  <si>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</si>
  <si>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</si>
  <si>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</si>
  <si>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</si>
  <si>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</si>
  <si>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</si>
  <si>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</si>
  <si>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</si>
  <si>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</si>
  <si>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</si>
  <si>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</si>
  <si>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</si>
  <si>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</si>
  <si>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</si>
  <si>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</si>
  <si>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</si>
  <si>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</si>
  <si>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</si>
  <si>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</si>
  <si>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</si>
  <si>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</si>
  <si>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</si>
  <si>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</si>
  <si>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</si>
  <si>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</si>
  <si>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</si>
  <si>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</si>
  <si>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</si>
  <si>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</si>
  <si>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</si>
  <si>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</si>
  <si>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</si>
  <si>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</si>
  <si>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</si>
  <si>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</si>
  <si>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</si>
  <si>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</si>
  <si>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</si>
  <si>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</si>
  <si>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</si>
  <si>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</si>
  <si>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</si>
  <si>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</si>
  <si>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</si>
  <si>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</si>
  <si>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</si>
  <si>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</si>
  <si>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</si>
  <si>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</si>
  <si>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</si>
  <si>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</si>
  <si>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</si>
  <si>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</si>
  <si>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</si>
  <si>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</si>
  <si>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</si>
  <si>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</si>
  <si>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</si>
  <si>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</si>
  <si>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</si>
  <si>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</si>
  <si>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</si>
  <si>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</si>
  <si>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</si>
  <si>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</si>
  <si>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</si>
  <si>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</si>
  <si>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</si>
  <si>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</si>
  <si>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</si>
  <si>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</si>
  <si>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</si>
  <si>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</si>
  <si>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</si>
  <si>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</si>
  <si>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</si>
  <si>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</si>
  <si>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</si>
  <si>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</si>
  <si>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</si>
  <si>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</si>
  <si>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</si>
  <si>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</si>
  <si>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</si>
  <si>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</si>
  <si>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</si>
  <si>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</si>
  <si>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</si>
  <si>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</si>
  <si>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</si>
  <si>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</si>
  <si>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</si>
  <si>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</si>
  <si>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</si>
  <si>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</si>
  <si>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</si>
  <si>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</si>
  <si>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</si>
  <si>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</si>
  <si>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</si>
  <si>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</si>
  <si>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</si>
  <si>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</si>
  <si>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</si>
  <si>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</si>
  <si>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</si>
  <si>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</si>
  <si>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</si>
  <si>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</si>
  <si>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</si>
  <si>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</si>
  <si>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</si>
  <si>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</si>
  <si>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</si>
  <si>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</si>
  <si>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</si>
  <si>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</si>
  <si>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</si>
  <si>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</si>
  <si>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</si>
  <si>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</si>
  <si>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</si>
  <si>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</si>
  <si>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</si>
  <si>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</si>
  <si>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</si>
  <si>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</si>
  <si>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</si>
  <si>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</si>
  <si>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</si>
  <si>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</si>
  <si>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</si>
  <si>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</si>
  <si>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</si>
  <si>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</si>
  <si>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</si>
  <si>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</si>
  <si>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</si>
  <si>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</si>
  <si>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</si>
  <si>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</si>
  <si>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</si>
  <si>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</si>
  <si>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</si>
  <si>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</si>
  <si>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</si>
  <si>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</si>
  <si>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</si>
  <si>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</si>
  <si>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</si>
  <si>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</si>
  <si>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</si>
  <si>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</si>
  <si>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</si>
  <si>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</si>
  <si>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</si>
  <si>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</si>
  <si>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</si>
  <si>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</si>
  <si>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</si>
  <si>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</si>
  <si>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</si>
  <si>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</si>
  <si>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</si>
  <si>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</si>
  <si>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</si>
  <si>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</si>
  <si>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</si>
  <si>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</si>
  <si>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</si>
  <si>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</si>
  <si>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</si>
  <si>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</si>
  <si>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</si>
  <si>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</si>
  <si>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</si>
  <si>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</si>
  <si>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</si>
  <si>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</si>
  <si>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</si>
  <si>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</si>
  <si>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</si>
  <si>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</si>
  <si>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</si>
  <si>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</si>
  <si>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</si>
  <si>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</si>
  <si>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</si>
  <si>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</si>
  <si>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</si>
  <si>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</si>
  <si>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</si>
  <si>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</si>
  <si>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</si>
  <si>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</si>
  <si>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</si>
  <si>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</si>
  <si>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</si>
  <si>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</si>
  <si>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</si>
  <si>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</si>
  <si>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</si>
  <si>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</si>
  <si>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</si>
  <si>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</si>
  <si>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</si>
  <si>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</si>
  <si>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</si>
  <si>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</si>
  <si>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</si>
  <si>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</si>
  <si>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</si>
  <si>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</si>
  <si>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</si>
  <si>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</si>
  <si>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</si>
  <si>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</si>
  <si>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</si>
  <si>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</si>
  <si>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</si>
  <si>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</si>
  <si>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</si>
  <si>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</si>
  <si>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</si>
  <si>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</si>
  <si>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</si>
  <si>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</si>
  <si>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</si>
  <si>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</si>
  <si>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</si>
  <si>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</si>
  <si>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</si>
  <si>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</si>
  <si>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</si>
  <si>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</si>
  <si>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</si>
  <si>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</si>
  <si>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</si>
  <si>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</si>
  <si>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</si>
  <si>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</si>
  <si>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</si>
  <si>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</si>
  <si>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</si>
  <si>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</si>
  <si>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</si>
  <si>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</si>
  <si>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</si>
  <si>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</si>
  <si>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</si>
  <si>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</si>
  <si>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</si>
  <si>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</si>
  <si>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</si>
  <si>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</si>
  <si>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</si>
  <si>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</si>
  <si>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</si>
  <si>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</si>
  <si>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</si>
  <si>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</si>
  <si>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</si>
  <si>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</si>
  <si>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</si>
  <si>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</si>
  <si>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</si>
  <si>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</si>
  <si>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</si>
  <si>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</si>
  <si>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</si>
  <si>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</si>
  <si>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</si>
  <si>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</si>
  <si>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</si>
  <si>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</si>
  <si>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</si>
  <si>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</si>
  <si>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</si>
  <si>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</si>
  <si>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</si>
  <si>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</si>
  <si>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</si>
  <si>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</si>
  <si>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</si>
  <si>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</si>
  <si>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</si>
  <si>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</si>
  <si>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</si>
  <si>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</si>
  <si>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</si>
  <si>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</si>
  <si>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</si>
  <si>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</si>
  <si>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</si>
  <si>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</si>
  <si>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</si>
  <si>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</si>
  <si>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</si>
  <si>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</si>
  <si>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</si>
  <si>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</si>
  <si>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</si>
  <si>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</si>
  <si>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</si>
  <si>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</si>
  <si>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</si>
  <si>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</si>
  <si>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</si>
  <si>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</si>
  <si>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</si>
  <si>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</si>
  <si>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</si>
  <si>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</si>
  <si>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</si>
  <si>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</si>
  <si>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</si>
  <si>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</si>
  <si>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</si>
  <si>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</si>
  <si>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</si>
  <si>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</si>
  <si>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</si>
  <si>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</si>
  <si>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</si>
  <si>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</si>
  <si>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</si>
  <si>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</si>
  <si>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</si>
  <si>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</si>
  <si>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</si>
  <si>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</si>
  <si>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</si>
  <si>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</si>
  <si>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</si>
  <si>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</si>
  <si>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</si>
  <si>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</si>
  <si>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</si>
  <si>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</si>
  <si>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</si>
  <si>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</si>
  <si>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</si>
  <si>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</si>
  <si>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</si>
  <si>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</si>
  <si>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</si>
  <si>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</si>
  <si>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</si>
  <si>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</si>
  <si>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</si>
  <si>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</si>
  <si>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</si>
  <si>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</si>
  <si>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</si>
  <si>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</si>
  <si>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</si>
  <si>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</si>
  <si>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</si>
  <si>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</si>
  <si>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</si>
  <si>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</si>
  <si>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</si>
  <si>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</si>
  <si>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</si>
  <si>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</si>
  <si>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</si>
  <si>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</si>
  <si>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</si>
  <si>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</si>
  <si>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</si>
  <si>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</si>
  <si>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</si>
  <si>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</si>
  <si>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</si>
  <si>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</si>
  <si>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</si>
  <si>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</si>
  <si>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</si>
  <si>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</si>
  <si>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</si>
  <si>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</si>
  <si>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</si>
  <si>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</si>
  <si>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</si>
  <si>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</si>
  <si>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</si>
  <si>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</si>
  <si>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</si>
  <si>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</si>
  <si>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</si>
  <si>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</si>
  <si>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</si>
  <si>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</si>
  <si>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</si>
  <si>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</si>
  <si>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</si>
  <si>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</si>
  <si>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</si>
  <si>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</si>
  <si>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</si>
  <si>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</si>
  <si>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</si>
  <si>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</si>
  <si>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</si>
  <si>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</si>
  <si>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</si>
  <si>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</si>
  <si>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</si>
  <si>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</si>
  <si>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</si>
  <si>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</si>
  <si>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</si>
  <si>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</si>
  <si>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</si>
  <si>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</si>
  <si>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</si>
  <si>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</si>
  <si>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</si>
  <si>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</si>
  <si>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</si>
  <si>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</si>
  <si>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</si>
  <si>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</si>
  <si>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</si>
  <si>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</si>
  <si>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</si>
  <si>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</si>
  <si>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</si>
  <si>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</si>
  <si>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</si>
  <si>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</si>
  <si>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</si>
  <si>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</si>
  <si>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</si>
  <si>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</si>
  <si>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</si>
  <si>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</si>
  <si>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</si>
  <si>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</si>
  <si>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</si>
  <si>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</si>
  <si>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</si>
  <si>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</si>
  <si>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</si>
  <si>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</si>
  <si>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</si>
  <si>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</si>
  <si>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</si>
  <si>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</si>
  <si>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</si>
  <si>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</si>
  <si>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</si>
  <si>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</si>
  <si>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</si>
  <si>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</si>
  <si>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</si>
  <si>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</si>
  <si>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</si>
  <si>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</si>
  <si>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</si>
  <si>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</si>
  <si>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</si>
  <si>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</si>
  <si>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</si>
  <si>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</si>
  <si>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</si>
  <si>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</si>
  <si>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</si>
  <si>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</si>
  <si>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</si>
  <si>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</si>
  <si>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</si>
  <si>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</si>
  <si>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</si>
  <si>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</si>
  <si>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</si>
  <si>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</si>
  <si>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</si>
  <si>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</si>
  <si>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</si>
  <si>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</si>
  <si>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</si>
  <si>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</si>
  <si>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</si>
  <si>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</si>
  <si>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</si>
  <si>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</si>
  <si>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</si>
  <si>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</si>
  <si>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</si>
  <si>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</si>
  <si>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</si>
  <si>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</si>
  <si>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</si>
  <si>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</si>
  <si>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</si>
  <si>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</si>
  <si>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</si>
  <si>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</si>
  <si>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</si>
  <si>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</si>
  <si>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</si>
  <si>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</si>
  <si>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</si>
  <si>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</si>
  <si>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</si>
  <si>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</si>
  <si>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</si>
  <si>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</si>
  <si>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</si>
  <si>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</si>
  <si>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</si>
  <si>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</si>
  <si>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</si>
  <si>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</si>
  <si>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</si>
  <si>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</si>
  <si>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</si>
  <si>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</si>
  <si>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</si>
  <si>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</si>
  <si>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</si>
  <si>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</si>
  <si>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</si>
  <si>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</si>
  <si>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</si>
  <si>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</si>
  <si>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</si>
  <si>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</si>
  <si>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</si>
  <si>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</si>
  <si>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</si>
  <si>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</si>
  <si>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</si>
  <si>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</si>
  <si>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</si>
  <si>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</si>
  <si>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</si>
  <si>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</si>
  <si>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</si>
  <si>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</si>
  <si>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</si>
  <si>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</si>
  <si>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</si>
  <si>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</si>
  <si>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</si>
  <si>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</si>
  <si>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</si>
  <si>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</si>
  <si>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</si>
  <si>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</si>
  <si>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</si>
  <si>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</si>
  <si>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</si>
  <si>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</si>
  <si>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</si>
  <si>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</si>
  <si>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</si>
  <si>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</si>
  <si>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</si>
  <si>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</si>
  <si>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</si>
  <si>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</si>
  <si>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</si>
  <si>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</si>
  <si>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</si>
  <si>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</si>
  <si>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</si>
  <si>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</si>
  <si>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</si>
  <si>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</si>
  <si>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</si>
  <si>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</si>
  <si>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</si>
  <si>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</si>
  <si>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</si>
  <si>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</si>
  <si>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</si>
  <si>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</si>
  <si>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</si>
  <si>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</si>
  <si>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</si>
  <si>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</si>
  <si>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</si>
  <si>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</si>
  <si>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</si>
  <si>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</si>
  <si>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</si>
  <si>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</si>
  <si>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</si>
  <si>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</si>
  <si>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</si>
  <si>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</si>
  <si>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</si>
  <si>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</si>
  <si>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</si>
  <si>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</si>
  <si>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</si>
  <si>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</si>
  <si>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</si>
  <si>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</si>
  <si>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</si>
  <si>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</si>
  <si>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</si>
  <si>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</si>
  <si>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</si>
  <si>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</si>
  <si>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</si>
  <si>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</si>
  <si>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</si>
  <si>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</si>
  <si>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</si>
  <si>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</si>
  <si>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</si>
  <si>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</si>
  <si>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</si>
  <si>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</si>
  <si>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</si>
  <si>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</si>
  <si>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</si>
  <si>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</si>
  <si>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</si>
  <si>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</si>
  <si>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</si>
  <si>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</si>
  <si>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</si>
  <si>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</si>
  <si>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</si>
  <si>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</si>
  <si>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</si>
  <si>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</si>
  <si>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</si>
  <si>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</si>
  <si>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</si>
  <si>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</si>
  <si>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</si>
  <si>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</si>
  <si>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</si>
  <si>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</si>
  <si>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</si>
  <si>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</si>
  <si>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</si>
  <si>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</si>
  <si>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</si>
  <si>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</si>
  <si>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</si>
  <si>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</si>
  <si>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</si>
  <si>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</si>
  <si>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</si>
  <si>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</si>
  <si>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</si>
  <si>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</si>
  <si>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</si>
  <si>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</si>
  <si>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</si>
  <si>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</si>
  <si>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</si>
  <si>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</si>
  <si>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</si>
  <si>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</si>
  <si>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</si>
  <si>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</si>
  <si>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</si>
  <si>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</si>
  <si>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</si>
  <si>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</si>
  <si>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</si>
  <si>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</si>
  <si>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</si>
  <si>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</si>
  <si>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</si>
  <si>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</si>
  <si>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</si>
  <si>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</si>
  <si>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</si>
  <si>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</si>
  <si>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</si>
  <si>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</si>
  <si>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</si>
  <si>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</si>
  <si>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</si>
  <si>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</si>
  <si>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</si>
  <si>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</si>
  <si>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</si>
  <si>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</si>
  <si>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</si>
  <si>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</si>
  <si>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</si>
  <si>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</si>
  <si>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</si>
  <si>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</si>
  <si>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</si>
  <si>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</si>
  <si>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</si>
  <si>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</si>
  <si>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</si>
  <si>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</si>
  <si>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</si>
  <si>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</si>
  <si>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</si>
  <si>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</si>
  <si>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</si>
  <si>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</si>
  <si>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</si>
  <si>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</si>
  <si>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</si>
  <si>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</si>
  <si>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</si>
  <si>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</si>
  <si>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</si>
  <si>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</si>
  <si>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</si>
  <si>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</si>
  <si>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</si>
  <si>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</si>
  <si>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</si>
  <si>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</si>
  <si>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</si>
  <si>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</si>
  <si>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</si>
  <si>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</si>
  <si>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</si>
  <si>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</si>
  <si>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</si>
  <si>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</si>
  <si>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</si>
  <si>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</si>
  <si>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</si>
  <si>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</si>
  <si>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</si>
  <si>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</si>
  <si>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</si>
  <si>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</si>
  <si>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</si>
  <si>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</si>
  <si>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</si>
  <si>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</si>
  <si>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</si>
  <si>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</si>
  <si>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</si>
  <si>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</si>
  <si>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</si>
  <si>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</si>
  <si>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</si>
  <si>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</si>
  <si>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</si>
  <si>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</si>
  <si>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</si>
  <si>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</si>
  <si>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</si>
  <si>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</si>
  <si>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</si>
  <si>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</si>
  <si>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</si>
  <si>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</si>
  <si>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</si>
  <si>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</si>
  <si>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</si>
  <si>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</si>
  <si>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</si>
  <si>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</si>
  <si>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</si>
  <si>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</si>
  <si>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</si>
  <si>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</si>
  <si>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</si>
  <si>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</si>
  <si>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</si>
  <si>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</si>
  <si>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</si>
  <si>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</si>
  <si>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</si>
  <si>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</si>
  <si>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</si>
  <si>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</si>
  <si>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</si>
  <si>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</si>
  <si>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</si>
  <si>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</si>
  <si>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</si>
  <si>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</si>
  <si>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</si>
  <si>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</si>
  <si>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</si>
  <si>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</si>
  <si>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</si>
  <si>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</si>
  <si>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</si>
  <si>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</si>
  <si>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</si>
  <si>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</si>
  <si>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</si>
  <si>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</si>
  <si>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</si>
  <si>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</si>
  <si>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</si>
  <si>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</si>
  <si>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</si>
  <si>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</si>
  <si>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</si>
  <si>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</si>
  <si>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</si>
  <si>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</si>
  <si>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</si>
  <si>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</si>
  <si>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</si>
  <si>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</si>
  <si>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</si>
  <si>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</si>
  <si>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</si>
  <si>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</si>
  <si>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</si>
  <si>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</si>
  <si>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</si>
  <si>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</si>
  <si>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</si>
  <si>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</si>
  <si>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</si>
  <si>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</si>
  <si>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</si>
  <si>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</si>
  <si>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</si>
  <si>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</si>
  <si>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</si>
  <si>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</si>
  <si>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</si>
  <si>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</si>
  <si>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</si>
  <si>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</si>
  <si>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</si>
  <si>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</si>
  <si>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</si>
  <si>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</si>
  <si>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</si>
  <si>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</si>
  <si>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</si>
  <si>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</si>
  <si>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</si>
  <si>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</si>
  <si>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</si>
  <si>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</si>
  <si>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</si>
  <si>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</si>
  <si>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</si>
  <si>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</si>
  <si>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</si>
  <si>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</si>
  <si>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</si>
  <si>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</si>
  <si>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</si>
  <si>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</si>
  <si>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</si>
  <si>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</si>
  <si>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</si>
  <si>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</si>
  <si>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</si>
  <si>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</si>
  <si>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</si>
  <si>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</si>
  <si>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</si>
  <si>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</si>
  <si>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</si>
  <si>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</si>
  <si>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</si>
  <si>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</si>
  <si>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</si>
  <si>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</si>
  <si>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</si>
  <si>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</si>
  <si>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</si>
  <si>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</si>
  <si>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</si>
  <si>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</si>
  <si>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</si>
  <si>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</si>
  <si>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</si>
  <si>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</si>
  <si>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</si>
  <si>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</si>
  <si>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</si>
  <si>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</si>
  <si>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</si>
  <si>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</si>
  <si>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</si>
  <si>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</si>
  <si>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</si>
  <si>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</si>
  <si>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</si>
  <si>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</si>
  <si>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</si>
  <si>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</si>
  <si>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</si>
  <si>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</si>
  <si>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</si>
  <si>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</si>
  <si>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</si>
  <si>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</si>
  <si>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</si>
  <si>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</si>
  <si>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</si>
  <si>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</si>
  <si>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</si>
  <si>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</si>
  <si>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</si>
  <si>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</si>
  <si>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</si>
  <si>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</si>
  <si>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</si>
  <si>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</si>
  <si>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</si>
  <si>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</si>
  <si>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</si>
  <si>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</si>
  <si>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</si>
  <si>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</si>
  <si>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</si>
  <si>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</si>
  <si>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</si>
  <si>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</si>
  <si>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</si>
  <si>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</si>
  <si>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</si>
  <si>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</si>
  <si>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</si>
  <si>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</si>
  <si>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</si>
  <si>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</si>
  <si>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</si>
  <si>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</si>
  <si>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</si>
  <si>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</si>
  <si>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</si>
  <si>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</si>
  <si>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</si>
  <si>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</si>
  <si>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</si>
  <si>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</si>
  <si>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</si>
  <si>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</si>
  <si>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</si>
  <si>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</si>
  <si>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</si>
  <si>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</si>
  <si>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</si>
  <si>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</si>
  <si>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</si>
  <si>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</si>
  <si>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</si>
  <si>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</si>
  <si>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</si>
  <si>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</si>
  <si>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</si>
  <si>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</si>
  <si>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</si>
  <si>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</si>
  <si>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</si>
  <si>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</si>
  <si>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</si>
  <si>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</si>
  <si>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</si>
  <si>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</si>
  <si>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</si>
  <si>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</si>
  <si>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</si>
  <si>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</si>
  <si>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</si>
  <si>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</si>
  <si>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</si>
  <si>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</si>
  <si>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</si>
  <si>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</si>
  <si>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</si>
  <si>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</si>
  <si>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</si>
  <si>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</si>
  <si>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</si>
  <si>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</si>
  <si>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</si>
  <si>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</si>
  <si>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</si>
  <si>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</si>
  <si>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</si>
  <si>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</si>
  <si>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</si>
  <si>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</si>
  <si>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</si>
  <si>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</si>
  <si>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</si>
  <si>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</si>
  <si>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</si>
  <si>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</si>
  <si>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</si>
  <si>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</si>
  <si>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</si>
  <si>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</si>
  <si>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</si>
  <si>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</si>
  <si>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</si>
  <si>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</si>
  <si>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</si>
  <si>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</si>
  <si>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</si>
  <si>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</si>
  <si>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</si>
  <si>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</si>
  <si>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</si>
  <si>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</si>
  <si>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</si>
  <si>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</si>
  <si>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</si>
  <si>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</si>
  <si>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</si>
  <si>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</si>
  <si>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</si>
  <si>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</si>
  <si>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</si>
  <si>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</si>
  <si>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</si>
  <si>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</si>
  <si>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</si>
  <si>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</si>
  <si>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</si>
  <si>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</si>
  <si>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</si>
  <si>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</si>
  <si>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</si>
  <si>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</si>
  <si>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</si>
  <si>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</si>
  <si>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</si>
  <si>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</si>
  <si>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</si>
  <si>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</si>
  <si>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</si>
  <si>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</si>
  <si>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</si>
  <si>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</si>
  <si>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</si>
  <si>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</si>
  <si>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</si>
  <si>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</si>
  <si>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</si>
  <si>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</si>
  <si>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</si>
  <si>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</si>
  <si>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</si>
  <si>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</si>
  <si>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</si>
  <si>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</si>
  <si>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</si>
  <si>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</si>
  <si>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</si>
  <si>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</si>
  <si>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</si>
  <si>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</si>
  <si>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</si>
  <si>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</si>
  <si>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</si>
  <si>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</si>
  <si>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</si>
  <si>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</si>
  <si>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</si>
  <si>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</si>
  <si>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</si>
  <si>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</si>
  <si>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</si>
  <si>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</si>
  <si>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</si>
  <si>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</si>
  <si>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</si>
  <si>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</si>
  <si>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</si>
  <si>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</si>
  <si>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</si>
  <si>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</si>
  <si>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</si>
  <si>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</si>
  <si>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</si>
  <si>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</si>
  <si>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</si>
  <si>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</si>
  <si>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</si>
  <si>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</si>
  <si>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</si>
  <si>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</si>
  <si>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</si>
  <si>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</si>
  <si>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</si>
  <si>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</si>
  <si>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</si>
  <si>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</si>
  <si>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</si>
  <si>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</si>
  <si>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</si>
  <si>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</si>
  <si>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</si>
  <si>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</si>
  <si>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</si>
  <si>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</si>
  <si>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</si>
  <si>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</si>
  <si>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</si>
  <si>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</si>
  <si>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</si>
  <si>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</si>
  <si>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</si>
  <si>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</si>
  <si>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</si>
  <si>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</si>
  <si>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</si>
  <si>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</si>
  <si>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</si>
  <si>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</si>
  <si>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</si>
  <si>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</si>
  <si>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</si>
  <si>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</si>
  <si>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</si>
  <si>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</si>
  <si>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</si>
  <si>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</si>
  <si>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</si>
  <si>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</si>
  <si>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</si>
  <si>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</si>
  <si>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</si>
  <si>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</si>
  <si>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</si>
  <si>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</si>
  <si>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</si>
  <si>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</si>
  <si>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</si>
  <si>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</si>
  <si>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</si>
  <si>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</si>
  <si>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</si>
  <si>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</si>
  <si>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</si>
  <si>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</si>
  <si>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</si>
  <si>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</si>
  <si>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</si>
  <si>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</si>
  <si>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</si>
  <si>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</si>
  <si>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</si>
  <si>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</si>
  <si>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</si>
  <si>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</si>
  <si>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</si>
  <si>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</si>
  <si>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</si>
  <si>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</si>
  <si>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</si>
  <si>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</si>
  <si>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</si>
  <si>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</si>
  <si>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</si>
  <si>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</si>
  <si>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</si>
  <si>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</si>
  <si>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</si>
  <si>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</si>
  <si>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</si>
  <si>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</si>
  <si>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</si>
  <si>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</si>
  <si>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</si>
  <si>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</si>
  <si>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</si>
  <si>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</si>
  <si>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</si>
  <si>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</si>
  <si>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</si>
  <si>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</si>
  <si>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</si>
  <si>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</si>
  <si>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</si>
  <si>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</si>
  <si>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</si>
  <si>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</si>
  <si>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</si>
  <si>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</si>
  <si>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</si>
  <si>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</si>
  <si>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</si>
  <si>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</si>
  <si>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</si>
  <si>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</si>
  <si>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</si>
  <si>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</si>
  <si>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</si>
  <si>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</si>
  <si>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</si>
  <si>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</si>
  <si>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</si>
  <si>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</si>
  <si>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</si>
  <si>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</si>
  <si>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</si>
  <si>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</si>
  <si>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</si>
  <si>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</si>
  <si>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</si>
  <si>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</si>
  <si>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</si>
  <si>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</si>
  <si>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</si>
  <si>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</si>
  <si>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</si>
  <si>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</si>
  <si>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</si>
  <si>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</si>
  <si>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</si>
  <si>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</si>
  <si>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</si>
  <si>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</si>
  <si>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</si>
  <si>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</si>
  <si>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</si>
  <si>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</si>
  <si>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</si>
  <si>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</si>
  <si>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</si>
  <si>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</si>
  <si>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</si>
  <si>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</si>
  <si>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</si>
  <si>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</si>
  <si>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</si>
  <si>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</si>
  <si>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</si>
  <si>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</si>
  <si>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</si>
  <si>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</si>
  <si>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</si>
  <si>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</si>
  <si>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</si>
  <si>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</si>
  <si>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</si>
  <si>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</si>
  <si>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</si>
  <si>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</si>
  <si>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</si>
  <si>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</si>
  <si>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</si>
  <si>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</si>
  <si>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</si>
  <si>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</si>
  <si>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</si>
  <si>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</si>
  <si>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</si>
  <si>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</si>
  <si>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</si>
  <si>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</si>
  <si>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</si>
  <si>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</si>
  <si>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</si>
  <si>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</si>
  <si>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</si>
  <si>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</si>
  <si>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</si>
  <si>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</si>
  <si>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</si>
  <si>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</si>
  <si>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</si>
  <si>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</si>
  <si>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</si>
  <si>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</si>
  <si>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</si>
  <si>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</si>
  <si>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</si>
  <si>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</si>
  <si>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</si>
  <si>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</si>
  <si>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</si>
  <si>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</si>
  <si>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</si>
  <si>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</si>
  <si>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</si>
  <si>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</si>
  <si>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</si>
  <si>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</si>
  <si>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</si>
  <si>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</si>
  <si>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</si>
  <si>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</si>
  <si>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</si>
  <si>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</si>
  <si>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</si>
  <si>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</si>
  <si>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</si>
  <si>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</si>
  <si>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</si>
  <si>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</si>
  <si>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</si>
  <si>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</si>
  <si>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</si>
  <si>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</si>
  <si>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</si>
  <si>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</si>
  <si>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</si>
  <si>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</si>
  <si>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</si>
  <si>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</si>
  <si>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</si>
  <si>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</si>
  <si>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</si>
  <si>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</si>
  <si>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</si>
  <si>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</si>
  <si>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</si>
  <si>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</si>
  <si>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</si>
  <si>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</si>
  <si>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</si>
  <si>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</si>
  <si>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</si>
  <si>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</si>
  <si>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</si>
  <si>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</si>
  <si>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</si>
  <si>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</si>
  <si>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</si>
  <si>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</si>
  <si>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</si>
  <si>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</si>
  <si>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</si>
  <si>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</si>
  <si>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</si>
  <si>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</si>
  <si>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</si>
  <si>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</si>
  <si>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</si>
  <si>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</si>
  <si>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</si>
  <si>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</si>
  <si>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</si>
  <si>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</si>
  <si>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</si>
  <si>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</si>
  <si>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</si>
  <si>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</si>
  <si>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</si>
  <si>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</si>
  <si>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</si>
  <si>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</si>
  <si>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</si>
  <si>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</si>
  <si>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</si>
  <si>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</si>
  <si>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</si>
  <si>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</si>
  <si>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</si>
  <si>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</si>
  <si>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</si>
  <si>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</si>
  <si>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</si>
  <si>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</si>
  <si>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</si>
  <si>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</si>
  <si>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</si>
  <si>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</si>
  <si>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</si>
  <si>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</si>
  <si>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</si>
  <si>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</si>
  <si>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</si>
  <si>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</si>
  <si>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</si>
  <si>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</si>
  <si>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</si>
  <si>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</si>
  <si>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</si>
  <si>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</si>
  <si>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</si>
  <si>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</si>
  <si>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</si>
  <si>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</si>
  <si>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</si>
  <si>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</si>
  <si>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</si>
  <si>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</si>
  <si>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</si>
  <si>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</si>
  <si>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</si>
  <si>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</si>
  <si>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</si>
  <si>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</si>
  <si>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</si>
  <si>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</si>
  <si>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</si>
  <si>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</si>
  <si>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</si>
  <si>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</si>
  <si>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</si>
  <si>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</si>
  <si>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</si>
  <si>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</si>
  <si>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</si>
  <si>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</si>
  <si>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</si>
  <si>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</si>
  <si>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</si>
  <si>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</si>
  <si>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</si>
  <si>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</si>
  <si>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</si>
  <si>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</si>
  <si>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</si>
  <si>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</si>
  <si>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</si>
  <si>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</si>
  <si>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</si>
  <si>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</si>
  <si>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</si>
  <si>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</si>
  <si>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</si>
  <si>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</si>
  <si>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</si>
  <si>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</si>
  <si>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</si>
  <si>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</si>
  <si>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</si>
  <si>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</si>
  <si>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</si>
  <si>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</si>
  <si>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</si>
  <si>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</si>
  <si>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</si>
  <si>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</si>
  <si>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</si>
  <si>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</si>
  <si>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</si>
  <si>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</si>
  <si>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</si>
  <si>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</si>
  <si>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</si>
  <si>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</si>
  <si>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</si>
  <si>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</si>
  <si>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</si>
  <si>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</si>
  <si>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</si>
  <si>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</si>
  <si>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</si>
  <si>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</si>
  <si>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</si>
  <si>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</si>
  <si>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</si>
  <si>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</si>
  <si>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</si>
  <si>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</si>
  <si>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</si>
  <si>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</si>
  <si>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</si>
  <si>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</si>
  <si>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</si>
  <si>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</si>
  <si>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</si>
  <si>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</si>
  <si>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</si>
  <si>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</si>
  <si>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</si>
  <si>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</si>
  <si>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</si>
  <si>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</si>
  <si>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</si>
  <si>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</si>
  <si>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</si>
  <si>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</si>
  <si>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</si>
  <si>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</si>
  <si>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</si>
  <si>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</si>
  <si>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</si>
  <si>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</si>
  <si>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</si>
  <si>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</si>
  <si>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</si>
  <si>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</si>
  <si>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</si>
  <si>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</si>
  <si>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</si>
  <si>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</si>
  <si>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</si>
  <si>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</si>
  <si>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</si>
  <si>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</si>
  <si>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</si>
  <si>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</si>
  <si>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</si>
  <si>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</si>
  <si>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</si>
  <si>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</si>
  <si>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</si>
  <si>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</si>
  <si>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</si>
  <si>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</si>
  <si>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</si>
  <si>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</si>
  <si>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</si>
  <si>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</si>
  <si>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</si>
  <si>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</si>
  <si>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</si>
  <si>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</si>
  <si>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</si>
  <si>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</si>
  <si>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</si>
  <si>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</si>
  <si>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</si>
  <si>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</si>
  <si>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</si>
  <si>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</si>
  <si>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</si>
  <si>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</si>
  <si>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</si>
  <si>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</si>
  <si>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</si>
  <si>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8223 West Smithville Road</t>
  </si>
  <si>
    <t>tdotson@limestonewalters.com</t>
  </si>
  <si>
    <t>Thomas R. Peffer, CPA</t>
  </si>
  <si>
    <t>tpeffer@gorenzcpa.com</t>
  </si>
  <si>
    <t>Tim Dotson</t>
  </si>
  <si>
    <t>309-697-3035</t>
  </si>
  <si>
    <t>309-697-9466</t>
  </si>
  <si>
    <t>First Student - LAA</t>
  </si>
  <si>
    <t>SEAPCO</t>
  </si>
  <si>
    <t>Peoria County Purchasing Agreement</t>
  </si>
  <si>
    <t>CIE Consortium</t>
  </si>
  <si>
    <t>Corporate Clean</t>
  </si>
  <si>
    <t>NONE</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</si>
  <si>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</si>
  <si>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</si>
  <si>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</si>
  <si>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</si>
  <si>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</si>
  <si>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</si>
  <si>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</si>
  <si>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</si>
  <si>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</si>
  <si>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Tim Dotson, Superintendent</t>
  </si>
  <si>
    <t>Certain real estate taxes levied by the District are restricted for specific purposes.</t>
  </si>
  <si>
    <t>Restricted tax levy proceeds were used for unqualified expenditures in the IMRF Fund.</t>
  </si>
  <si>
    <t>The restricted balance for Social Security/Medicare purposes was negative as of June 30, 2019</t>
  </si>
  <si>
    <t xml:space="preserve">Proceeds from the IMRF and Social Security/Medicare tax levies are deposited in a common fund.  The District accounting records do not track the specific balance of these two restricted levies.  </t>
  </si>
  <si>
    <t xml:space="preserve">The District needs to track the separate balances associated with the restricted tax levies in the IMRF Fund.  Tax levies need to be adjusted to insure that adequate funding is received for IMRF and Social Security/Medicare expenditure requirements.  </t>
  </si>
  <si>
    <t xml:space="preserve">The District will adjust tax levies accordingly and track restricted balances.  </t>
  </si>
  <si>
    <t>The District will adjust the applicable tax levies and approve them before the deadline</t>
  </si>
  <si>
    <t xml:space="preserve">We plan to track the separate balances associated with the restricted tax levies in the IMRF Fund.  Tax levies will be adjusted to insure that adequate funding is received for IMRF and Social Security/Medicare expenditure requirements.  </t>
  </si>
  <si>
    <t xml:space="preserve">IMRF tax levy proceeds were used to pay for Social Security/Medicare employment taxes not eligible to be paid with funds from the IMRF tax levy. </t>
  </si>
  <si>
    <t>Part A-5 - See Finding 2019-001</t>
  </si>
  <si>
    <t>O&amp;M-Operations and Maintenance Plant Services-Purchase Service</t>
  </si>
  <si>
    <t>20-2540-300</t>
  </si>
  <si>
    <t>Corporate Clean Inc</t>
  </si>
  <si>
    <t>Transportation-Pupil Transportaion Service-Purchase Service</t>
  </si>
  <si>
    <t>40-2550-300</t>
  </si>
  <si>
    <t>First Student</t>
  </si>
  <si>
    <t>Page 10, Line 87 - Instrument rentals</t>
  </si>
  <si>
    <t xml:space="preserve">Page 11, Line 107 - Education and IMRF: Reimbusements and Rebates. </t>
  </si>
  <si>
    <t>Page 12, Line 180 - REAP Grant</t>
  </si>
  <si>
    <t>See PDF version</t>
  </si>
  <si>
    <t>Limestone Walters CCSD 316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</si>
</sst>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1" t="s">
        <v>405</v>
      </c>
      <c r="J1" s="2002"/>
      <c r="K1" s="2002"/>
      <c r="L1" s="2002"/>
      <c r="M1" s="2002"/>
      <c r="N1" s="2002"/>
      <c r="O1" s="2002"/>
      <c r="P1" s="2002"/>
      <c r="Q1" s="2002"/>
      <c r="R1" s="2002"/>
      <c r="S1" s="2002"/>
    </row>
    <row r="2" spans="1:28" ht="12" customHeight="1" x14ac:dyDescent="0.2">
      <c r="A2" s="47" t="s">
        <v>1993</v>
      </c>
      <c r="D2" s="48"/>
      <c r="I2" s="2003" t="s">
        <v>979</v>
      </c>
      <c r="J2" s="2002"/>
      <c r="K2" s="2002"/>
      <c r="L2" s="2002"/>
      <c r="M2" s="2002"/>
      <c r="N2" s="2002"/>
      <c r="O2" s="2002"/>
      <c r="P2" s="2002"/>
      <c r="Q2" s="2002"/>
      <c r="R2" s="2002"/>
      <c r="S2" s="2002"/>
    </row>
    <row r="3" spans="1:28" ht="12" customHeight="1" x14ac:dyDescent="0.2">
      <c r="A3" s="155" t="s">
        <v>1945</v>
      </c>
      <c r="B3" s="156"/>
      <c r="C3" s="156"/>
      <c r="D3" s="157"/>
      <c r="I3" s="2003" t="s">
        <v>52</v>
      </c>
      <c r="J3" s="2002"/>
      <c r="K3" s="2002"/>
      <c r="L3" s="2002"/>
      <c r="M3" s="2002"/>
      <c r="N3" s="2002"/>
      <c r="O3" s="2002"/>
      <c r="P3" s="2002"/>
      <c r="Q3" s="2002"/>
      <c r="R3" s="2002"/>
      <c r="S3" s="2002"/>
    </row>
    <row r="4" spans="1:28" ht="12" customHeight="1" x14ac:dyDescent="0.2">
      <c r="A4" s="37"/>
      <c r="I4" s="2003" t="s">
        <v>524</v>
      </c>
      <c r="J4" s="2002"/>
      <c r="K4" s="2002"/>
      <c r="L4" s="2002"/>
      <c r="M4" s="2002"/>
      <c r="N4" s="2002"/>
      <c r="O4" s="2002"/>
      <c r="P4" s="2002"/>
      <c r="Q4" s="2002"/>
      <c r="R4" s="2002"/>
      <c r="S4" s="2002"/>
    </row>
    <row r="5" spans="1:28" ht="14.1" customHeight="1" x14ac:dyDescent="0.2">
      <c r="B5" s="104" t="s">
        <v>2070</v>
      </c>
      <c r="C5" s="26" t="s">
        <v>910</v>
      </c>
      <c r="D5" s="84"/>
      <c r="E5" s="84"/>
      <c r="H5" s="38"/>
      <c r="I5" s="2011" t="s">
        <v>680</v>
      </c>
      <c r="J5" s="2010"/>
      <c r="K5" s="2010"/>
      <c r="L5" s="2010"/>
      <c r="M5" s="2010"/>
      <c r="N5" s="2010"/>
      <c r="O5" s="2010"/>
      <c r="P5" s="2010"/>
      <c r="Q5" s="2010"/>
      <c r="R5" s="2010"/>
      <c r="S5" s="2010"/>
    </row>
    <row r="6" spans="1:28" ht="14.1" customHeight="1" x14ac:dyDescent="0.2">
      <c r="B6" s="104"/>
      <c r="C6" s="26" t="s">
        <v>911</v>
      </c>
      <c r="D6" s="84"/>
      <c r="E6" s="84"/>
      <c r="I6" s="2009" t="s">
        <v>883</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674</v>
      </c>
      <c r="J9" s="2007"/>
      <c r="K9" s="2007"/>
      <c r="L9" s="2007"/>
      <c r="M9" s="2007"/>
      <c r="N9" s="2007"/>
      <c r="O9" s="2007"/>
      <c r="P9" s="2007"/>
      <c r="Q9" s="2007"/>
      <c r="R9" s="2007"/>
      <c r="S9" s="2008"/>
      <c r="T9" s="2022" t="s">
        <v>533</v>
      </c>
      <c r="U9" s="2023"/>
      <c r="V9" s="2023"/>
      <c r="W9" s="2023"/>
      <c r="X9" s="2023"/>
      <c r="Y9" s="2023"/>
      <c r="Z9" s="2023"/>
      <c r="AA9" s="2024"/>
    </row>
    <row r="10" spans="1:28" ht="13.5" customHeight="1" x14ac:dyDescent="0.2">
      <c r="A10" s="2029" t="s">
        <v>675</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955</v>
      </c>
      <c r="B11" s="2033"/>
      <c r="C11" s="2033"/>
      <c r="D11" s="2033"/>
      <c r="E11" s="2033"/>
      <c r="F11" s="2033"/>
      <c r="G11" s="2033"/>
      <c r="H11" s="2034"/>
      <c r="I11" s="27"/>
      <c r="J11" s="74"/>
      <c r="K11" s="27"/>
      <c r="O11" s="148" t="s">
        <v>2070</v>
      </c>
      <c r="P11" s="100" t="s">
        <v>201</v>
      </c>
      <c r="Q11" s="30"/>
      <c r="R11" s="28"/>
      <c r="S11" s="27"/>
      <c r="T11" s="2026"/>
      <c r="U11" s="2027"/>
      <c r="V11" s="2027"/>
      <c r="W11" s="2027"/>
      <c r="X11" s="2027"/>
      <c r="Y11" s="2027"/>
      <c r="Z11" s="2027"/>
      <c r="AA11" s="202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6">
        <v>48072316004</v>
      </c>
      <c r="B13" s="2037"/>
      <c r="C13" s="2037"/>
      <c r="D13" s="2037"/>
      <c r="E13" s="2037"/>
      <c r="F13" s="2037"/>
      <c r="G13" s="2037"/>
      <c r="H13" s="2038"/>
      <c r="I13" s="31"/>
      <c r="J13" s="30"/>
      <c r="K13" s="28"/>
      <c r="L13" s="30"/>
      <c r="M13" s="30"/>
      <c r="N13" s="30"/>
      <c r="O13" s="30"/>
      <c r="P13" s="30"/>
      <c r="Q13" s="30"/>
      <c r="R13" s="30"/>
      <c r="S13" s="30"/>
      <c r="T13" s="2041" t="s">
        <v>2072</v>
      </c>
      <c r="U13" s="2042"/>
      <c r="V13" s="2042"/>
      <c r="W13" s="2042"/>
      <c r="X13" s="2042"/>
      <c r="Y13" s="2043"/>
      <c r="Z13" s="2043"/>
      <c r="AA13" s="204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5" t="s">
        <v>2065</v>
      </c>
      <c r="B15" s="2039"/>
      <c r="C15" s="2039"/>
      <c r="D15" s="2039"/>
      <c r="E15" s="2039"/>
      <c r="F15" s="2039"/>
      <c r="G15" s="2039"/>
      <c r="H15" s="2040"/>
      <c r="T15" s="2045" t="s">
        <v>2075</v>
      </c>
      <c r="U15" s="1989"/>
      <c r="V15" s="1989"/>
      <c r="W15" s="1989"/>
      <c r="X15" s="1989"/>
      <c r="Y15" s="2046"/>
      <c r="Z15" s="2046"/>
      <c r="AA15" s="204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5" t="s">
        <v>2116</v>
      </c>
      <c r="B17" s="1996"/>
      <c r="C17" s="1996"/>
      <c r="D17" s="1996"/>
      <c r="E17" s="1996"/>
      <c r="F17" s="1996"/>
      <c r="G17" s="1996"/>
      <c r="H17" s="2021"/>
      <c r="T17" s="2052" t="s">
        <v>2064</v>
      </c>
      <c r="U17" s="2053"/>
      <c r="V17" s="2053"/>
      <c r="W17" s="2053"/>
      <c r="X17" s="2053"/>
      <c r="Y17" s="2053"/>
      <c r="Z17" s="2053"/>
      <c r="AA17" s="2054"/>
    </row>
    <row r="18" spans="1:27" ht="13.5" customHeight="1" x14ac:dyDescent="0.2">
      <c r="A18" s="85" t="s">
        <v>530</v>
      </c>
      <c r="B18" s="76"/>
      <c r="C18" s="72"/>
      <c r="D18" s="76"/>
      <c r="E18" s="76"/>
      <c r="F18" s="76"/>
      <c r="G18" s="76"/>
      <c r="H18" s="56"/>
      <c r="I18" s="2020" t="s">
        <v>676</v>
      </c>
      <c r="J18" s="1971"/>
      <c r="K18" s="1971"/>
      <c r="L18" s="1971"/>
      <c r="M18" s="1971"/>
      <c r="N18" s="1971"/>
      <c r="O18" s="1971"/>
      <c r="P18" s="1971"/>
      <c r="Q18" s="1971"/>
      <c r="R18" s="1971"/>
      <c r="S18" s="1972"/>
      <c r="T18" s="85" t="s">
        <v>711</v>
      </c>
      <c r="U18" s="51"/>
      <c r="V18" s="72"/>
      <c r="W18" s="50"/>
      <c r="X18" s="85" t="s">
        <v>266</v>
      </c>
      <c r="Y18" s="81"/>
      <c r="Z18" s="159" t="s">
        <v>677</v>
      </c>
      <c r="AA18" s="46"/>
    </row>
    <row r="19" spans="1:27" ht="13.5" customHeight="1" x14ac:dyDescent="0.2">
      <c r="A19" s="2035" t="s">
        <v>2073</v>
      </c>
      <c r="B19" s="1981"/>
      <c r="C19" s="1981"/>
      <c r="D19" s="1981"/>
      <c r="E19" s="1981"/>
      <c r="F19" s="1981"/>
      <c r="G19" s="1981"/>
      <c r="H19" s="1961"/>
      <c r="I19" s="30"/>
      <c r="J19" s="99"/>
      <c r="K19" s="40"/>
      <c r="L19" s="38"/>
      <c r="M19" s="112" t="s">
        <v>315</v>
      </c>
      <c r="P19" s="27"/>
      <c r="Q19" s="27"/>
      <c r="R19" s="27"/>
      <c r="S19" s="31"/>
      <c r="T19" s="2035" t="s">
        <v>2065</v>
      </c>
      <c r="U19" s="1960"/>
      <c r="V19" s="1960"/>
      <c r="W19" s="1961"/>
      <c r="X19" s="2050" t="s">
        <v>2066</v>
      </c>
      <c r="Y19" s="2051"/>
      <c r="Z19" s="2048">
        <v>61614</v>
      </c>
      <c r="AA19" s="204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9" t="s">
        <v>2065</v>
      </c>
      <c r="B21" s="1960"/>
      <c r="C21" s="1960"/>
      <c r="D21" s="1960"/>
      <c r="E21" s="1960"/>
      <c r="F21" s="1960"/>
      <c r="G21" s="1960"/>
      <c r="H21" s="1961"/>
      <c r="I21" s="2015" t="s">
        <v>678</v>
      </c>
      <c r="J21" s="2010"/>
      <c r="K21" s="2010"/>
      <c r="L21" s="2010"/>
      <c r="M21" s="2010"/>
      <c r="N21" s="2010"/>
      <c r="O21" s="2010"/>
      <c r="P21" s="2010"/>
      <c r="Q21" s="2010"/>
      <c r="R21" s="2010"/>
      <c r="S21" s="2016"/>
      <c r="T21" s="2059" t="s">
        <v>2067</v>
      </c>
      <c r="U21" s="2060"/>
      <c r="V21" s="2060"/>
      <c r="W21" s="2060"/>
      <c r="X21" s="2065" t="s">
        <v>2068</v>
      </c>
      <c r="Y21" s="2066"/>
      <c r="Z21" s="2066"/>
      <c r="AA21" s="2067"/>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2" t="s">
        <v>2074</v>
      </c>
      <c r="B23" s="2013"/>
      <c r="C23" s="2013"/>
      <c r="D23" s="2013"/>
      <c r="E23" s="2013"/>
      <c r="F23" s="2013"/>
      <c r="G23" s="2013"/>
      <c r="H23" s="2014"/>
      <c r="T23" s="1995" t="s">
        <v>2069</v>
      </c>
      <c r="U23" s="2058"/>
      <c r="V23" s="2058"/>
      <c r="W23" s="2058"/>
      <c r="X23" s="2062">
        <v>44501</v>
      </c>
      <c r="Y23" s="2063"/>
      <c r="Z23" s="2063"/>
      <c r="AA23" s="2064"/>
    </row>
    <row r="24" spans="1:27" ht="14.1" customHeight="1" x14ac:dyDescent="0.2">
      <c r="A24" s="88" t="s">
        <v>677</v>
      </c>
      <c r="B24" s="49"/>
      <c r="C24" s="49"/>
      <c r="D24" s="49"/>
      <c r="E24" s="49"/>
      <c r="F24" s="49"/>
      <c r="G24" s="49"/>
      <c r="H24" s="61"/>
      <c r="J24" s="1982">
        <f>IF(B5="x",IF(AUDITCHECK!D29="AFR form Incomplete.","",IF(AUDITCHECK!D29="Deficit reduction plan is required.","School District must complete a deficit reduction plan in the 2019-2020 Budget",)),"")</f>
        <v>0</v>
      </c>
      <c r="K24" s="1982"/>
      <c r="L24" s="1982"/>
      <c r="M24" s="1982"/>
      <c r="N24" s="1982"/>
      <c r="O24" s="1982"/>
      <c r="P24" s="1982"/>
      <c r="Q24" s="1982"/>
      <c r="R24" s="1982"/>
      <c r="S24" s="1983"/>
      <c r="T24" s="105" t="s">
        <v>531</v>
      </c>
      <c r="U24" s="106"/>
      <c r="V24" s="106"/>
      <c r="W24" s="106"/>
      <c r="X24" s="107"/>
      <c r="Y24" s="107"/>
      <c r="Z24" s="107"/>
      <c r="AA24" s="108"/>
    </row>
    <row r="25" spans="1:27" ht="14.1" customHeight="1" x14ac:dyDescent="0.2">
      <c r="A25" s="1959">
        <v>61607</v>
      </c>
      <c r="B25" s="1960"/>
      <c r="C25" s="1960"/>
      <c r="D25" s="1960"/>
      <c r="E25" s="1960"/>
      <c r="F25" s="1960"/>
      <c r="G25" s="1960"/>
      <c r="H25" s="1961"/>
      <c r="I25" s="113"/>
      <c r="J25" s="1984"/>
      <c r="K25" s="1984"/>
      <c r="L25" s="1984"/>
      <c r="M25" s="1984"/>
      <c r="N25" s="1984"/>
      <c r="O25" s="1984"/>
      <c r="P25" s="1984"/>
      <c r="Q25" s="1984"/>
      <c r="R25" s="1984"/>
      <c r="S25" s="1985"/>
      <c r="T25" s="2055" t="s">
        <v>2076</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0" t="s">
        <v>1511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5" t="s">
        <v>2077</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531</v>
      </c>
      <c r="B39" s="1966"/>
      <c r="C39" s="72"/>
      <c r="D39" s="69"/>
      <c r="E39" s="69"/>
      <c r="F39" s="79"/>
      <c r="G39" s="69"/>
      <c r="H39" s="56"/>
      <c r="I39" s="1965" t="s">
        <v>531</v>
      </c>
      <c r="J39" s="1966"/>
      <c r="K39" s="1966"/>
      <c r="L39" s="1966"/>
      <c r="M39" s="1966"/>
      <c r="N39" s="67"/>
      <c r="O39" s="72"/>
      <c r="P39" s="72"/>
      <c r="Q39" s="78"/>
      <c r="R39" s="72"/>
      <c r="S39" s="56"/>
      <c r="T39" s="72" t="s">
        <v>531</v>
      </c>
      <c r="U39" s="51"/>
      <c r="V39" s="72"/>
      <c r="W39" s="50"/>
      <c r="X39" s="78"/>
      <c r="Y39" s="45"/>
      <c r="Z39" s="45"/>
      <c r="AA39" s="46"/>
    </row>
    <row r="40" spans="1:27" ht="13.5" customHeight="1" x14ac:dyDescent="0.2">
      <c r="A40" s="1973" t="s">
        <v>2074</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7" t="s">
        <v>2078</v>
      </c>
      <c r="B42" s="1979"/>
      <c r="C42" s="1980"/>
      <c r="D42" s="1978" t="s">
        <v>2079</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1" t="s">
        <v>1802</v>
      </c>
      <c r="B2" s="1525" t="s">
        <v>1951</v>
      </c>
      <c r="C2" s="711" t="s">
        <v>1952</v>
      </c>
      <c r="D2" s="711" t="s">
        <v>1953</v>
      </c>
      <c r="E2" s="711" t="s">
        <v>1954</v>
      </c>
      <c r="F2" s="711" t="s">
        <v>1955</v>
      </c>
    </row>
    <row r="3" spans="1:6" ht="12" customHeight="1" x14ac:dyDescent="0.2">
      <c r="A3" s="2202"/>
      <c r="B3" s="1522"/>
      <c r="C3" s="1523"/>
      <c r="D3" s="1524" t="s">
        <v>256</v>
      </c>
      <c r="E3" s="1523"/>
      <c r="F3" s="1524" t="s">
        <v>257</v>
      </c>
    </row>
    <row r="4" spans="1:6" ht="13.7" customHeight="1" x14ac:dyDescent="0.2">
      <c r="A4" s="712" t="s">
        <v>1155</v>
      </c>
      <c r="B4" s="1746">
        <f>'Revenues 9-14'!C5</f>
        <v>1170761</v>
      </c>
      <c r="C4" s="1521">
        <v>0</v>
      </c>
      <c r="D4" s="1749">
        <f>B4-C4</f>
        <v>1170761</v>
      </c>
      <c r="E4" s="1521">
        <v>1159343</v>
      </c>
      <c r="F4" s="1749">
        <f>E4-C4</f>
        <v>1159343</v>
      </c>
    </row>
    <row r="5" spans="1:6" ht="13.7" customHeight="1" x14ac:dyDescent="0.2">
      <c r="A5" s="712" t="s">
        <v>870</v>
      </c>
      <c r="B5" s="1747">
        <f>'Revenues 9-14'!D5</f>
        <v>100946</v>
      </c>
      <c r="C5" s="582">
        <v>0</v>
      </c>
      <c r="D5" s="1750">
        <f t="shared" ref="D5:D18" si="0">B5-C5</f>
        <v>100946</v>
      </c>
      <c r="E5" s="582">
        <v>100001</v>
      </c>
      <c r="F5" s="1750">
        <f>E5-C5</f>
        <v>100001</v>
      </c>
    </row>
    <row r="6" spans="1:6" ht="13.7" customHeight="1" x14ac:dyDescent="0.2">
      <c r="A6" s="712" t="s">
        <v>411</v>
      </c>
      <c r="B6" s="1747">
        <f>'Revenues 9-14'!E5</f>
        <v>0</v>
      </c>
      <c r="C6" s="582">
        <v>0</v>
      </c>
      <c r="D6" s="1750">
        <f t="shared" si="0"/>
        <v>0</v>
      </c>
      <c r="E6" s="582">
        <v>0</v>
      </c>
      <c r="F6" s="1750">
        <f t="shared" ref="F6:F18" si="1">E6-C6</f>
        <v>0</v>
      </c>
    </row>
    <row r="7" spans="1:6" ht="13.7" customHeight="1" x14ac:dyDescent="0.2">
      <c r="A7" s="712" t="s">
        <v>155</v>
      </c>
      <c r="B7" s="1747">
        <f>'Revenues 9-14'!F5</f>
        <v>65735</v>
      </c>
      <c r="C7" s="582">
        <v>0</v>
      </c>
      <c r="D7" s="1750">
        <f t="shared" si="0"/>
        <v>65735</v>
      </c>
      <c r="E7" s="582">
        <v>65002</v>
      </c>
      <c r="F7" s="1750">
        <f t="shared" si="1"/>
        <v>65002</v>
      </c>
    </row>
    <row r="8" spans="1:6" ht="13.7" customHeight="1" x14ac:dyDescent="0.2">
      <c r="A8" s="712" t="s">
        <v>1179</v>
      </c>
      <c r="B8" s="1747">
        <f>'Revenues 9-14'!G5</f>
        <v>15087</v>
      </c>
      <c r="C8" s="582">
        <v>0</v>
      </c>
      <c r="D8" s="1750">
        <f t="shared" si="0"/>
        <v>15087</v>
      </c>
      <c r="E8" s="582">
        <v>10003</v>
      </c>
      <c r="F8" s="1750">
        <f t="shared" si="1"/>
        <v>10003</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5044</v>
      </c>
      <c r="C10" s="582">
        <v>0</v>
      </c>
      <c r="D10" s="1750">
        <f t="shared" si="0"/>
        <v>5044</v>
      </c>
      <c r="E10" s="582">
        <v>5004</v>
      </c>
      <c r="F10" s="1750">
        <f t="shared" si="1"/>
        <v>5004</v>
      </c>
    </row>
    <row r="11" spans="1:6" x14ac:dyDescent="0.2">
      <c r="A11" s="712" t="s">
        <v>409</v>
      </c>
      <c r="B11" s="1747">
        <f>'Revenues 9-14'!J5</f>
        <v>40298</v>
      </c>
      <c r="C11" s="582">
        <v>0</v>
      </c>
      <c r="D11" s="1750">
        <f t="shared" si="0"/>
        <v>40298</v>
      </c>
      <c r="E11" s="582">
        <v>35003</v>
      </c>
      <c r="F11" s="1750">
        <f t="shared" si="1"/>
        <v>35003</v>
      </c>
    </row>
    <row r="12" spans="1:6" ht="13.7" customHeight="1" x14ac:dyDescent="0.2">
      <c r="A12" s="712" t="s">
        <v>157</v>
      </c>
      <c r="B12" s="1747">
        <f>'Revenues 9-14'!K5</f>
        <v>0</v>
      </c>
      <c r="C12" s="582">
        <v>0</v>
      </c>
      <c r="D12" s="1750">
        <f t="shared" si="0"/>
        <v>0</v>
      </c>
      <c r="E12" s="582">
        <v>0</v>
      </c>
      <c r="F12" s="1750">
        <f t="shared" si="1"/>
        <v>0</v>
      </c>
    </row>
    <row r="13" spans="1:6" ht="13.7" customHeight="1" x14ac:dyDescent="0.2">
      <c r="A13" s="712" t="s">
        <v>936</v>
      </c>
      <c r="B13" s="1747">
        <f>SUM('Revenues 9-14'!C6:D6)</f>
        <v>10087</v>
      </c>
      <c r="C13" s="582">
        <v>0</v>
      </c>
      <c r="D13" s="1750">
        <f t="shared" si="0"/>
        <v>10087</v>
      </c>
      <c r="E13" s="582">
        <v>10003</v>
      </c>
      <c r="F13" s="1750">
        <f t="shared" si="1"/>
        <v>10003</v>
      </c>
    </row>
    <row r="14" spans="1:6" ht="13.7" customHeight="1" x14ac:dyDescent="0.2">
      <c r="A14" s="712" t="s">
        <v>410</v>
      </c>
      <c r="B14" s="1747">
        <f>SUM('Revenues 9-14'!C7:D7,'Revenues 9-14'!F7:H7)</f>
        <v>10007</v>
      </c>
      <c r="C14" s="582">
        <v>0</v>
      </c>
      <c r="D14" s="1750">
        <f t="shared" si="0"/>
        <v>10007</v>
      </c>
      <c r="E14" s="582">
        <v>9909</v>
      </c>
      <c r="F14" s="1750">
        <f t="shared" si="1"/>
        <v>9909</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15087</v>
      </c>
      <c r="C16" s="582">
        <v>0</v>
      </c>
      <c r="D16" s="1750">
        <f t="shared" si="0"/>
        <v>15087</v>
      </c>
      <c r="E16" s="582">
        <v>20001</v>
      </c>
      <c r="F16" s="1750">
        <f t="shared" si="1"/>
        <v>20001</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1433052</v>
      </c>
      <c r="C19" s="1748">
        <f>SUM(C4:C18)</f>
        <v>0</v>
      </c>
      <c r="D19" s="1748">
        <f>SUM(D4:D18)</f>
        <v>1433052</v>
      </c>
      <c r="E19" s="1748">
        <f>SUM(E4:E18)</f>
        <v>1414269</v>
      </c>
      <c r="F19" s="1748">
        <f>SUM(F4:F18)</f>
        <v>1414269</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629</v>
      </c>
      <c r="B1" s="2221"/>
      <c r="C1" s="718"/>
    </row>
    <row r="2" spans="1:7" ht="33.75" x14ac:dyDescent="0.2">
      <c r="A2" s="2228" t="s">
        <v>1802</v>
      </c>
      <c r="B2" s="2229"/>
      <c r="C2" s="1881" t="s">
        <v>1956</v>
      </c>
      <c r="D2" s="720" t="s">
        <v>1957</v>
      </c>
      <c r="E2" s="720" t="s">
        <v>1958</v>
      </c>
      <c r="F2" s="1881" t="s">
        <v>1959</v>
      </c>
    </row>
    <row r="3" spans="1:7" ht="15.75" customHeight="1" x14ac:dyDescent="0.2">
      <c r="A3" s="2230" t="s">
        <v>1114</v>
      </c>
      <c r="B3" s="2231"/>
      <c r="C3" s="2224"/>
      <c r="D3" s="2225"/>
      <c r="E3" s="2225"/>
      <c r="F3" s="2226"/>
    </row>
    <row r="4" spans="1:7" ht="12.75" customHeight="1" thickBot="1" x14ac:dyDescent="0.25">
      <c r="A4" s="2218" t="s">
        <v>630</v>
      </c>
      <c r="B4" s="2219"/>
      <c r="C4" s="578"/>
      <c r="D4" s="578"/>
      <c r="E4" s="578"/>
      <c r="F4" s="1752">
        <f>SUM(C4+D4)-E4</f>
        <v>0</v>
      </c>
    </row>
    <row r="5" spans="1:7" ht="15.75" customHeight="1" thickTop="1" x14ac:dyDescent="0.2">
      <c r="A5" s="2222" t="s">
        <v>1110</v>
      </c>
      <c r="B5" s="2217"/>
      <c r="C5" s="2211"/>
      <c r="D5" s="2212"/>
      <c r="E5" s="2212"/>
      <c r="F5" s="2213"/>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4" t="s">
        <v>631</v>
      </c>
      <c r="B15" s="2215"/>
      <c r="C15" s="1752">
        <f>SUM(C6:C14)</f>
        <v>0</v>
      </c>
      <c r="D15" s="1752">
        <f>SUM(D6:D14)</f>
        <v>0</v>
      </c>
      <c r="E15" s="1752">
        <f>SUM(E6:E14)</f>
        <v>0</v>
      </c>
      <c r="F15" s="1752">
        <f>SUM(F6:F14)</f>
        <v>0</v>
      </c>
      <c r="G15" s="549"/>
    </row>
    <row r="16" spans="1:7" s="202" customFormat="1" ht="15.75" customHeight="1" thickTop="1" x14ac:dyDescent="0.2">
      <c r="A16" s="2227" t="s">
        <v>1111</v>
      </c>
      <c r="B16" s="2217"/>
      <c r="C16" s="2211"/>
      <c r="D16" s="2212"/>
      <c r="E16" s="2212"/>
      <c r="F16" s="2213"/>
    </row>
    <row r="17" spans="1:11" ht="12.75" customHeight="1" thickBot="1" x14ac:dyDescent="0.25">
      <c r="A17" s="2209" t="s">
        <v>64</v>
      </c>
      <c r="B17" s="2210"/>
      <c r="C17" s="723"/>
      <c r="D17" s="582"/>
      <c r="E17" s="723"/>
      <c r="F17" s="1752">
        <f>SUM(C17+D17)-E17</f>
        <v>0</v>
      </c>
    </row>
    <row r="18" spans="1:11" ht="12.75" customHeight="1" thickTop="1" thickBot="1" x14ac:dyDescent="0.25">
      <c r="A18" s="2209" t="s">
        <v>6</v>
      </c>
      <c r="B18" s="2210"/>
      <c r="C18" s="723"/>
      <c r="D18" s="582"/>
      <c r="E18" s="723"/>
      <c r="F18" s="1752">
        <f>SUM(C18+D18)-E18</f>
        <v>0</v>
      </c>
    </row>
    <row r="19" spans="1:11" ht="12.75" customHeight="1" thickTop="1" thickBot="1" x14ac:dyDescent="0.25">
      <c r="A19" s="2209" t="s">
        <v>388</v>
      </c>
      <c r="B19" s="2210"/>
      <c r="C19" s="723"/>
      <c r="D19" s="582"/>
      <c r="E19" s="723"/>
      <c r="F19" s="1752">
        <f>SUM(C19+D19)-E19</f>
        <v>0</v>
      </c>
    </row>
    <row r="20" spans="1:11" ht="12.75" customHeight="1" thickTop="1" thickBot="1" x14ac:dyDescent="0.25">
      <c r="A20" s="2209" t="s">
        <v>448</v>
      </c>
      <c r="B20" s="2210"/>
      <c r="C20" s="723"/>
      <c r="D20" s="582"/>
      <c r="E20" s="723"/>
      <c r="F20" s="1752">
        <f>SUM(C20+D20)-E20</f>
        <v>0</v>
      </c>
    </row>
    <row r="21" spans="1:11" ht="14.25" thickTop="1" thickBot="1" x14ac:dyDescent="0.25">
      <c r="A21" s="2214" t="s">
        <v>632</v>
      </c>
      <c r="B21" s="2215"/>
      <c r="C21" s="1752">
        <f>SUM(C17:C20)</f>
        <v>0</v>
      </c>
      <c r="D21" s="1752">
        <f>SUM(D17:D20)</f>
        <v>0</v>
      </c>
      <c r="E21" s="1752">
        <f>SUM(E17:E20)</f>
        <v>0</v>
      </c>
      <c r="F21" s="1752">
        <f>SUM(F17:F20)</f>
        <v>0</v>
      </c>
      <c r="G21" s="549"/>
    </row>
    <row r="22" spans="1:11" ht="15.75" customHeight="1" thickTop="1" x14ac:dyDescent="0.2">
      <c r="A22" s="2216" t="s">
        <v>1112</v>
      </c>
      <c r="B22" s="2217"/>
      <c r="C22" s="2211"/>
      <c r="D22" s="2212"/>
      <c r="E22" s="2212"/>
      <c r="F22" s="2213"/>
    </row>
    <row r="23" spans="1:11" ht="13.5" thickBot="1" x14ac:dyDescent="0.25">
      <c r="A23" s="2218" t="s">
        <v>633</v>
      </c>
      <c r="B23" s="2219"/>
      <c r="C23" s="578"/>
      <c r="D23" s="578"/>
      <c r="E23" s="578"/>
      <c r="F23" s="1752">
        <f>SUM(C23+D23)-E23</f>
        <v>0</v>
      </c>
      <c r="G23" s="549"/>
    </row>
    <row r="24" spans="1:11" ht="15.75" customHeight="1" thickTop="1" x14ac:dyDescent="0.2">
      <c r="A24" s="2216" t="s">
        <v>1113</v>
      </c>
      <c r="B24" s="2217"/>
      <c r="C24" s="2211"/>
      <c r="D24" s="2212"/>
      <c r="E24" s="2212"/>
      <c r="F24" s="2213"/>
    </row>
    <row r="25" spans="1:11" ht="13.5" thickBot="1" x14ac:dyDescent="0.25">
      <c r="A25" s="2218" t="s">
        <v>634</v>
      </c>
      <c r="B25" s="2219"/>
      <c r="C25" s="578"/>
      <c r="D25" s="578"/>
      <c r="E25" s="578"/>
      <c r="F25" s="1752">
        <f>SUM(C25+D25)-E25</f>
        <v>0</v>
      </c>
      <c r="G25" s="549"/>
    </row>
    <row r="26" spans="1:11" ht="15.75" customHeight="1" thickTop="1" x14ac:dyDescent="0.2">
      <c r="A26" s="2222" t="s">
        <v>657</v>
      </c>
      <c r="B26" s="2217"/>
      <c r="C26" s="724"/>
      <c r="D26" s="724"/>
      <c r="E26" s="724"/>
      <c r="F26" s="725"/>
    </row>
    <row r="27" spans="1:11" ht="13.5" thickBot="1" x14ac:dyDescent="0.25">
      <c r="A27" s="2214" t="s">
        <v>1070</v>
      </c>
      <c r="B27" s="2215"/>
      <c r="C27" s="582"/>
      <c r="D27" s="582"/>
      <c r="E27" s="582"/>
      <c r="F27" s="1752">
        <f>SUM(C27+D27)-E27</f>
        <v>0</v>
      </c>
      <c r="G27" s="549"/>
    </row>
    <row r="28" spans="1:11" ht="7.5" customHeight="1" thickTop="1" x14ac:dyDescent="0.2">
      <c r="A28" s="590"/>
    </row>
    <row r="29" spans="1:11" ht="23.25" customHeight="1" x14ac:dyDescent="0.2">
      <c r="A29" s="2220" t="s">
        <v>582</v>
      </c>
      <c r="B29" s="2221"/>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3" t="s">
        <v>584</v>
      </c>
      <c r="C52" s="2204"/>
      <c r="D52" s="2204"/>
      <c r="E52" s="746" t="s">
        <v>845</v>
      </c>
      <c r="F52" s="2205"/>
      <c r="G52" s="2206"/>
      <c r="H52" s="733"/>
      <c r="I52" s="733"/>
      <c r="J52" s="743"/>
    </row>
    <row r="53" spans="1:11" ht="11.25" customHeight="1" x14ac:dyDescent="0.2">
      <c r="A53" s="747" t="s">
        <v>913</v>
      </c>
      <c r="B53" s="748" t="s">
        <v>951</v>
      </c>
      <c r="C53" s="743"/>
      <c r="D53" s="734"/>
      <c r="E53" s="746" t="s">
        <v>497</v>
      </c>
      <c r="F53" s="2207"/>
      <c r="G53" s="2208"/>
      <c r="H53" s="733"/>
      <c r="I53" s="733"/>
      <c r="J53" s="743"/>
    </row>
    <row r="54" spans="1:11" ht="11.25" customHeight="1" x14ac:dyDescent="0.2">
      <c r="A54" s="749" t="s">
        <v>914</v>
      </c>
      <c r="B54" s="744" t="s">
        <v>952</v>
      </c>
      <c r="C54" s="743"/>
      <c r="D54" s="734"/>
      <c r="E54" s="746" t="s">
        <v>498</v>
      </c>
      <c r="F54" s="2207"/>
      <c r="G54" s="220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27"/>
      <c r="I1" s="757"/>
      <c r="J1" s="433"/>
    </row>
    <row r="2" spans="1:11" ht="26.25" x14ac:dyDescent="0.2">
      <c r="A2" s="2251" t="s">
        <v>1677</v>
      </c>
      <c r="B2" s="2252"/>
      <c r="C2" s="2252"/>
      <c r="D2" s="2252"/>
      <c r="E2" s="2253"/>
      <c r="F2" s="758" t="s">
        <v>904</v>
      </c>
      <c r="G2" s="759" t="s">
        <v>1674</v>
      </c>
      <c r="H2" s="759" t="s">
        <v>410</v>
      </c>
      <c r="I2" s="759" t="s">
        <v>1158</v>
      </c>
      <c r="J2" s="759" t="s">
        <v>1812</v>
      </c>
      <c r="K2" s="759" t="s">
        <v>138</v>
      </c>
    </row>
    <row r="3" spans="1:11" x14ac:dyDescent="0.2">
      <c r="A3" s="2254" t="s">
        <v>1964</v>
      </c>
      <c r="B3" s="2255"/>
      <c r="C3" s="2255"/>
      <c r="D3" s="2255"/>
      <c r="E3" s="2256"/>
      <c r="F3" s="760"/>
      <c r="G3" s="761"/>
      <c r="H3" s="761"/>
      <c r="I3" s="761"/>
      <c r="J3" s="762">
        <v>46294</v>
      </c>
      <c r="K3" s="762"/>
    </row>
    <row r="4" spans="1:11" x14ac:dyDescent="0.2">
      <c r="A4" s="2257" t="s">
        <v>369</v>
      </c>
      <c r="B4" s="2258"/>
      <c r="C4" s="2258"/>
      <c r="D4" s="2258"/>
      <c r="E4" s="2204"/>
      <c r="F4" s="763"/>
      <c r="G4" s="764"/>
      <c r="H4" s="765"/>
      <c r="I4" s="764"/>
      <c r="J4" s="766"/>
      <c r="K4" s="766"/>
    </row>
    <row r="5" spans="1:11" x14ac:dyDescent="0.2">
      <c r="A5" s="2235" t="s">
        <v>1069</v>
      </c>
      <c r="B5" s="2236"/>
      <c r="C5" s="2236"/>
      <c r="D5" s="2236"/>
      <c r="E5" s="2237"/>
      <c r="F5" s="767" t="s">
        <v>848</v>
      </c>
      <c r="G5" s="768"/>
      <c r="H5" s="761">
        <v>10007</v>
      </c>
      <c r="I5" s="769"/>
      <c r="J5" s="770"/>
      <c r="K5" s="770"/>
    </row>
    <row r="6" spans="1:11" x14ac:dyDescent="0.2">
      <c r="A6" s="771" t="s">
        <v>720</v>
      </c>
      <c r="B6" s="772"/>
      <c r="C6" s="772"/>
      <c r="D6" s="772"/>
      <c r="E6" s="773"/>
      <c r="F6" s="774" t="s">
        <v>849</v>
      </c>
      <c r="G6" s="761"/>
      <c r="H6" s="761">
        <v>9</v>
      </c>
      <c r="I6" s="761"/>
      <c r="J6" s="762">
        <v>267</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62662</v>
      </c>
      <c r="K8" s="766"/>
    </row>
    <row r="9" spans="1:11" x14ac:dyDescent="0.2">
      <c r="A9" s="775" t="s">
        <v>138</v>
      </c>
      <c r="B9" s="776"/>
      <c r="C9" s="776"/>
      <c r="D9" s="776"/>
      <c r="E9" s="777"/>
      <c r="F9" s="774" t="s">
        <v>853</v>
      </c>
      <c r="G9" s="779"/>
      <c r="H9" s="768"/>
      <c r="I9" s="768"/>
      <c r="J9" s="778"/>
      <c r="K9" s="762"/>
    </row>
    <row r="10" spans="1:11" x14ac:dyDescent="0.2">
      <c r="A10" s="2235" t="s">
        <v>1813</v>
      </c>
      <c r="B10" s="2236"/>
      <c r="C10" s="2236"/>
      <c r="D10" s="2236"/>
      <c r="E10" s="2238"/>
      <c r="F10" s="780" t="s">
        <v>862</v>
      </c>
      <c r="G10" s="779"/>
      <c r="H10" s="781"/>
      <c r="I10" s="761"/>
      <c r="J10" s="762"/>
      <c r="K10" s="762"/>
    </row>
    <row r="11" spans="1:11" x14ac:dyDescent="0.2">
      <c r="A11" s="2235" t="s">
        <v>160</v>
      </c>
      <c r="B11" s="2236"/>
      <c r="C11" s="2236"/>
      <c r="D11" s="2236"/>
      <c r="E11" s="2237"/>
      <c r="F11" s="767" t="s">
        <v>852</v>
      </c>
      <c r="G11" s="768"/>
      <c r="H11" s="761"/>
      <c r="I11" s="761"/>
      <c r="J11" s="762"/>
      <c r="K11" s="770"/>
    </row>
    <row r="12" spans="1:11" ht="13.5" thickBot="1" x14ac:dyDescent="0.25">
      <c r="A12" s="2262" t="s">
        <v>905</v>
      </c>
      <c r="B12" s="2263"/>
      <c r="C12" s="2263"/>
      <c r="D12" s="2263"/>
      <c r="E12" s="2264"/>
      <c r="F12" s="1754"/>
      <c r="G12" s="1755">
        <f>SUM(G5:G11)</f>
        <v>0</v>
      </c>
      <c r="H12" s="1755">
        <f>SUM(H5:H11)</f>
        <v>10016</v>
      </c>
      <c r="I12" s="1755">
        <f>SUM(I5:I11)</f>
        <v>0</v>
      </c>
      <c r="J12" s="1755">
        <f>SUM(J5:J11)</f>
        <v>62929</v>
      </c>
      <c r="K12" s="1755">
        <f>SUM(K5:K11)</f>
        <v>0</v>
      </c>
    </row>
    <row r="13" spans="1:11" ht="13.5" thickTop="1" x14ac:dyDescent="0.2">
      <c r="A13" s="2259" t="s">
        <v>370</v>
      </c>
      <c r="B13" s="2260"/>
      <c r="C13" s="2260"/>
      <c r="D13" s="2260"/>
      <c r="E13" s="2261"/>
      <c r="F13" s="782"/>
      <c r="G13" s="783"/>
      <c r="H13" s="784"/>
      <c r="I13" s="785"/>
      <c r="J13" s="785"/>
      <c r="K13" s="785"/>
    </row>
    <row r="14" spans="1:11" x14ac:dyDescent="0.2">
      <c r="A14" s="2242" t="s">
        <v>456</v>
      </c>
      <c r="B14" s="2242"/>
      <c r="C14" s="2242"/>
      <c r="D14" s="2242"/>
      <c r="E14" s="2243"/>
      <c r="F14" s="786" t="s">
        <v>854</v>
      </c>
      <c r="G14" s="779"/>
      <c r="H14" s="761">
        <v>10016</v>
      </c>
      <c r="I14" s="768"/>
      <c r="J14" s="770"/>
      <c r="K14" s="762"/>
    </row>
    <row r="15" spans="1:11" x14ac:dyDescent="0.2">
      <c r="A15" s="2236" t="s">
        <v>4</v>
      </c>
      <c r="B15" s="2236"/>
      <c r="C15" s="2236"/>
      <c r="D15" s="2236"/>
      <c r="E15" s="2237"/>
      <c r="F15" s="786" t="s">
        <v>855</v>
      </c>
      <c r="G15" s="768"/>
      <c r="H15" s="761"/>
      <c r="I15" s="761"/>
      <c r="J15" s="762">
        <v>50300</v>
      </c>
      <c r="K15" s="762"/>
    </row>
    <row r="16" spans="1:11" x14ac:dyDescent="0.2">
      <c r="A16" s="2236" t="s">
        <v>298</v>
      </c>
      <c r="B16" s="2236"/>
      <c r="C16" s="2236"/>
      <c r="D16" s="2236"/>
      <c r="E16" s="2237"/>
      <c r="F16" s="786" t="s">
        <v>923</v>
      </c>
      <c r="G16" s="769"/>
      <c r="H16" s="764"/>
      <c r="I16" s="764"/>
      <c r="J16" s="766"/>
      <c r="K16" s="766"/>
    </row>
    <row r="17" spans="1:11" x14ac:dyDescent="0.2">
      <c r="A17" s="2267" t="s">
        <v>935</v>
      </c>
      <c r="B17" s="2267"/>
      <c r="C17" s="2267"/>
      <c r="D17" s="2267"/>
      <c r="E17" s="2268"/>
      <c r="F17" s="787"/>
      <c r="G17" s="788"/>
      <c r="H17" s="789"/>
      <c r="I17" s="789"/>
      <c r="J17" s="790"/>
      <c r="K17" s="791"/>
    </row>
    <row r="18" spans="1:11" x14ac:dyDescent="0.2">
      <c r="A18" s="2246" t="s">
        <v>368</v>
      </c>
      <c r="B18" s="2247"/>
      <c r="C18" s="2247"/>
      <c r="D18" s="2247"/>
      <c r="E18" s="2248"/>
      <c r="F18" s="786" t="s">
        <v>932</v>
      </c>
      <c r="G18" s="779"/>
      <c r="H18" s="779"/>
      <c r="I18" s="779"/>
      <c r="J18" s="762"/>
      <c r="K18" s="792"/>
    </row>
    <row r="19" spans="1:11" ht="21.75" customHeight="1" x14ac:dyDescent="0.2">
      <c r="A19" s="2244" t="s">
        <v>1809</v>
      </c>
      <c r="B19" s="2244"/>
      <c r="C19" s="2244"/>
      <c r="D19" s="2244"/>
      <c r="E19" s="2245"/>
      <c r="F19" s="786" t="s">
        <v>933</v>
      </c>
      <c r="G19" s="779"/>
      <c r="H19" s="779"/>
      <c r="I19" s="779"/>
      <c r="J19" s="762"/>
      <c r="K19" s="792"/>
    </row>
    <row r="20" spans="1:11" x14ac:dyDescent="0.2">
      <c r="A20" s="2246" t="s">
        <v>1814</v>
      </c>
      <c r="B20" s="2247"/>
      <c r="C20" s="2247"/>
      <c r="D20" s="2247"/>
      <c r="E20" s="2248"/>
      <c r="F20" s="786" t="s">
        <v>934</v>
      </c>
      <c r="G20" s="779"/>
      <c r="H20" s="779"/>
      <c r="I20" s="779"/>
      <c r="J20" s="762"/>
      <c r="K20" s="792"/>
    </row>
    <row r="21" spans="1:11" ht="13.5" thickBot="1" x14ac:dyDescent="0.25">
      <c r="A21" s="2265" t="s">
        <v>638</v>
      </c>
      <c r="B21" s="2265"/>
      <c r="C21" s="2265"/>
      <c r="D21" s="2265"/>
      <c r="E21" s="2265"/>
      <c r="F21" s="1756"/>
      <c r="G21" s="789"/>
      <c r="H21" s="793"/>
      <c r="I21" s="793"/>
      <c r="J21" s="1757">
        <f>SUM(J18:J20)</f>
        <v>0</v>
      </c>
      <c r="K21" s="790"/>
    </row>
    <row r="22" spans="1:11" ht="13.5" thickTop="1" x14ac:dyDescent="0.2">
      <c r="A22" s="2236" t="s">
        <v>1815</v>
      </c>
      <c r="B22" s="2236"/>
      <c r="C22" s="2236"/>
      <c r="D22" s="2236"/>
      <c r="E22" s="2237"/>
      <c r="F22" s="786" t="s">
        <v>862</v>
      </c>
      <c r="G22" s="779"/>
      <c r="H22" s="761"/>
      <c r="I22" s="761"/>
      <c r="J22" s="794"/>
      <c r="K22" s="762"/>
    </row>
    <row r="23" spans="1:11" ht="13.5" thickBot="1" x14ac:dyDescent="0.25">
      <c r="A23" s="2266" t="s">
        <v>906</v>
      </c>
      <c r="B23" s="2265"/>
      <c r="C23" s="2265"/>
      <c r="D23" s="2265"/>
      <c r="E23" s="2265"/>
      <c r="F23" s="1758"/>
      <c r="G23" s="1755">
        <f>SUM(G14:G16,G21,G22)</f>
        <v>0</v>
      </c>
      <c r="H23" s="1755">
        <f>SUM(H14:H16,H21,H22)</f>
        <v>10016</v>
      </c>
      <c r="I23" s="1755">
        <f>SUM(I14:I16,I21,I22)</f>
        <v>0</v>
      </c>
      <c r="J23" s="1755">
        <f>SUM(J14:J16,J21,J22)</f>
        <v>50300</v>
      </c>
      <c r="K23" s="1755">
        <f>SUM(K14:K16,K21,K22)</f>
        <v>0</v>
      </c>
    </row>
    <row r="24" spans="1:11" ht="14.25" thickTop="1" thickBot="1" x14ac:dyDescent="0.25">
      <c r="A24" s="2266" t="s">
        <v>1965</v>
      </c>
      <c r="B24" s="2265"/>
      <c r="C24" s="2265"/>
      <c r="D24" s="2265"/>
      <c r="E24" s="2265"/>
      <c r="F24" s="1759"/>
      <c r="G24" s="1760">
        <f>SUM(G3,G12)-G23</f>
        <v>0</v>
      </c>
      <c r="H24" s="1760">
        <f>SUM(H3,H12)-H23</f>
        <v>0</v>
      </c>
      <c r="I24" s="1760">
        <f>SUM(I3,I12)-I23</f>
        <v>0</v>
      </c>
      <c r="J24" s="1760">
        <f>SUM(J3,J12)-J23</f>
        <v>58923</v>
      </c>
      <c r="K24" s="1760">
        <f>SUM(K3,K12)-K23</f>
        <v>0</v>
      </c>
    </row>
    <row r="25" spans="1:11" ht="13.5" thickTop="1" x14ac:dyDescent="0.2">
      <c r="A25" s="795" t="s">
        <v>420</v>
      </c>
      <c r="B25" s="796"/>
      <c r="C25" s="796"/>
      <c r="D25" s="796"/>
      <c r="E25" s="797"/>
      <c r="F25" s="798">
        <v>714</v>
      </c>
      <c r="G25" s="799"/>
      <c r="H25" s="799"/>
      <c r="I25" s="799"/>
      <c r="J25" s="794">
        <v>58923</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9"/>
      <c r="I31" s="2240"/>
      <c r="J31" s="2240"/>
      <c r="K31" s="2240"/>
    </row>
    <row r="32" spans="1:11" x14ac:dyDescent="0.2">
      <c r="A32" s="806"/>
      <c r="B32" s="237"/>
      <c r="C32" s="237"/>
      <c r="D32" s="237"/>
      <c r="E32" s="802"/>
      <c r="F32" s="808" t="s">
        <v>540</v>
      </c>
      <c r="G32" s="761"/>
      <c r="H32" s="2241"/>
      <c r="I32" s="2240"/>
      <c r="J32" s="2240"/>
      <c r="K32" s="2240"/>
    </row>
    <row r="33" spans="1:11" ht="1.5" customHeight="1" x14ac:dyDescent="0.2">
      <c r="A33" s="809" t="s">
        <v>1169</v>
      </c>
      <c r="B33" s="364"/>
      <c r="C33" s="364"/>
      <c r="D33" s="364"/>
      <c r="E33" s="364"/>
      <c r="F33" s="364"/>
      <c r="G33" s="810"/>
      <c r="H33" s="2241"/>
      <c r="I33" s="2240"/>
      <c r="J33" s="2240"/>
      <c r="K33" s="224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6" t="s">
        <v>541</v>
      </c>
      <c r="B41" s="2249"/>
      <c r="C41" s="2249"/>
      <c r="D41" s="2249"/>
      <c r="E41" s="2249"/>
      <c r="F41" s="225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1909</v>
      </c>
      <c r="B1" s="2272"/>
      <c r="C1" s="2273"/>
      <c r="D1" s="823"/>
      <c r="E1" s="824"/>
      <c r="F1" s="824"/>
      <c r="G1" s="825"/>
      <c r="H1" s="826"/>
      <c r="I1" s="827"/>
      <c r="J1" s="2269"/>
      <c r="K1" s="2270"/>
      <c r="L1" s="227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20000</v>
      </c>
      <c r="D5" s="838">
        <v>0</v>
      </c>
      <c r="E5" s="838">
        <v>0</v>
      </c>
      <c r="F5" s="1757">
        <f>(C5+D5)-E5</f>
        <v>20000</v>
      </c>
      <c r="G5" s="834"/>
      <c r="H5" s="839"/>
      <c r="I5" s="839"/>
      <c r="J5" s="839"/>
      <c r="K5" s="790"/>
      <c r="L5" s="1766">
        <f>F5-K5</f>
        <v>20000</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1405642</v>
      </c>
      <c r="D8" s="841">
        <v>55439</v>
      </c>
      <c r="E8" s="841">
        <v>0</v>
      </c>
      <c r="F8" s="1757">
        <f>(C8+D8)-E8</f>
        <v>1461081</v>
      </c>
      <c r="G8" s="840">
        <v>50</v>
      </c>
      <c r="H8" s="762">
        <v>505402</v>
      </c>
      <c r="I8" s="762">
        <v>25830</v>
      </c>
      <c r="J8" s="762">
        <v>0</v>
      </c>
      <c r="K8" s="1766">
        <f>(H8+I8)-J8</f>
        <v>531232</v>
      </c>
      <c r="L8" s="1766">
        <f>F8-K8</f>
        <v>929849</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495815</v>
      </c>
      <c r="D10" s="843">
        <v>0</v>
      </c>
      <c r="E10" s="843">
        <v>0</v>
      </c>
      <c r="F10" s="1761">
        <f>(C10+D10)-E10</f>
        <v>495815</v>
      </c>
      <c r="G10" s="840">
        <v>20</v>
      </c>
      <c r="H10" s="844">
        <v>134826</v>
      </c>
      <c r="I10" s="844">
        <v>24107</v>
      </c>
      <c r="J10" s="844">
        <v>0</v>
      </c>
      <c r="K10" s="1766">
        <f>(H10+I10)-J10</f>
        <v>158933</v>
      </c>
      <c r="L10" s="1766">
        <f>F10-K10</f>
        <v>336882</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168038</v>
      </c>
      <c r="D12" s="841">
        <v>39330</v>
      </c>
      <c r="E12" s="841">
        <v>18358</v>
      </c>
      <c r="F12" s="1757">
        <f>(C12+D12)-E12</f>
        <v>189010</v>
      </c>
      <c r="G12" s="840">
        <v>10</v>
      </c>
      <c r="H12" s="762">
        <v>87835</v>
      </c>
      <c r="I12" s="762">
        <v>18898</v>
      </c>
      <c r="J12" s="762">
        <v>18358</v>
      </c>
      <c r="K12" s="1766">
        <f>(H12+I12)-J12</f>
        <v>88375</v>
      </c>
      <c r="L12" s="1766">
        <f>F12-K12</f>
        <v>100635</v>
      </c>
    </row>
    <row r="13" spans="1:14" ht="14.25" thickTop="1" thickBot="1" x14ac:dyDescent="0.25">
      <c r="A13" s="845" t="s">
        <v>1122</v>
      </c>
      <c r="B13" s="837">
        <v>252</v>
      </c>
      <c r="C13" s="841">
        <v>0</v>
      </c>
      <c r="D13" s="841">
        <v>0</v>
      </c>
      <c r="E13" s="841">
        <v>0</v>
      </c>
      <c r="F13" s="1757">
        <f>(C13+D13)-E13</f>
        <v>0</v>
      </c>
      <c r="G13" s="840">
        <v>5</v>
      </c>
      <c r="H13" s="762">
        <v>0</v>
      </c>
      <c r="I13" s="762">
        <v>0</v>
      </c>
      <c r="J13" s="762">
        <v>0</v>
      </c>
      <c r="K13" s="1766">
        <f>(H13+I13)-J13</f>
        <v>0</v>
      </c>
      <c r="L13" s="1766">
        <f>F13-K13</f>
        <v>0</v>
      </c>
    </row>
    <row r="14" spans="1:14" ht="14.25" thickTop="1" thickBot="1" x14ac:dyDescent="0.25">
      <c r="A14" s="845" t="s">
        <v>1123</v>
      </c>
      <c r="B14" s="837">
        <v>253</v>
      </c>
      <c r="C14" s="762">
        <v>0</v>
      </c>
      <c r="D14" s="762">
        <v>0</v>
      </c>
      <c r="E14" s="762">
        <v>0</v>
      </c>
      <c r="F14" s="1757">
        <f>(C14+D14)-E14</f>
        <v>0</v>
      </c>
      <c r="G14" s="840">
        <v>3</v>
      </c>
      <c r="H14" s="762">
        <v>0</v>
      </c>
      <c r="I14" s="762">
        <v>0</v>
      </c>
      <c r="J14" s="762">
        <v>0</v>
      </c>
      <c r="K14" s="1766">
        <f>(H14+I14)-J14</f>
        <v>0</v>
      </c>
      <c r="L14" s="1766">
        <f>F14-K14</f>
        <v>0</v>
      </c>
    </row>
    <row r="15" spans="1:14" ht="15" customHeight="1" thickTop="1" thickBot="1" x14ac:dyDescent="0.25">
      <c r="A15" s="1628" t="s">
        <v>528</v>
      </c>
      <c r="B15" s="1627">
        <v>260</v>
      </c>
      <c r="C15" s="841">
        <v>0</v>
      </c>
      <c r="D15" s="841">
        <v>0</v>
      </c>
      <c r="E15" s="841">
        <v>0</v>
      </c>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2089495</v>
      </c>
      <c r="D16" s="1757">
        <f>SUM(D3,D5:D6,D8:D10,D12:D15)</f>
        <v>94769</v>
      </c>
      <c r="E16" s="1757">
        <f>SUM(E3,E5:E6,E8:E10,E12:E15)</f>
        <v>18358</v>
      </c>
      <c r="F16" s="1757">
        <f>SUM(F3,F5:F6,F8:F10,F12:F15)</f>
        <v>2165906</v>
      </c>
      <c r="G16" s="840"/>
      <c r="H16" s="1757">
        <f>SUM(H3,H6,H8:H10,H12:H14,)</f>
        <v>728063</v>
      </c>
      <c r="I16" s="1757">
        <f>SUM(I3,I6,I8:I10,I12:I14,)</f>
        <v>68835</v>
      </c>
      <c r="J16" s="1757">
        <f>SUM(J3,J6,J8:J10,J12:J14,)</f>
        <v>18358</v>
      </c>
      <c r="K16" s="1757">
        <f>(H16+I16)-J16</f>
        <v>778540</v>
      </c>
      <c r="L16" s="1757">
        <f>F16-K16</f>
        <v>1387366</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68835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1975</v>
      </c>
      <c r="B1" s="2278"/>
      <c r="C1" s="2278"/>
      <c r="D1" s="2278"/>
      <c r="E1" s="2278"/>
      <c r="F1" s="2279"/>
      <c r="G1" s="852"/>
    </row>
    <row r="2" spans="1:7" ht="15" customHeight="1" thickBot="1" x14ac:dyDescent="0.25">
      <c r="A2" s="2280" t="s">
        <v>477</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1591261</v>
      </c>
      <c r="G8" s="862"/>
    </row>
    <row r="9" spans="1:7" x14ac:dyDescent="0.2">
      <c r="A9" s="866" t="s">
        <v>460</v>
      </c>
      <c r="B9" s="867" t="s">
        <v>1877</v>
      </c>
      <c r="C9" s="868"/>
      <c r="D9" s="866" t="s">
        <v>501</v>
      </c>
      <c r="E9" s="865"/>
      <c r="F9" s="1906">
        <f>'Expenditures 15-22'!K151</f>
        <v>116425</v>
      </c>
      <c r="G9" s="869"/>
    </row>
    <row r="10" spans="1:7" x14ac:dyDescent="0.2">
      <c r="A10" s="866" t="s">
        <v>499</v>
      </c>
      <c r="B10" s="867" t="s">
        <v>1878</v>
      </c>
      <c r="C10" s="868"/>
      <c r="D10" s="866" t="s">
        <v>501</v>
      </c>
      <c r="E10" s="865"/>
      <c r="F10" s="1906">
        <f>'Expenditures 15-22'!K174</f>
        <v>0</v>
      </c>
      <c r="G10" s="869"/>
    </row>
    <row r="11" spans="1:7" x14ac:dyDescent="0.2">
      <c r="A11" s="866" t="s">
        <v>461</v>
      </c>
      <c r="B11" s="867" t="s">
        <v>1879</v>
      </c>
      <c r="C11" s="868"/>
      <c r="D11" s="866" t="s">
        <v>501</v>
      </c>
      <c r="E11" s="865"/>
      <c r="F11" s="1906">
        <f>'Expenditures 15-22'!K210</f>
        <v>131463</v>
      </c>
      <c r="G11" s="869"/>
    </row>
    <row r="12" spans="1:7" x14ac:dyDescent="0.2">
      <c r="A12" s="866" t="s">
        <v>462</v>
      </c>
      <c r="B12" s="867" t="s">
        <v>1880</v>
      </c>
      <c r="C12" s="868"/>
      <c r="D12" s="866" t="s">
        <v>501</v>
      </c>
      <c r="E12" s="865"/>
      <c r="F12" s="1906">
        <f>'Expenditures 15-22'!K295</f>
        <v>47811</v>
      </c>
      <c r="G12" s="869"/>
    </row>
    <row r="13" spans="1:7" x14ac:dyDescent="0.2">
      <c r="A13" s="866" t="s">
        <v>106</v>
      </c>
      <c r="B13" s="867" t="s">
        <v>1881</v>
      </c>
      <c r="C13" s="868"/>
      <c r="D13" s="866" t="s">
        <v>501</v>
      </c>
      <c r="E13" s="865"/>
      <c r="F13" s="1906">
        <f>'Expenditures 15-22'!K342</f>
        <v>35733</v>
      </c>
      <c r="G13" s="870"/>
    </row>
    <row r="14" spans="1:7" ht="12" customHeight="1" thickBot="1" x14ac:dyDescent="0.25">
      <c r="A14" s="1767"/>
      <c r="B14" s="1768"/>
      <c r="C14" s="1769"/>
      <c r="D14" s="1770" t="s">
        <v>501</v>
      </c>
      <c r="E14" s="1771" t="s">
        <v>958</v>
      </c>
      <c r="F14" s="1772">
        <f>SUM(F8:F13)</f>
        <v>1922693</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3230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227354</v>
      </c>
      <c r="G53" s="862"/>
    </row>
    <row r="54" spans="1:7" x14ac:dyDescent="0.2">
      <c r="A54" s="866" t="s">
        <v>459</v>
      </c>
      <c r="B54" s="866" t="s">
        <v>1476</v>
      </c>
      <c r="C54" s="886" t="s">
        <v>982</v>
      </c>
      <c r="D54" s="882" t="s">
        <v>1095</v>
      </c>
      <c r="E54" s="865"/>
      <c r="F54" s="1910">
        <f>'Expenditures 15-22'!G114</f>
        <v>33078</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11391</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4008</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279061</v>
      </c>
      <c r="G76" s="862"/>
    </row>
    <row r="77" spans="1:8" s="890" customFormat="1" ht="12" customHeight="1" thickTop="1" thickBot="1" x14ac:dyDescent="0.25">
      <c r="A77" s="1776"/>
      <c r="B77" s="1773"/>
      <c r="C77" s="1769"/>
      <c r="D77" s="1774" t="s">
        <v>1900</v>
      </c>
      <c r="E77" s="1771"/>
      <c r="F77" s="1777">
        <f>(F14-F76)</f>
        <v>1643632</v>
      </c>
      <c r="G77" s="866"/>
    </row>
    <row r="78" spans="1:8" s="890" customFormat="1" ht="12" customHeight="1" thickTop="1" x14ac:dyDescent="0.2">
      <c r="A78" s="1778"/>
      <c r="B78" s="1773"/>
      <c r="C78" s="1769"/>
      <c r="D78" s="1774" t="s">
        <v>2062</v>
      </c>
      <c r="E78" s="1771"/>
      <c r="F78" s="895">
        <v>176.8</v>
      </c>
      <c r="G78" s="896"/>
      <c r="H78" s="866"/>
    </row>
    <row r="79" spans="1:8" s="890" customFormat="1" ht="12" customHeight="1" thickBot="1" x14ac:dyDescent="0.25">
      <c r="A79" s="1779"/>
      <c r="B79" s="1773"/>
      <c r="C79" s="1769"/>
      <c r="D79" s="1774" t="s">
        <v>1901</v>
      </c>
      <c r="E79" s="1771" t="s">
        <v>958</v>
      </c>
      <c r="F79" s="1780">
        <f>IF(F78&gt;0,F77/F78," Complete Line 78")</f>
        <v>9296.5610859728495</v>
      </c>
      <c r="G79" s="866"/>
    </row>
    <row r="80" spans="1:8" s="890" customFormat="1" ht="8.25" customHeight="1" thickTop="1" x14ac:dyDescent="0.2">
      <c r="A80" s="897"/>
      <c r="B80" s="866"/>
      <c r="C80" s="868"/>
      <c r="D80" s="898"/>
      <c r="E80" s="865"/>
      <c r="F80" s="899"/>
      <c r="G80" s="866"/>
    </row>
    <row r="81" spans="1:7" s="890" customFormat="1" ht="12" thickBot="1" x14ac:dyDescent="0.25">
      <c r="A81" s="2274" t="s">
        <v>1105</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36856</v>
      </c>
      <c r="G94" s="909"/>
    </row>
    <row r="95" spans="1:7" x14ac:dyDescent="0.2">
      <c r="A95" s="905" t="s">
        <v>140</v>
      </c>
      <c r="B95" s="905" t="s">
        <v>175</v>
      </c>
      <c r="C95" s="907">
        <v>1700</v>
      </c>
      <c r="D95" s="915" t="str">
        <f>'Revenues 9-14'!A82</f>
        <v>Total District/School Activity Income</v>
      </c>
      <c r="E95" s="903"/>
      <c r="F95" s="1786">
        <f>SUM('Revenues 9-14'!C82,'Revenues 9-14'!D82)</f>
        <v>6841</v>
      </c>
      <c r="G95" s="909"/>
    </row>
    <row r="96" spans="1:7" x14ac:dyDescent="0.2">
      <c r="A96" s="905" t="s">
        <v>459</v>
      </c>
      <c r="B96" s="905" t="s">
        <v>176</v>
      </c>
      <c r="C96" s="907">
        <f>'Revenues 9-14'!B84</f>
        <v>1811</v>
      </c>
      <c r="D96" s="908" t="str">
        <f>'Revenues 9-14'!A84</f>
        <v>Rentals - Regular Textbooks</v>
      </c>
      <c r="E96" s="903"/>
      <c r="F96" s="1786">
        <f>'Revenues 9-14'!C84</f>
        <v>10756</v>
      </c>
      <c r="G96" s="909"/>
    </row>
    <row r="97" spans="1:7" x14ac:dyDescent="0.2">
      <c r="A97" s="905" t="s">
        <v>459</v>
      </c>
      <c r="B97" s="905" t="s">
        <v>177</v>
      </c>
      <c r="C97" s="907">
        <f>'Revenues 9-14'!B87</f>
        <v>1819</v>
      </c>
      <c r="D97" s="908" t="str">
        <f>'Revenues 9-14'!A87</f>
        <v>Rentals - Other (Describe &amp; Itemize)</v>
      </c>
      <c r="E97" s="903"/>
      <c r="F97" s="1786">
        <f>'Revenues 9-14'!C87</f>
        <v>50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3155</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322</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80726</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26863</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22853</v>
      </c>
      <c r="G125" s="927"/>
    </row>
    <row r="126" spans="1:7" x14ac:dyDescent="0.2">
      <c r="A126" s="924" t="s">
        <v>668</v>
      </c>
      <c r="B126" s="924" t="s">
        <v>2024</v>
      </c>
      <c r="C126" s="929">
        <v>4300</v>
      </c>
      <c r="D126" s="930" t="str">
        <f>'Revenues 9-14'!A204</f>
        <v>Total Title I</v>
      </c>
      <c r="E126" s="903"/>
      <c r="F126" s="1786">
        <f>SUM('Revenues 9-14'!C204,'Revenues 9-14'!D204,'Revenues 9-14'!F204,'Revenues 9-14'!G204)</f>
        <v>2562</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4802</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4612</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2458</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23406.639999999999</v>
      </c>
      <c r="G171" s="924"/>
    </row>
    <row r="172" spans="1:7" x14ac:dyDescent="0.2">
      <c r="A172" s="1915" t="s">
        <v>664</v>
      </c>
      <c r="B172" s="1916" t="s">
        <v>1920</v>
      </c>
      <c r="C172" s="1917">
        <v>3300</v>
      </c>
      <c r="D172" s="1918" t="s">
        <v>1923</v>
      </c>
      <c r="E172" s="903"/>
      <c r="F172" s="1903">
        <v>1.62</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226264.26</v>
      </c>
    </row>
    <row r="175" spans="1:7" ht="12" customHeight="1" x14ac:dyDescent="0.2">
      <c r="A175" s="1767"/>
      <c r="B175" s="1781"/>
      <c r="C175" s="1782"/>
      <c r="D175" s="1783" t="s">
        <v>2057</v>
      </c>
      <c r="E175" s="1784"/>
      <c r="F175" s="1786">
        <f>'PCTC-OEPP 27-28'!F77-F174</f>
        <v>1417367.74</v>
      </c>
    </row>
    <row r="176" spans="1:7" ht="12" customHeight="1" x14ac:dyDescent="0.2">
      <c r="A176" s="1767"/>
      <c r="B176" s="1781"/>
      <c r="C176" s="1782"/>
      <c r="D176" s="1783" t="s">
        <v>1817</v>
      </c>
      <c r="E176" s="1784"/>
      <c r="F176" s="1786">
        <f>'Cap Outlay Deprec 26'!I18</f>
        <v>68835</v>
      </c>
    </row>
    <row r="177" spans="1:7" ht="12" customHeight="1" x14ac:dyDescent="0.2">
      <c r="A177" s="1767"/>
      <c r="B177" s="1781"/>
      <c r="C177" s="1782"/>
      <c r="D177" s="1783" t="s">
        <v>2058</v>
      </c>
      <c r="E177" s="1784"/>
      <c r="F177" s="1786">
        <f>F175+F176</f>
        <v>1486202.74</v>
      </c>
    </row>
    <row r="178" spans="1:7" ht="12" customHeight="1" x14ac:dyDescent="0.2">
      <c r="A178" s="1767"/>
      <c r="B178" s="1787"/>
      <c r="C178" s="1782"/>
      <c r="D178" s="1783" t="str">
        <f>D78</f>
        <v>9 Month ADA from District Average Daily Attendance/Prior General State Aid Inquiry 2018-2019</v>
      </c>
      <c r="E178" s="1784"/>
      <c r="F178" s="1788">
        <f>'PCTC-OEPP 27-28'!F78</f>
        <v>176.8</v>
      </c>
      <c r="G178" s="927"/>
    </row>
    <row r="179" spans="1:7" ht="12" customHeight="1" thickBot="1" x14ac:dyDescent="0.25">
      <c r="A179" s="1767"/>
      <c r="B179" s="1787"/>
      <c r="C179" s="1782"/>
      <c r="D179" s="1783" t="s">
        <v>2059</v>
      </c>
      <c r="E179" s="1784" t="s">
        <v>1545</v>
      </c>
      <c r="F179" s="1789">
        <f>F177/F178</f>
        <v>8406.1240950226238</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J32" sqref="J32"/>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8" t="s">
        <v>1818</v>
      </c>
      <c r="B4" s="2289"/>
      <c r="C4" s="2289"/>
      <c r="D4" s="2289"/>
      <c r="E4" s="2289"/>
      <c r="F4" s="2289"/>
      <c r="G4" s="2290"/>
    </row>
    <row r="5" spans="1:7" x14ac:dyDescent="0.25">
      <c r="A5" s="2291"/>
      <c r="B5" s="2292"/>
      <c r="C5" s="2292"/>
      <c r="D5" s="2292"/>
      <c r="E5" s="2292"/>
      <c r="F5" s="2292"/>
      <c r="G5" s="2293"/>
    </row>
    <row r="6" spans="1:7" ht="18.75" x14ac:dyDescent="0.25">
      <c r="A6" s="1531" t="s">
        <v>1819</v>
      </c>
      <c r="B6" s="1532"/>
      <c r="C6" s="1532"/>
      <c r="D6" s="1532"/>
      <c r="E6" s="1532"/>
      <c r="F6" s="1532"/>
      <c r="G6" s="1533"/>
    </row>
    <row r="7" spans="1:7" ht="30.75" customHeight="1" x14ac:dyDescent="0.25">
      <c r="A7" s="2294" t="s">
        <v>1932</v>
      </c>
      <c r="B7" s="2295"/>
      <c r="C7" s="2295"/>
      <c r="D7" s="2295"/>
      <c r="E7" s="2295"/>
      <c r="F7" s="2295"/>
      <c r="G7" s="2296"/>
    </row>
    <row r="8" spans="1:7" ht="15.75" customHeight="1" x14ac:dyDescent="0.25">
      <c r="A8" s="2297" t="s">
        <v>1907</v>
      </c>
      <c r="B8" s="2298"/>
      <c r="C8" s="2298"/>
      <c r="D8" s="2298"/>
      <c r="E8" s="2298"/>
      <c r="F8" s="2298"/>
      <c r="G8" s="2299"/>
    </row>
    <row r="9" spans="1:7" ht="35.25" customHeight="1" x14ac:dyDescent="0.25">
      <c r="A9" s="2294" t="s">
        <v>1935</v>
      </c>
      <c r="B9" s="2295"/>
      <c r="C9" s="2295"/>
      <c r="D9" s="2295"/>
      <c r="E9" s="2295"/>
      <c r="F9" s="2295"/>
      <c r="G9" s="2296"/>
    </row>
    <row r="10" spans="1:7" ht="15" customHeight="1" x14ac:dyDescent="0.25">
      <c r="A10" s="1534" t="s">
        <v>1820</v>
      </c>
      <c r="B10" s="1535"/>
      <c r="C10" s="1535"/>
      <c r="D10" s="1535"/>
      <c r="E10" s="1535"/>
      <c r="F10" s="1535"/>
      <c r="G10" s="1536"/>
    </row>
    <row r="11" spans="1:7" ht="17.25" customHeight="1" x14ac:dyDescent="0.25">
      <c r="A11" s="2294" t="s">
        <v>1934</v>
      </c>
      <c r="B11" s="2295"/>
      <c r="C11" s="2295"/>
      <c r="D11" s="2295"/>
      <c r="E11" s="2295"/>
      <c r="F11" s="2295"/>
      <c r="G11" s="2296"/>
    </row>
    <row r="12" spans="1:7" ht="15" customHeight="1" x14ac:dyDescent="0.25">
      <c r="A12" s="1534" t="s">
        <v>1825</v>
      </c>
      <c r="B12" s="1535"/>
      <c r="C12" s="1535"/>
      <c r="D12" s="1535"/>
      <c r="E12" s="1535"/>
      <c r="F12" s="1535"/>
      <c r="G12" s="1536"/>
    </row>
    <row r="13" spans="1:7" ht="32.25" customHeight="1" x14ac:dyDescent="0.25">
      <c r="A13" s="2285" t="s">
        <v>1976</v>
      </c>
      <c r="B13" s="2286"/>
      <c r="C13" s="2286"/>
      <c r="D13" s="2286"/>
      <c r="E13" s="2286"/>
      <c r="F13" s="2286"/>
      <c r="G13" s="2287"/>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ht="30" x14ac:dyDescent="0.25">
      <c r="A17" s="1956" t="s">
        <v>2106</v>
      </c>
      <c r="B17" s="1957" t="s">
        <v>2107</v>
      </c>
      <c r="C17" s="1958" t="s">
        <v>2108</v>
      </c>
      <c r="D17" s="1841">
        <v>54223</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29223</v>
      </c>
      <c r="H17" s="1644"/>
    </row>
    <row r="18" spans="1:8" ht="30" x14ac:dyDescent="0.25">
      <c r="A18" s="1956" t="s">
        <v>2109</v>
      </c>
      <c r="B18" s="1957" t="s">
        <v>2110</v>
      </c>
      <c r="C18" s="1958" t="s">
        <v>2111</v>
      </c>
      <c r="D18" s="1841">
        <v>114280</v>
      </c>
      <c r="E18" s="1537">
        <f t="shared" ref="E18:E140" si="2">IF(D18&lt;=25000,D18,IF(D18&gt;25000,25000,0))</f>
        <v>25000</v>
      </c>
      <c r="F18" s="1929">
        <f t="shared" si="1"/>
        <v>25000</v>
      </c>
      <c r="G18" s="1790">
        <f t="shared" ref="G18:G140" si="3">IF(F18=0,0,D18-F18)</f>
        <v>89280</v>
      </c>
    </row>
    <row r="19" spans="1:8" x14ac:dyDescent="0.25">
      <c r="A19" s="1956"/>
      <c r="B19" s="1957"/>
      <c r="C19" s="1958"/>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168503</v>
      </c>
      <c r="E141" s="1538">
        <f t="shared" si="0"/>
        <v>25000</v>
      </c>
      <c r="F141" s="1930">
        <f>SUM(F17:F140)</f>
        <v>50000</v>
      </c>
      <c r="G141" s="1792">
        <f>SUM(G17:G140)</f>
        <v>118503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0" t="s">
        <v>1679</v>
      </c>
      <c r="B5" s="2301"/>
      <c r="C5" s="2301"/>
      <c r="D5" s="2301"/>
      <c r="E5" s="2301"/>
      <c r="F5" s="2301"/>
      <c r="G5" s="2302"/>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37292.339999999997</v>
      </c>
      <c r="F10" s="971"/>
      <c r="G10" s="972"/>
      <c r="H10" s="162"/>
      <c r="I10" s="162"/>
    </row>
    <row r="11" spans="1:9" s="665" customFormat="1" ht="22.5" customHeight="1" x14ac:dyDescent="0.2">
      <c r="A11" s="2305" t="s">
        <v>1977</v>
      </c>
      <c r="B11" s="2306"/>
      <c r="C11" s="2306"/>
      <c r="D11" s="2307"/>
      <c r="E11" s="974">
        <v>6837</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915077</v>
      </c>
      <c r="F19" s="1796"/>
      <c r="G19" s="1798">
        <f>'Expenditures 15-22'!K33-SUM('Expenditures 15-22'!G33,'Expenditures 15-22'!I33)+'Expenditures 15-22'!D229</f>
        <v>915077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0</v>
      </c>
      <c r="F21" s="1799"/>
      <c r="G21" s="1802">
        <f>'Expenditures 15-22'!K42-SUM('Expenditures 15-22'!G42,'Expenditures 15-22'!I42)+'Expenditures 15-22'!K120-SUM('Expenditures 15-22'!G120,'Expenditures 15-22'!I120)+'Expenditures 15-22'!K180-SUM('Expenditures 15-22'!G180,'Expenditures 15-22'!I180)+'Expenditures 15-22'!D238</f>
        <v>0</v>
      </c>
      <c r="H21" s="984"/>
      <c r="I21" s="162"/>
    </row>
    <row r="22" spans="1:9" s="665" customFormat="1" ht="12" customHeight="1" x14ac:dyDescent="0.2">
      <c r="A22" s="991" t="s">
        <v>564</v>
      </c>
      <c r="B22" s="992"/>
      <c r="C22" s="990">
        <v>2200</v>
      </c>
      <c r="D22" s="1799"/>
      <c r="E22" s="1801">
        <f>'Expenditures 15-22'!K47-SUM('Expenditures 15-22'!G47,'Expenditures 15-22'!I47)+'Expenditures 15-22'!D243</f>
        <v>64251</v>
      </c>
      <c r="F22" s="1799"/>
      <c r="G22" s="1802">
        <f>'Expenditures 15-22'!K47-SUM('Expenditures 15-22'!G47,'Expenditures 15-22'!I47)+'Expenditures 15-22'!D243</f>
        <v>64251</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215939</v>
      </c>
      <c r="F23" s="1799"/>
      <c r="G23" s="1801">
        <f>'Expenditures 15-22'!K53-SUM('Expenditures 15-22'!G53,'Expenditures 15-22'!I53)+'Expenditures 15-22'!D257+'Expenditures 15-22'!K330-SUM('Expenditures 15-22'!G330,'Expenditures 15-22'!I330)</f>
        <v>215939</v>
      </c>
      <c r="H23" s="984"/>
      <c r="I23" s="162"/>
    </row>
    <row r="24" spans="1:9" s="665" customFormat="1" ht="12" customHeight="1" x14ac:dyDescent="0.2">
      <c r="A24" s="991" t="s">
        <v>566</v>
      </c>
      <c r="B24" s="992"/>
      <c r="C24" s="990">
        <v>2400</v>
      </c>
      <c r="D24" s="1799"/>
      <c r="E24" s="1801">
        <f>'Expenditures 15-22'!K57-SUM('Expenditures 15-22'!G57,'Expenditures 15-22'!I57)+'Expenditures 15-22'!D261</f>
        <v>0</v>
      </c>
      <c r="F24" s="1799"/>
      <c r="G24" s="1802">
        <f>'Expenditures 15-22'!K57-SUM('Expenditures 15-22'!G57,'Expenditures 15-22'!I57)+'Expenditures 15-22'!D261</f>
        <v>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109909</v>
      </c>
      <c r="E27" s="1801">
        <f>E8</f>
        <v>0</v>
      </c>
      <c r="F27" s="1801">
        <f>'Expenditures 15-22'!K60-SUM('Expenditures 15-22'!G60,'Expenditures 15-22'!I60)+'Expenditures 15-22'!D264-E8</f>
        <v>109909</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142274</v>
      </c>
      <c r="F28" s="1803">
        <f>'Expenditures 15-22'!K61-SUM('Expenditures 15-22'!G61,'Expenditures 15-22'!I61)+'Expenditures 15-22'!K124-SUM('Expenditures 15-22'!G124,'Expenditures 15-22'!I124)+'Expenditures 15-22'!D266-E9</f>
        <v>142274</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131476</v>
      </c>
      <c r="F29" s="1799"/>
      <c r="G29" s="1802">
        <f>'Expenditures 15-22'!K62-SUM('Expenditures 15-22'!G62,'Expenditures 15-22'!I62)+'Expenditures 15-22'!K125-SUM('Expenditures 15-22'!G125,'Expenditures 15-22'!I125)+'Expenditures 15-22'!K182-SUM('Expenditures 15-22'!G182,'Expenditures 15-22'!I182)+'Expenditures 15-22'!D267</f>
        <v>131476</v>
      </c>
      <c r="H29" s="982"/>
    </row>
    <row r="30" spans="1:9" ht="12" customHeight="1" x14ac:dyDescent="0.2">
      <c r="A30" s="991" t="s">
        <v>100</v>
      </c>
      <c r="B30" s="994"/>
      <c r="C30" s="990">
        <v>2560</v>
      </c>
      <c r="D30" s="1799"/>
      <c r="E30" s="1801">
        <f>'Expenditures 15-22'!K63-SUM('Expenditures 15-22'!G63,'Expenditures 15-22'!I63)+'Expenditures 15-22'!D268-E10</f>
        <v>30643.660000000003</v>
      </c>
      <c r="F30" s="1799"/>
      <c r="G30" s="1801">
        <f>'Expenditures 15-22'!K63-SUM('Expenditures 15-22'!G63,'Expenditures 15-22'!I63)+'Expenditures 15-22'!D268-E10</f>
        <v>30643.660000000003</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-118503</v>
      </c>
      <c r="F40" s="1799"/>
      <c r="G40" s="1803">
        <f>-'Contracts Paid in CY 29'!G141</f>
        <v>-118503</v>
      </c>
    </row>
    <row r="41" spans="1:7" ht="12" customHeight="1" x14ac:dyDescent="0.2">
      <c r="A41" s="995" t="s">
        <v>156</v>
      </c>
      <c r="B41" s="996"/>
      <c r="C41" s="997"/>
      <c r="D41" s="1803">
        <f>SUM(D19:D39)</f>
        <v>109909</v>
      </c>
      <c r="E41" s="1803">
        <f>SUM(E19:E40)</f>
        <v>1381157.66</v>
      </c>
      <c r="F41" s="1803">
        <f>SUM(F19:F39)</f>
        <v>252183</v>
      </c>
      <c r="G41" s="1803">
        <f>SUM(G19:G40)</f>
        <v>1238883.6599999999</v>
      </c>
    </row>
    <row r="42" spans="1:7" x14ac:dyDescent="0.2">
      <c r="A42" s="984"/>
      <c r="B42" s="162"/>
      <c r="C42" s="998"/>
      <c r="D42" s="2303" t="s">
        <v>522</v>
      </c>
      <c r="E42" s="2304"/>
      <c r="F42" s="999" t="s">
        <v>523</v>
      </c>
      <c r="G42" s="1000"/>
    </row>
    <row r="43" spans="1:7" ht="12" customHeight="1" x14ac:dyDescent="0.2">
      <c r="A43" s="984"/>
      <c r="B43" s="162"/>
      <c r="C43" s="998"/>
      <c r="D43" s="1804" t="s">
        <v>473</v>
      </c>
      <c r="E43" s="1805">
        <f>D41</f>
        <v>109909</v>
      </c>
      <c r="F43" s="1804" t="s">
        <v>473</v>
      </c>
      <c r="G43" s="1805">
        <f>F41</f>
        <v>252183</v>
      </c>
    </row>
    <row r="44" spans="1:7" ht="12" customHeight="1" x14ac:dyDescent="0.2">
      <c r="A44" s="984"/>
      <c r="B44" s="162"/>
      <c r="C44" s="998"/>
      <c r="D44" s="1804" t="s">
        <v>474</v>
      </c>
      <c r="E44" s="1805">
        <f>E41</f>
        <v>1381157.66</v>
      </c>
      <c r="F44" s="1804" t="s">
        <v>474</v>
      </c>
      <c r="G44" s="1805">
        <f>G41</f>
        <v>1238883.6599999999</v>
      </c>
    </row>
    <row r="45" spans="1:7" ht="12" customHeight="1" x14ac:dyDescent="0.2">
      <c r="A45" s="984"/>
      <c r="B45" s="162"/>
      <c r="C45" s="162"/>
      <c r="D45" s="1806" t="s">
        <v>1006</v>
      </c>
      <c r="E45" s="1807">
        <f>(E43/E44)</f>
        <v>7.9577446647184372E-2</v>
      </c>
      <c r="F45" s="1806" t="s">
        <v>1006</v>
      </c>
      <c r="G45" s="1807">
        <f>(G43/G44)</f>
        <v>0.20355664389019387</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2" t="s">
        <v>1379</v>
      </c>
      <c r="B1" s="2322"/>
      <c r="C1" s="2322"/>
      <c r="D1" s="2322"/>
      <c r="E1" s="2322"/>
      <c r="F1" s="2322"/>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23" t="s">
        <v>1546</v>
      </c>
      <c r="B5" s="2324"/>
      <c r="C5" s="2325"/>
      <c r="D5" s="2325"/>
      <c r="E5" s="2325"/>
      <c r="F5" s="2325"/>
    </row>
    <row r="6" spans="1:10" ht="12" customHeight="1" x14ac:dyDescent="0.25">
      <c r="A6" s="1847"/>
      <c r="B6" s="1848"/>
      <c r="C6" s="2326" t="str">
        <f>COVER!A17</f>
        <v>Limestone Walters CCSD 316</v>
      </c>
      <c r="D6" s="2326"/>
      <c r="E6" s="2326"/>
      <c r="F6" s="1849"/>
    </row>
    <row r="7" spans="1:10" ht="11.25" customHeight="1" thickBot="1" x14ac:dyDescent="0.3">
      <c r="A7" s="1847"/>
      <c r="B7" s="1848"/>
      <c r="C7" s="2327">
        <f>COVER!A13</f>
        <v>48072316004</v>
      </c>
      <c r="D7" s="2327"/>
      <c r="E7" s="2327"/>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t="s">
        <v>2070</v>
      </c>
      <c r="D12" s="1862" t="s">
        <v>2070</v>
      </c>
      <c r="E12" s="1865"/>
      <c r="F12" s="1864" t="s">
        <v>2084</v>
      </c>
      <c r="H12" s="1875">
        <f t="shared" ref="H12:H33" si="0">IF(C12="X",5,0)</f>
        <v>5</v>
      </c>
      <c r="I12" s="1875">
        <f t="shared" ref="I12:I33" si="1">IF(D12="X",5,0)</f>
        <v>5</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2070</v>
      </c>
      <c r="D14" s="1862" t="s">
        <v>2070</v>
      </c>
      <c r="E14" s="1865"/>
      <c r="F14" s="1864" t="s">
        <v>2083</v>
      </c>
      <c r="H14" s="1875">
        <f t="shared" si="0"/>
        <v>5</v>
      </c>
      <c r="I14" s="1875">
        <f t="shared" si="1"/>
        <v>5</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2070</v>
      </c>
      <c r="D16" s="1862" t="s">
        <v>2070</v>
      </c>
      <c r="E16" s="1865"/>
      <c r="F16" s="1864" t="s">
        <v>2082</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2081</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2070</v>
      </c>
      <c r="D30" s="1862" t="s">
        <v>2070</v>
      </c>
      <c r="E30" s="1865"/>
      <c r="F30" s="1864" t="s">
        <v>2080</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25</v>
      </c>
      <c r="I34" s="1875">
        <f>SUM(I11:I32)</f>
        <v>25</v>
      </c>
      <c r="J34" s="1875">
        <f>SUM(J11:J32)</f>
        <v>0</v>
      </c>
      <c r="K34" s="1875">
        <f>SUM(H34:J34)</f>
        <v>50</v>
      </c>
    </row>
    <row r="35" spans="1:11" ht="12" customHeight="1" x14ac:dyDescent="0.2">
      <c r="A35" s="1868" t="s">
        <v>1392</v>
      </c>
      <c r="B35" s="1869"/>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70"/>
      <c r="B39" s="1870"/>
      <c r="C39" s="1870"/>
      <c r="D39" s="1870"/>
      <c r="E39" s="1870"/>
      <c r="F39" s="1870"/>
    </row>
    <row r="40" spans="1:11" s="1867" customFormat="1" ht="12" customHeight="1" x14ac:dyDescent="0.25">
      <c r="A40" s="1871" t="s">
        <v>1391</v>
      </c>
      <c r="B40" s="1872"/>
      <c r="C40" s="2317"/>
      <c r="D40" s="2317"/>
      <c r="E40" s="2317"/>
      <c r="F40" s="2318"/>
      <c r="H40" s="1876"/>
      <c r="I40" s="1876"/>
      <c r="J40" s="1876"/>
      <c r="K40" s="1876"/>
    </row>
    <row r="41" spans="1:11" s="1867" customFormat="1" ht="12" customHeight="1" x14ac:dyDescent="0.25">
      <c r="A41" s="2319"/>
      <c r="B41" s="2320"/>
      <c r="C41" s="2320"/>
      <c r="D41" s="2320"/>
      <c r="E41" s="2320"/>
      <c r="F41" s="2321"/>
      <c r="H41" s="1876"/>
      <c r="I41" s="1876"/>
      <c r="J41" s="1876"/>
      <c r="K41" s="1876"/>
    </row>
    <row r="42" spans="1:11" s="1867" customFormat="1" ht="12" customHeight="1" x14ac:dyDescent="0.25">
      <c r="A42" s="2319"/>
      <c r="B42" s="2320"/>
      <c r="C42" s="2320"/>
      <c r="D42" s="2320"/>
      <c r="E42" s="2320"/>
      <c r="F42" s="2321"/>
      <c r="H42" s="1876"/>
      <c r="I42" s="1876"/>
      <c r="J42" s="1876"/>
      <c r="K42" s="1876"/>
    </row>
    <row r="43" spans="1:11" s="1867" customFormat="1" ht="15" x14ac:dyDescent="0.25">
      <c r="A43" s="2308"/>
      <c r="B43" s="2309"/>
      <c r="C43" s="2309"/>
      <c r="D43" s="2309"/>
      <c r="E43" s="2309"/>
      <c r="F43" s="2310"/>
      <c r="H43" s="1876"/>
      <c r="I43" s="1876"/>
      <c r="J43" s="1876"/>
      <c r="K43" s="1876"/>
    </row>
    <row r="44" spans="1:11" s="1867" customFormat="1" ht="12" hidden="1" customHeight="1" x14ac:dyDescent="0.25">
      <c r="A44" s="2308"/>
      <c r="B44" s="2309"/>
      <c r="C44" s="2309"/>
      <c r="D44" s="2309"/>
      <c r="E44" s="2309"/>
      <c r="F44" s="231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5" t="str">
        <f>COVER!A17</f>
        <v>Limestone Walters CCSD 316</v>
      </c>
      <c r="J6" s="2336"/>
      <c r="Q6" s="1661"/>
    </row>
    <row r="7" spans="1:17" x14ac:dyDescent="0.2">
      <c r="A7" s="2337" t="s">
        <v>869</v>
      </c>
      <c r="B7" s="2338"/>
      <c r="C7" s="2338"/>
      <c r="D7" s="2338"/>
      <c r="E7" s="2339"/>
      <c r="F7" s="1014"/>
      <c r="G7" s="1006"/>
      <c r="H7" s="1013" t="s">
        <v>372</v>
      </c>
      <c r="I7" s="2340">
        <f>COVER!A13</f>
        <v>48072316004</v>
      </c>
      <c r="J7" s="2340"/>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1" t="s">
        <v>481</v>
      </c>
      <c r="B11" s="2342"/>
      <c r="C11" s="234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144251</v>
      </c>
      <c r="F12" s="1036"/>
      <c r="G12" s="1808">
        <f t="shared" ref="G12:G18" si="0">SUM(E12:F12)</f>
        <v>144251</v>
      </c>
      <c r="H12" s="1037">
        <v>151464</v>
      </c>
      <c r="I12" s="1036"/>
      <c r="J12" s="1808">
        <f t="shared" ref="J12:J18" si="1">SUM(H12:I12)</f>
        <v>151464</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4" t="s">
        <v>7</v>
      </c>
      <c r="C18" s="2345"/>
      <c r="D18" s="2346"/>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144251</v>
      </c>
      <c r="F19" s="1810">
        <f t="shared" si="2"/>
        <v>0</v>
      </c>
      <c r="G19" s="1810">
        <f t="shared" si="2"/>
        <v>144251</v>
      </c>
      <c r="H19" s="1810">
        <f t="shared" si="2"/>
        <v>151464</v>
      </c>
      <c r="I19" s="1810">
        <f t="shared" si="2"/>
        <v>0</v>
      </c>
      <c r="J19" s="1810">
        <f t="shared" si="2"/>
        <v>151464</v>
      </c>
    </row>
    <row r="20" spans="1:10" ht="13.5" thickTop="1" x14ac:dyDescent="0.2">
      <c r="A20" s="1032">
        <v>9</v>
      </c>
      <c r="B20" s="2347" t="s">
        <v>1981</v>
      </c>
      <c r="C20" s="2347"/>
      <c r="D20" s="2348"/>
      <c r="E20" s="1043"/>
      <c r="F20" s="1043"/>
      <c r="G20" s="1043"/>
      <c r="H20" s="1043"/>
      <c r="I20" s="1043"/>
      <c r="J20" s="1811">
        <f>IF(AND(G19&gt;0,J19&gt;0),(((J19-G19)/G19)),"Enter Budget Data")</f>
        <v>5.0003119562429379E-2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1033</v>
      </c>
      <c r="D27" s="1049"/>
      <c r="E27" s="1050"/>
      <c r="F27" s="2349" t="s">
        <v>1509</v>
      </c>
      <c r="G27" s="2349"/>
    </row>
    <row r="28" spans="1:10" ht="28.5" customHeight="1" x14ac:dyDescent="0.2">
      <c r="B28" s="1044"/>
      <c r="C28" s="2351"/>
      <c r="D28" s="2351"/>
      <c r="E28" s="1051"/>
      <c r="F28" s="2351"/>
      <c r="G28" s="2351"/>
    </row>
    <row r="29" spans="1:10" x14ac:dyDescent="0.2">
      <c r="B29" s="1044"/>
      <c r="C29" s="1052" t="s">
        <v>1561</v>
      </c>
      <c r="E29" s="1053"/>
      <c r="F29" s="2350" t="s">
        <v>1510</v>
      </c>
      <c r="G29" s="235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1983</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882</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2112</v>
      </c>
    </row>
    <row r="6" spans="1:2" x14ac:dyDescent="0.2">
      <c r="A6" s="1065">
        <v>2</v>
      </c>
      <c r="B6" s="329" t="s">
        <v>2113</v>
      </c>
    </row>
    <row r="7" spans="1:2" x14ac:dyDescent="0.2">
      <c r="A7" s="1065">
        <v>3</v>
      </c>
      <c r="B7" s="329" t="s">
        <v>2114</v>
      </c>
    </row>
    <row r="8" spans="1:2" x14ac:dyDescent="0.2">
      <c r="A8" s="1065"/>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Limestone Walters CCSD 316</v>
      </c>
    </row>
    <row r="65" spans="2:2" x14ac:dyDescent="0.2">
      <c r="B65" s="1067">
        <f>COVER!A13</f>
        <v>48072316004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4" t="s">
        <v>1685</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1987</v>
      </c>
      <c r="B2" s="2366"/>
      <c r="C2" s="2366"/>
      <c r="D2" s="2366"/>
      <c r="E2" s="2366"/>
      <c r="F2" s="2367"/>
      <c r="G2" s="1071"/>
      <c r="H2" s="1071"/>
    </row>
    <row r="3" spans="1:8" ht="57" customHeight="1" x14ac:dyDescent="0.2">
      <c r="A3" s="2368" t="s">
        <v>1686</v>
      </c>
      <c r="B3" s="2369"/>
      <c r="C3" s="2369"/>
      <c r="D3" s="2369"/>
      <c r="E3" s="2369"/>
      <c r="F3" s="2370"/>
      <c r="G3" s="1071"/>
      <c r="H3" s="1071"/>
    </row>
    <row r="4" spans="1:8" ht="14.25" customHeight="1" x14ac:dyDescent="0.2">
      <c r="A4" s="2374" t="s">
        <v>1988</v>
      </c>
      <c r="B4" s="2375"/>
      <c r="C4" s="2375"/>
      <c r="D4" s="2375"/>
      <c r="E4" s="2375"/>
      <c r="F4" s="2376"/>
      <c r="G4" s="1071"/>
      <c r="H4" s="1071"/>
    </row>
    <row r="5" spans="1:8" ht="14.25" customHeight="1" x14ac:dyDescent="0.2">
      <c r="A5" s="2377" t="s">
        <v>1984</v>
      </c>
      <c r="B5" s="2378"/>
      <c r="C5" s="2378"/>
      <c r="D5" s="2378"/>
      <c r="E5" s="2378"/>
      <c r="F5" s="2379"/>
      <c r="G5" s="1071"/>
      <c r="H5" s="1071"/>
    </row>
    <row r="6" spans="1:8" s="1072" customFormat="1" ht="41.25" customHeight="1" x14ac:dyDescent="0.2">
      <c r="A6" s="2371" t="s">
        <v>1691</v>
      </c>
      <c r="B6" s="2372"/>
      <c r="C6" s="2372"/>
      <c r="D6" s="2372"/>
      <c r="E6" s="2372"/>
      <c r="F6" s="2373"/>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1458034</v>
      </c>
      <c r="C8" s="1812">
        <f>'Acct Summary 7-8'!D8</f>
        <v>137593</v>
      </c>
      <c r="D8" s="1812">
        <f>'Acct Summary 7-8'!F8</f>
        <v>148706</v>
      </c>
      <c r="E8" s="1812">
        <f>'Acct Summary 7-8'!I8</f>
        <v>6557</v>
      </c>
      <c r="F8" s="1812">
        <f>SUM(B8:E8)</f>
        <v>1750890</v>
      </c>
    </row>
    <row r="9" spans="1:8" s="1076" customFormat="1" ht="14.25" customHeight="1" thickBot="1" x14ac:dyDescent="0.25">
      <c r="A9" s="1075" t="s">
        <v>1369</v>
      </c>
      <c r="B9" s="1813">
        <f>'Acct Summary 7-8'!C17</f>
        <v>1591261</v>
      </c>
      <c r="C9" s="1813">
        <f>'Acct Summary 7-8'!D17</f>
        <v>116425</v>
      </c>
      <c r="D9" s="1813">
        <f>'Acct Summary 7-8'!F17</f>
        <v>131463</v>
      </c>
      <c r="E9" s="1812"/>
      <c r="F9" s="1812">
        <f>SUM(B9:E9)</f>
        <v>1839149</v>
      </c>
    </row>
    <row r="10" spans="1:8" s="1076" customFormat="1" ht="14.25" thickTop="1" thickBot="1" x14ac:dyDescent="0.25">
      <c r="A10" s="1077" t="s">
        <v>1370</v>
      </c>
      <c r="B10" s="1814">
        <f>(B8-B9)</f>
        <v>-133227</v>
      </c>
      <c r="C10" s="1814">
        <f>(C8-C9)</f>
        <v>21168</v>
      </c>
      <c r="D10" s="1814">
        <f>(D8-D9)</f>
        <v>17243</v>
      </c>
      <c r="E10" s="1813">
        <f>(E8-E9)</f>
        <v>6557</v>
      </c>
      <c r="F10" s="1815">
        <f>SUM(F8-F9)</f>
        <v>-88259</v>
      </c>
    </row>
    <row r="11" spans="1:8" s="1076" customFormat="1" ht="14.25" thickTop="1" thickBot="1" x14ac:dyDescent="0.25">
      <c r="A11" s="1078" t="s">
        <v>1985</v>
      </c>
      <c r="B11" s="1816">
        <f>'Acct Summary 7-8'!C81</f>
        <v>873079</v>
      </c>
      <c r="C11" s="1816">
        <f>'Acct Summary 7-8'!D81</f>
        <v>313461</v>
      </c>
      <c r="D11" s="1816">
        <f>'Acct Summary 7-8'!F81</f>
        <v>189949</v>
      </c>
      <c r="E11" s="1816">
        <f>'Acct Summary 7-8'!I81</f>
        <v>127511</v>
      </c>
      <c r="F11" s="1817">
        <f>SUM(B11:E11)</f>
        <v>1504000</v>
      </c>
    </row>
    <row r="12" spans="1:8" ht="16.5" customHeight="1" thickTop="1" x14ac:dyDescent="0.2">
      <c r="A12" s="1079"/>
      <c r="B12" s="1080"/>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1"/>
      <c r="B13" s="1082"/>
      <c r="C13" s="2359"/>
      <c r="D13" s="2360"/>
      <c r="E13" s="2360"/>
      <c r="F13" s="2361"/>
      <c r="H13" s="1071"/>
    </row>
    <row r="14" spans="1:8" ht="19.5" customHeight="1" x14ac:dyDescent="0.2">
      <c r="A14" s="1081"/>
      <c r="B14" s="1082"/>
      <c r="C14" s="2359"/>
      <c r="D14" s="2360"/>
      <c r="E14" s="2360"/>
      <c r="F14" s="2361"/>
      <c r="H14" s="1071"/>
    </row>
    <row r="15" spans="1:8" ht="17.25" customHeight="1" x14ac:dyDescent="0.2">
      <c r="A15" s="1081"/>
      <c r="B15" s="1082"/>
      <c r="C15" s="2362"/>
      <c r="D15" s="2363"/>
      <c r="E15" s="2363"/>
      <c r="F15" s="2364"/>
      <c r="H15" s="1071"/>
    </row>
    <row r="16" spans="1:8" s="310" customFormat="1" ht="51.75" hidden="1" customHeight="1" x14ac:dyDescent="0.2">
      <c r="A16" s="2358" t="s">
        <v>1687</v>
      </c>
      <c r="B16" s="2358"/>
      <c r="C16" s="2358"/>
      <c r="D16" s="2358"/>
      <c r="E16" s="2358"/>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0" t="s">
        <v>665</v>
      </c>
      <c r="B3" s="2381"/>
      <c r="C3" s="2381"/>
      <c r="D3" s="2382"/>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1" t="s">
        <v>1504</v>
      </c>
      <c r="D7" s="2392"/>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3" t="s">
        <v>1008</v>
      </c>
      <c r="B15" s="2384"/>
      <c r="C15" s="2384"/>
      <c r="D15" s="2385"/>
    </row>
    <row r="16" spans="1:4" s="665" customFormat="1" ht="24" customHeight="1" x14ac:dyDescent="0.2">
      <c r="A16" s="2386" t="s">
        <v>663</v>
      </c>
      <c r="B16" s="2387"/>
      <c r="C16" s="2387"/>
      <c r="D16" s="2388"/>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5" t="s">
        <v>314</v>
      </c>
      <c r="D21" s="2396"/>
    </row>
    <row r="22" spans="1:10" ht="12.75" x14ac:dyDescent="0.2">
      <c r="A22" s="1136"/>
      <c r="B22" s="1137">
        <v>2</v>
      </c>
      <c r="C22" s="2393" t="s">
        <v>1524</v>
      </c>
      <c r="D22" s="2394"/>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7" t="s">
        <v>536</v>
      </c>
      <c r="D43" s="2398"/>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9" t="s">
        <v>784</v>
      </c>
      <c r="D56" s="2390"/>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9" t="s">
        <v>1696</v>
      </c>
      <c r="D70" s="2390"/>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48072316004</v>
      </c>
    </row>
    <row r="3" spans="1:2" x14ac:dyDescent="0.2">
      <c r="A3" t="s">
        <v>956</v>
      </c>
      <c r="B3" s="138" t="str">
        <f>COVER!A15</f>
        <v>Peoria</v>
      </c>
    </row>
    <row r="4" spans="1:2" x14ac:dyDescent="0.2">
      <c r="A4" t="s">
        <v>1007</v>
      </c>
      <c r="B4" s="138" t="str">
        <f>COVER!A17</f>
        <v>Limestone Walters CCSD 316</v>
      </c>
    </row>
    <row r="5" spans="1:2" x14ac:dyDescent="0.2">
      <c r="A5" t="s">
        <v>704</v>
      </c>
      <c r="B5" s="138" t="str">
        <f>COVER!A38</f>
        <v>Tim Dotson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Yes</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849117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873079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873079</v>
      </c>
      <c r="D92" s="2" t="str">
        <f t="shared" si="0"/>
        <v>Error?</v>
      </c>
    </row>
    <row r="93" spans="1:4" x14ac:dyDescent="0.2">
      <c r="A93" s="5">
        <v>32</v>
      </c>
      <c r="B93" s="138">
        <f>'Assets-Liab 5-6'!C41</f>
        <v>873079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305180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313461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313461</v>
      </c>
      <c r="D123" s="2" t="str">
        <f t="shared" si="0"/>
        <v>Error?</v>
      </c>
    </row>
    <row r="124" spans="1:4" x14ac:dyDescent="0.2">
      <c r="A124" s="5">
        <v>63</v>
      </c>
      <c r="B124" s="138">
        <f>'Assets-Liab 5-6'!D41</f>
        <v>313461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186676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189949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189949</v>
      </c>
      <c r="D170" s="2" t="str">
        <f t="shared" si="1"/>
        <v>Error?</v>
      </c>
    </row>
    <row r="171" spans="1:4" x14ac:dyDescent="0.2">
      <c r="A171" s="5">
        <v>110</v>
      </c>
      <c r="B171" s="138">
        <f>'Assets-Liab 5-6'!F41</f>
        <v>189949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17420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20561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20561</v>
      </c>
      <c r="D189" s="2" t="str">
        <f t="shared" si="1"/>
        <v>Error?</v>
      </c>
    </row>
    <row r="190" spans="1:4" x14ac:dyDescent="0.2">
      <c r="A190" s="5">
        <v>129</v>
      </c>
      <c r="B190" s="138">
        <f>'Assets-Liab 5-6'!G41</f>
        <v>20561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53354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58923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58923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1461081</v>
      </c>
      <c r="D274" s="2" t="str">
        <f t="shared" si="3"/>
        <v>Error?</v>
      </c>
    </row>
    <row r="275" spans="1:4" x14ac:dyDescent="0.2">
      <c r="A275" s="5">
        <v>214</v>
      </c>
      <c r="B275" s="138">
        <f>'Assets-Liab 5-6'!M18</f>
        <v>495815</v>
      </c>
      <c r="D275" s="2" t="str">
        <f t="shared" si="3"/>
        <v>Error?</v>
      </c>
    </row>
    <row r="276" spans="1:4" x14ac:dyDescent="0.2">
      <c r="A276" s="5">
        <v>215</v>
      </c>
      <c r="B276" s="138">
        <f>'Assets-Liab 5-6'!M19</f>
        <v>189010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2165906</v>
      </c>
      <c r="C279" s="2" t="s">
        <v>573</v>
      </c>
      <c r="D279" s="2" t="str">
        <f t="shared" si="3"/>
        <v>Error?</v>
      </c>
    </row>
    <row r="280" spans="1:4" x14ac:dyDescent="0.2">
      <c r="A280" s="5">
        <v>219</v>
      </c>
      <c r="B280" s="138">
        <f>'Assets-Liab 5-6'!M40</f>
        <v>2165906</v>
      </c>
      <c r="D280" s="2" t="str">
        <f t="shared" si="3"/>
        <v>Error?</v>
      </c>
    </row>
    <row r="281" spans="1:4" x14ac:dyDescent="0.2">
      <c r="A281" s="5">
        <v>220</v>
      </c>
      <c r="B281" s="138">
        <f>'Assets-Liab 5-6'!M41</f>
        <v>2165906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675488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42228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728296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15028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15028</v>
      </c>
      <c r="C731" s="2" t="s">
        <v>573</v>
      </c>
      <c r="D731" s="2" t="str">
        <f t="shared" si="10"/>
        <v>Error?</v>
      </c>
    </row>
    <row r="732" spans="1:4" x14ac:dyDescent="0.2">
      <c r="A732" s="5">
        <v>671</v>
      </c>
      <c r="B732" s="138">
        <f>'Expenditures 15-22'!C49</f>
        <v>2600</v>
      </c>
      <c r="D732" s="2" t="str">
        <f t="shared" si="10"/>
        <v>Error?</v>
      </c>
    </row>
    <row r="733" spans="1:4" x14ac:dyDescent="0.2">
      <c r="A733" s="5">
        <v>672</v>
      </c>
      <c r="B733" s="138">
        <f>'Expenditures 15-22'!C50</f>
        <v>112732</v>
      </c>
      <c r="D733" s="2" t="str">
        <f t="shared" si="10"/>
        <v>Error?</v>
      </c>
    </row>
    <row r="734" spans="1:4" x14ac:dyDescent="0.2">
      <c r="A734" s="5">
        <v>673</v>
      </c>
      <c r="B734" s="138">
        <f>'Expenditures 15-22'!C53</f>
        <v>115332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78834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21586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100420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230780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959076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68676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459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69135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31079</v>
      </c>
      <c r="D791" s="2" t="str">
        <f t="shared" si="11"/>
        <v>Error?</v>
      </c>
    </row>
    <row r="792" spans="1:4" x14ac:dyDescent="0.2">
      <c r="A792" s="5">
        <v>731</v>
      </c>
      <c r="B792" s="138">
        <f>'Expenditures 15-22'!D53</f>
        <v>31079</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15684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15684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46763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115898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51127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3230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14441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68970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40374</v>
      </c>
      <c r="D844" s="2" t="str">
        <f t="shared" si="12"/>
        <v>Error?</v>
      </c>
    </row>
    <row r="845" spans="1:4" x14ac:dyDescent="0.2">
      <c r="A845" s="5">
        <v>784</v>
      </c>
      <c r="B845" s="138">
        <f>'Expenditures 15-22'!E45</f>
        <v>870</v>
      </c>
      <c r="D845" s="2" t="str">
        <f t="shared" si="12"/>
        <v>Error?</v>
      </c>
    </row>
    <row r="846" spans="1:4" x14ac:dyDescent="0.2">
      <c r="A846" s="5">
        <v>785</v>
      </c>
      <c r="B846" s="138">
        <f>'Expenditures 15-22'!E46</f>
        <v>3630</v>
      </c>
      <c r="D846" s="2" t="str">
        <f t="shared" si="12"/>
        <v>Error?</v>
      </c>
    </row>
    <row r="847" spans="1:4" x14ac:dyDescent="0.2">
      <c r="A847" s="5">
        <v>786</v>
      </c>
      <c r="B847" s="138">
        <f>'Expenditures 15-22'!E47</f>
        <v>44874</v>
      </c>
      <c r="C847" s="2" t="s">
        <v>573</v>
      </c>
      <c r="D847" s="2" t="str">
        <f t="shared" si="12"/>
        <v>Error?</v>
      </c>
    </row>
    <row r="848" spans="1:4" x14ac:dyDescent="0.2">
      <c r="A848" s="5">
        <v>787</v>
      </c>
      <c r="B848" s="138">
        <f>'Expenditures 15-22'!E49</f>
        <v>26544</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26544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153</v>
      </c>
      <c r="D855" s="2" t="str">
        <f t="shared" si="12"/>
        <v>Error?</v>
      </c>
    </row>
    <row r="856" spans="1:4" x14ac:dyDescent="0.2">
      <c r="A856" s="5">
        <v>795</v>
      </c>
      <c r="B856" s="138">
        <f>'Expenditures 15-22'!E61</f>
        <v>11963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15399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86817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159332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23831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6173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30004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1441</v>
      </c>
      <c r="D902" s="2" t="str">
        <f t="shared" si="13"/>
        <v>Error?</v>
      </c>
    </row>
    <row r="903" spans="1:4" x14ac:dyDescent="0.2">
      <c r="A903" s="5">
        <v>842</v>
      </c>
      <c r="B903" s="138">
        <f>'Expenditures 15-22'!F45</f>
        <v>10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1451</v>
      </c>
      <c r="C905" s="2" t="s">
        <v>573</v>
      </c>
      <c r="D905" s="2" t="str">
        <f t="shared" si="13"/>
        <v>Error?</v>
      </c>
    </row>
    <row r="906" spans="1:4" x14ac:dyDescent="0.2">
      <c r="A906" s="5">
        <v>845</v>
      </c>
      <c r="B906" s="138">
        <f>'Expenditures 15-22'!F49</f>
        <v>4704</v>
      </c>
      <c r="D906" s="2" t="str">
        <f t="shared" si="13"/>
        <v>Error?</v>
      </c>
    </row>
    <row r="907" spans="1:4" x14ac:dyDescent="0.2">
      <c r="A907" s="5">
        <v>846</v>
      </c>
      <c r="B907" s="138">
        <f>'Expenditures 15-22'!F50</f>
        <v>440</v>
      </c>
      <c r="D907" s="2" t="str">
        <f t="shared" si="13"/>
        <v>Error?</v>
      </c>
    </row>
    <row r="908" spans="1:4" x14ac:dyDescent="0.2">
      <c r="A908" s="5">
        <v>847</v>
      </c>
      <c r="B908" s="138">
        <f>'Expenditures 15-22'!F53</f>
        <v>5144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24072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39397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63469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70064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100068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12706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12706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20372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20372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20372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33078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223809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223809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831828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3230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63301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909111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62187</v>
      </c>
      <c r="C1116" s="2" t="s">
        <v>573</v>
      </c>
      <c r="D1116" s="2" t="str">
        <f t="shared" si="16"/>
        <v>Error?</v>
      </c>
    </row>
    <row r="1117" spans="1:4" x14ac:dyDescent="0.2">
      <c r="A1117" s="5">
        <v>1056</v>
      </c>
      <c r="B1117" s="138">
        <f>'Expenditures 15-22'!K45</f>
        <v>15908</v>
      </c>
      <c r="C1117" s="2" t="s">
        <v>573</v>
      </c>
      <c r="D1117" s="2" t="str">
        <f t="shared" si="16"/>
        <v>Error?</v>
      </c>
    </row>
    <row r="1118" spans="1:4" x14ac:dyDescent="0.2">
      <c r="A1118" s="5">
        <v>1057</v>
      </c>
      <c r="B1118" s="138">
        <f>'Expenditures 15-22'!K46</f>
        <v>3630</v>
      </c>
      <c r="C1118" s="2" t="s">
        <v>573</v>
      </c>
      <c r="D1118" s="2" t="str">
        <f t="shared" si="16"/>
        <v>Error?</v>
      </c>
    </row>
    <row r="1119" spans="1:4" x14ac:dyDescent="0.2">
      <c r="A1119" s="5">
        <v>1058</v>
      </c>
      <c r="B1119" s="138">
        <f>'Expenditures 15-22'!K47</f>
        <v>81725</v>
      </c>
      <c r="C1119" s="2" t="s">
        <v>573</v>
      </c>
      <c r="D1119" s="2" t="str">
        <f t="shared" si="16"/>
        <v>Error?</v>
      </c>
    </row>
    <row r="1120" spans="1:4" x14ac:dyDescent="0.2">
      <c r="A1120" s="5">
        <v>1059</v>
      </c>
      <c r="B1120" s="138">
        <f>'Expenditures 15-22'!K49</f>
        <v>33848</v>
      </c>
      <c r="C1120" s="2" t="s">
        <v>573</v>
      </c>
      <c r="D1120" s="2" t="str">
        <f t="shared" si="16"/>
        <v>Error?</v>
      </c>
    </row>
    <row r="1121" spans="1:4" x14ac:dyDescent="0.2">
      <c r="A1121" s="5">
        <v>1060</v>
      </c>
      <c r="B1121" s="138">
        <f>'Expenditures 15-22'!K50</f>
        <v>144251</v>
      </c>
      <c r="C1121" s="2" t="s">
        <v>573</v>
      </c>
      <c r="D1121" s="2" t="str">
        <f t="shared" si="16"/>
        <v>Error?</v>
      </c>
    </row>
    <row r="1122" spans="1:4" x14ac:dyDescent="0.2">
      <c r="A1122" s="5">
        <v>1061</v>
      </c>
      <c r="B1122" s="138">
        <f>'Expenditures 15-22'!K53</f>
        <v>178099</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94671</v>
      </c>
      <c r="C1127" s="2" t="s">
        <v>573</v>
      </c>
      <c r="D1127" s="2" t="str">
        <f t="shared" si="16"/>
        <v>Error?</v>
      </c>
    </row>
    <row r="1128" spans="1:4" x14ac:dyDescent="0.2">
      <c r="A1128" s="5">
        <v>1067</v>
      </c>
      <c r="B1128" s="138">
        <f>'Expenditures 15-22'!K61</f>
        <v>36035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64266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194972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454796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227354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1591261</v>
      </c>
      <c r="C1152" s="2" t="s">
        <v>573</v>
      </c>
      <c r="D1152" s="2" t="str">
        <f t="shared" si="17"/>
        <v>Error?</v>
      </c>
    </row>
    <row r="1153" spans="1:4" x14ac:dyDescent="0.2">
      <c r="A1153" s="5">
        <v>1092</v>
      </c>
      <c r="B1153" s="138">
        <f>'Expenditures 15-22'!K115</f>
        <v>-133227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15748</v>
      </c>
      <c r="D1221" s="2" t="str">
        <f t="shared" si="18"/>
        <v>Error?</v>
      </c>
    </row>
    <row r="1222" spans="1:4" x14ac:dyDescent="0.2">
      <c r="A1222" s="10">
        <v>1161</v>
      </c>
      <c r="D1222" s="2" t="str">
        <f t="shared" si="18"/>
        <v>OK</v>
      </c>
    </row>
    <row r="1223" spans="1:4" x14ac:dyDescent="0.2">
      <c r="A1223" s="5">
        <v>1162</v>
      </c>
      <c r="B1223" s="138">
        <f>'Expenditures 15-22'!C127</f>
        <v>15748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15748</v>
      </c>
      <c r="C1225" s="2" t="s">
        <v>573</v>
      </c>
      <c r="D1225" s="2" t="str">
        <f t="shared" si="18"/>
        <v>Error?</v>
      </c>
    </row>
    <row r="1226" spans="1:4" x14ac:dyDescent="0.2">
      <c r="A1226" s="5">
        <v>1165</v>
      </c>
      <c r="B1226" s="138">
        <f>'Expenditures 15-22'!C151</f>
        <v>15748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78711</v>
      </c>
      <c r="D1237" s="2" t="str">
        <f t="shared" si="18"/>
        <v>Error?</v>
      </c>
    </row>
    <row r="1238" spans="1:4" x14ac:dyDescent="0.2">
      <c r="A1238" s="10">
        <v>1177</v>
      </c>
      <c r="D1238" s="2" t="str">
        <f t="shared" si="18"/>
        <v>OK</v>
      </c>
    </row>
    <row r="1239" spans="1:4" x14ac:dyDescent="0.2">
      <c r="A1239" s="5">
        <v>1178</v>
      </c>
      <c r="B1239" s="138">
        <f>'Expenditures 15-22'!E127</f>
        <v>78711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78711</v>
      </c>
      <c r="C1241" s="2" t="s">
        <v>573</v>
      </c>
      <c r="D1241" s="2" t="str">
        <f t="shared" si="18"/>
        <v>Error?</v>
      </c>
    </row>
    <row r="1242" spans="1:4" x14ac:dyDescent="0.2">
      <c r="A1242" s="5">
        <v>1181</v>
      </c>
      <c r="B1242" s="138">
        <f>'Expenditures 15-22'!E151</f>
        <v>78711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10575</v>
      </c>
      <c r="D1245" s="2" t="str">
        <f t="shared" si="18"/>
        <v>Error?</v>
      </c>
    </row>
    <row r="1246" spans="1:4" x14ac:dyDescent="0.2">
      <c r="A1246" s="10">
        <v>1185</v>
      </c>
      <c r="D1246" s="2" t="str">
        <f t="shared" si="18"/>
        <v>OK</v>
      </c>
    </row>
    <row r="1247" spans="1:4" x14ac:dyDescent="0.2">
      <c r="A1247" s="5">
        <v>1186</v>
      </c>
      <c r="B1247" s="138">
        <f>'Expenditures 15-22'!F127</f>
        <v>10575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10575</v>
      </c>
      <c r="C1249" s="2" t="s">
        <v>573</v>
      </c>
      <c r="D1249" s="2" t="str">
        <f t="shared" si="18"/>
        <v>Error?</v>
      </c>
    </row>
    <row r="1250" spans="1:4" x14ac:dyDescent="0.2">
      <c r="A1250" s="5">
        <v>1189</v>
      </c>
      <c r="B1250" s="138">
        <f>'Expenditures 15-22'!F151</f>
        <v>10575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11391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11391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11391</v>
      </c>
      <c r="C1258" s="2" t="s">
        <v>573</v>
      </c>
      <c r="D1258" s="2" t="str">
        <f t="shared" si="18"/>
        <v>Error?</v>
      </c>
    </row>
    <row r="1259" spans="1:4" x14ac:dyDescent="0.2">
      <c r="A1259" s="5">
        <v>1198</v>
      </c>
      <c r="B1259" s="138">
        <f>'Expenditures 15-22'!G151</f>
        <v>11391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116425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116425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116425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116425</v>
      </c>
      <c r="C1288" s="2" t="s">
        <v>573</v>
      </c>
      <c r="D1288" s="2" t="str">
        <f t="shared" si="19"/>
        <v>Error?</v>
      </c>
    </row>
    <row r="1289" spans="1:4" x14ac:dyDescent="0.2">
      <c r="A1289" s="5">
        <v>1228</v>
      </c>
      <c r="B1289" s="138">
        <f>'Expenditures 15-22'!K152</f>
        <v>21168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947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947</v>
      </c>
      <c r="C1339" s="2" t="s">
        <v>573</v>
      </c>
      <c r="D1339" s="2" t="str">
        <f t="shared" si="19"/>
        <v>Error?</v>
      </c>
    </row>
    <row r="1340" spans="1:4" x14ac:dyDescent="0.2">
      <c r="A1340" s="5">
        <v>1279</v>
      </c>
      <c r="B1340" s="138">
        <f>'Expenditures 15-22'!C210</f>
        <v>947</v>
      </c>
      <c r="C1340" s="2" t="s">
        <v>573</v>
      </c>
      <c r="D1340" s="2" t="str">
        <f t="shared" si="19"/>
        <v>Error?</v>
      </c>
    </row>
    <row r="1341" spans="1:4" x14ac:dyDescent="0.2">
      <c r="A1341" s="5">
        <v>1280</v>
      </c>
      <c r="B1341" s="138">
        <f>'Expenditures 15-22'!D182</f>
        <v>262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262</v>
      </c>
      <c r="C1345" s="2" t="s">
        <v>573</v>
      </c>
      <c r="D1345" s="2" t="str">
        <f t="shared" si="20"/>
        <v>Error?</v>
      </c>
    </row>
    <row r="1346" spans="1:4" x14ac:dyDescent="0.2">
      <c r="A1346" s="5">
        <v>1285</v>
      </c>
      <c r="B1346" s="138">
        <f>'Expenditures 15-22'!D210</f>
        <v>262</v>
      </c>
      <c r="C1346" s="2" t="s">
        <v>573</v>
      </c>
      <c r="D1346" s="2" t="str">
        <f t="shared" si="20"/>
        <v>Error?</v>
      </c>
    </row>
    <row r="1347" spans="1:4" x14ac:dyDescent="0.2">
      <c r="A1347" s="5">
        <v>1286</v>
      </c>
      <c r="B1347" s="138">
        <f>'Expenditures 15-22'!E182</f>
        <v>130254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130254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130254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131463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131463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131463</v>
      </c>
      <c r="C1388" s="2" t="s">
        <v>573</v>
      </c>
      <c r="D1388" s="2" t="str">
        <f t="shared" si="20"/>
        <v>Error?</v>
      </c>
    </row>
    <row r="1389" spans="1:4" x14ac:dyDescent="0.2">
      <c r="A1389" s="5">
        <v>1328</v>
      </c>
      <c r="B1389" s="138">
        <f>'Expenditures 15-22'!K211</f>
        <v>17243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1470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18672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2898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2898</v>
      </c>
      <c r="C1421" s="2" t="s">
        <v>573</v>
      </c>
      <c r="D1421" s="2" t="str">
        <f t="shared" si="21"/>
        <v>Error?</v>
      </c>
    </row>
    <row r="1422" spans="1:4" x14ac:dyDescent="0.2">
      <c r="A1422" s="5">
        <v>1361</v>
      </c>
      <c r="B1422" s="138">
        <f>'Expenditures 15-22'!D245</f>
        <v>532</v>
      </c>
      <c r="D1422" s="2" t="str">
        <f t="shared" si="21"/>
        <v>Error?</v>
      </c>
    </row>
    <row r="1423" spans="1:4" x14ac:dyDescent="0.2">
      <c r="A1423" s="5">
        <v>1362</v>
      </c>
      <c r="B1423" s="138">
        <f>'Expenditures 15-22'!D246</f>
        <v>1575</v>
      </c>
      <c r="D1423" s="2" t="str">
        <f t="shared" si="21"/>
        <v>Error?</v>
      </c>
    </row>
    <row r="1424" spans="1:4" x14ac:dyDescent="0.2">
      <c r="A1424" s="5">
        <v>1363</v>
      </c>
      <c r="B1424" s="138">
        <f>'Expenditures 15-22'!D257</f>
        <v>2107</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15238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1205</v>
      </c>
      <c r="D1431" s="2" t="str">
        <f t="shared" si="21"/>
        <v>Error?</v>
      </c>
    </row>
    <row r="1432" spans="1:4" x14ac:dyDescent="0.2">
      <c r="A1432" s="5">
        <v>1371</v>
      </c>
      <c r="B1432" s="138">
        <f>'Expenditures 15-22'!D267</f>
        <v>13</v>
      </c>
      <c r="D1432" s="2" t="str">
        <f t="shared" si="21"/>
        <v>Error?</v>
      </c>
    </row>
    <row r="1433" spans="1:4" x14ac:dyDescent="0.2">
      <c r="A1433" s="5">
        <v>1372</v>
      </c>
      <c r="B1433" s="138">
        <f>'Expenditures 15-22'!D268</f>
        <v>3670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20126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25131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47811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1470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18672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2898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2898</v>
      </c>
      <c r="C1485" s="2" t="s">
        <v>573</v>
      </c>
      <c r="D1485" s="2" t="str">
        <f t="shared" si="22"/>
        <v>Error?</v>
      </c>
    </row>
    <row r="1486" spans="1:4" x14ac:dyDescent="0.2">
      <c r="A1486" s="5">
        <v>1425</v>
      </c>
      <c r="B1486" s="138">
        <f>'Expenditures 15-22'!K245</f>
        <v>532</v>
      </c>
      <c r="C1486" s="2" t="s">
        <v>573</v>
      </c>
      <c r="D1486" s="2" t="str">
        <f t="shared" si="22"/>
        <v>Error?</v>
      </c>
    </row>
    <row r="1487" spans="1:4" x14ac:dyDescent="0.2">
      <c r="A1487" s="5">
        <v>1426</v>
      </c>
      <c r="B1487" s="138">
        <f>'Expenditures 15-22'!K246</f>
        <v>1575</v>
      </c>
      <c r="C1487" s="2" t="s">
        <v>573</v>
      </c>
      <c r="D1487" s="2" t="str">
        <f t="shared" si="22"/>
        <v>Error?</v>
      </c>
    </row>
    <row r="1488" spans="1:4" x14ac:dyDescent="0.2">
      <c r="A1488" s="5">
        <v>1427</v>
      </c>
      <c r="B1488" s="138">
        <f>'Expenditures 15-22'!K257</f>
        <v>2107</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15238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1205</v>
      </c>
      <c r="C1495" s="2" t="s">
        <v>573</v>
      </c>
      <c r="D1495" s="2" t="str">
        <f t="shared" si="22"/>
        <v>Error?</v>
      </c>
    </row>
    <row r="1496" spans="1:4" x14ac:dyDescent="0.2">
      <c r="A1496" s="5">
        <v>1435</v>
      </c>
      <c r="B1496" s="138">
        <f>'Expenditures 15-22'!K267</f>
        <v>13</v>
      </c>
      <c r="C1496" s="2" t="s">
        <v>573</v>
      </c>
      <c r="D1496" s="2" t="str">
        <f t="shared" si="22"/>
        <v>Error?</v>
      </c>
    </row>
    <row r="1497" spans="1:4" x14ac:dyDescent="0.2">
      <c r="A1497" s="5">
        <v>1436</v>
      </c>
      <c r="B1497" s="138">
        <f>'Expenditures 15-22'!K268</f>
        <v>3670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20126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25131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47811</v>
      </c>
      <c r="C1517" s="2" t="s">
        <v>573</v>
      </c>
      <c r="D1517" s="2" t="str">
        <f t="shared" si="22"/>
        <v>Error?</v>
      </c>
    </row>
    <row r="1518" spans="1:4" x14ac:dyDescent="0.2">
      <c r="A1518" s="5">
        <v>1457</v>
      </c>
      <c r="B1518" s="138">
        <f>'Expenditures 15-22'!K296</f>
        <v>-13283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50300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50300</v>
      </c>
      <c r="C1547" s="2" t="s">
        <v>573</v>
      </c>
      <c r="D1547" s="2" t="str">
        <f t="shared" si="23"/>
        <v>Error?</v>
      </c>
    </row>
    <row r="1548" spans="1:4" x14ac:dyDescent="0.2">
      <c r="A1548" s="5">
        <v>1487</v>
      </c>
      <c r="B1548" s="138">
        <f>'Expenditures 15-22'!G312</f>
        <v>50300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50300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50300</v>
      </c>
      <c r="C1559" s="2" t="s">
        <v>573</v>
      </c>
      <c r="D1559" s="2" t="str">
        <f t="shared" si="23"/>
        <v>Error?</v>
      </c>
    </row>
    <row r="1560" spans="1:4" x14ac:dyDescent="0.2">
      <c r="A1560" s="5">
        <v>1499</v>
      </c>
      <c r="B1560" s="138">
        <f>'Expenditures 15-22'!K312</f>
        <v>50300</v>
      </c>
      <c r="C1560" s="2" t="s">
        <v>573</v>
      </c>
      <c r="D1560" s="2" t="str">
        <f t="shared" si="23"/>
        <v>Error?</v>
      </c>
    </row>
    <row r="1561" spans="1:4" x14ac:dyDescent="0.2">
      <c r="A1561" s="5">
        <v>1500</v>
      </c>
      <c r="B1561" s="138">
        <f>'Expenditures 15-22'!K313</f>
        <v>12629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1006306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873079</v>
      </c>
      <c r="C1630" s="2" t="s">
        <v>573</v>
      </c>
      <c r="D1630" s="2" t="str">
        <f t="shared" si="24"/>
        <v>Error?</v>
      </c>
    </row>
    <row r="1631" spans="1:4" x14ac:dyDescent="0.2">
      <c r="A1631" s="5">
        <v>1570</v>
      </c>
      <c r="B1631" s="138">
        <f>'Acct Summary 7-8'!D79</f>
        <v>292293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313461</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172706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189949</v>
      </c>
      <c r="C1672" s="2" t="s">
        <v>573</v>
      </c>
      <c r="D1672" s="2" t="str">
        <f t="shared" si="25"/>
        <v>Error?</v>
      </c>
    </row>
    <row r="1673" spans="1:4" x14ac:dyDescent="0.2">
      <c r="A1673" s="5">
        <v>1612</v>
      </c>
      <c r="B1673" s="138">
        <f>'Acct Summary 7-8'!G79</f>
        <v>33844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20561</v>
      </c>
      <c r="C1686" s="2" t="s">
        <v>573</v>
      </c>
      <c r="D1686" s="2" t="str">
        <f t="shared" si="25"/>
        <v>Error?</v>
      </c>
    </row>
    <row r="1687" spans="1:4" x14ac:dyDescent="0.2">
      <c r="A1687" s="5">
        <v>1626</v>
      </c>
      <c r="B1687" s="138">
        <f>'Acct Summary 7-8'!H79</f>
        <v>46294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58923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1170761</v>
      </c>
      <c r="C1744" s="2" t="s">
        <v>573</v>
      </c>
      <c r="D1744" s="2" t="str">
        <f t="shared" si="26"/>
        <v>Error?</v>
      </c>
    </row>
    <row r="1745" spans="1:5" x14ac:dyDescent="0.2">
      <c r="A1745" s="5">
        <v>1684</v>
      </c>
      <c r="B1745" s="138">
        <f>'Tax Sched 23'!B5</f>
        <v>100946</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65735</v>
      </c>
      <c r="C1747" s="2" t="s">
        <v>573</v>
      </c>
      <c r="D1747" s="2" t="str">
        <f t="shared" si="26"/>
        <v>Error?</v>
      </c>
    </row>
    <row r="1748" spans="1:5" x14ac:dyDescent="0.2">
      <c r="A1748" s="5">
        <v>1687</v>
      </c>
      <c r="B1748" s="138">
        <f>'Tax Sched 23'!B8</f>
        <v>15087</v>
      </c>
      <c r="C1748" s="2" t="s">
        <v>573</v>
      </c>
      <c r="D1748" s="2" t="str">
        <f t="shared" si="26"/>
        <v>Error?</v>
      </c>
    </row>
    <row r="1749" spans="1:5" x14ac:dyDescent="0.2">
      <c r="A1749" s="5">
        <v>1688</v>
      </c>
      <c r="B1749" s="138">
        <f>'Tax Sched 23'!B10</f>
        <v>5044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40298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10007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1433052</v>
      </c>
      <c r="C1759" s="2" t="s">
        <v>573</v>
      </c>
      <c r="D1759" s="2" t="str">
        <f t="shared" si="26"/>
        <v>Error?</v>
      </c>
    </row>
    <row r="1760" spans="1:5" x14ac:dyDescent="0.2">
      <c r="A1760" s="5">
        <v>1699</v>
      </c>
      <c r="B1760" s="138">
        <f>'Tax Sched 23'!D4</f>
        <v>1170761</v>
      </c>
      <c r="C1760" s="2" t="s">
        <v>573</v>
      </c>
      <c r="D1760" s="2" t="str">
        <f t="shared" si="26"/>
        <v>Error?</v>
      </c>
    </row>
    <row r="1761" spans="1:5" x14ac:dyDescent="0.2">
      <c r="A1761" s="5">
        <v>1700</v>
      </c>
      <c r="B1761" s="138">
        <f>'Tax Sched 23'!D5</f>
        <v>100946</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65735</v>
      </c>
      <c r="C1763" s="2" t="s">
        <v>573</v>
      </c>
      <c r="D1763" s="2" t="str">
        <f t="shared" si="26"/>
        <v>Error?</v>
      </c>
    </row>
    <row r="1764" spans="1:5" x14ac:dyDescent="0.2">
      <c r="A1764" s="5">
        <v>1703</v>
      </c>
      <c r="B1764" s="138">
        <f>'Tax Sched 23'!D8</f>
        <v>15087</v>
      </c>
      <c r="C1764" s="2" t="s">
        <v>573</v>
      </c>
      <c r="D1764" s="2" t="str">
        <f t="shared" si="26"/>
        <v>Error?</v>
      </c>
    </row>
    <row r="1765" spans="1:5" x14ac:dyDescent="0.2">
      <c r="A1765" s="5">
        <v>1704</v>
      </c>
      <c r="B1765" s="138">
        <f>'Tax Sched 23'!D10</f>
        <v>5044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40298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10007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1433052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1159343</v>
      </c>
      <c r="C1792" s="2" t="s">
        <v>573</v>
      </c>
      <c r="D1792" s="2" t="str">
        <f t="shared" si="27"/>
        <v>Error?</v>
      </c>
    </row>
    <row r="1793" spans="1:4" x14ac:dyDescent="0.2">
      <c r="A1793" s="5">
        <v>1732</v>
      </c>
      <c r="B1793" s="138">
        <f>'Tax Sched 23'!F5</f>
        <v>100001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65002</v>
      </c>
      <c r="C1795" s="2" t="s">
        <v>573</v>
      </c>
      <c r="D1795" s="2" t="str">
        <f t="shared" si="27"/>
        <v>Error?</v>
      </c>
    </row>
    <row r="1796" spans="1:4" x14ac:dyDescent="0.2">
      <c r="A1796" s="5">
        <v>1735</v>
      </c>
      <c r="B1796" s="138">
        <f>'Tax Sched 23'!F8</f>
        <v>10003</v>
      </c>
      <c r="C1796" s="2" t="s">
        <v>573</v>
      </c>
      <c r="D1796" s="2" t="str">
        <f t="shared" si="27"/>
        <v>Error?</v>
      </c>
    </row>
    <row r="1797" spans="1:4" x14ac:dyDescent="0.2">
      <c r="A1797" s="5">
        <v>1736</v>
      </c>
      <c r="B1797" s="138">
        <f>'Tax Sched 23'!F10</f>
        <v>5004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35003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9909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1414269</v>
      </c>
      <c r="C1807" s="2" t="s">
        <v>573</v>
      </c>
      <c r="D1807" s="2" t="str">
        <f t="shared" si="27"/>
        <v>Error?</v>
      </c>
    </row>
    <row r="1808" spans="1:4" x14ac:dyDescent="0.2">
      <c r="A1808" s="5">
        <v>1747</v>
      </c>
      <c r="B1808" s="138">
        <f>'Tax Sched 23'!E4</f>
        <v>1159343</v>
      </c>
      <c r="D1808" s="2" t="str">
        <f t="shared" si="27"/>
        <v>Error?</v>
      </c>
    </row>
    <row r="1809" spans="1:4" x14ac:dyDescent="0.2">
      <c r="A1809" s="5">
        <v>1748</v>
      </c>
      <c r="B1809" s="138">
        <f>'Tax Sched 23'!E5</f>
        <v>100001</v>
      </c>
      <c r="D1809" s="2" t="str">
        <f t="shared" si="27"/>
        <v>Error?</v>
      </c>
    </row>
    <row r="1810" spans="1:4" x14ac:dyDescent="0.2">
      <c r="A1810" s="5">
        <v>1749</v>
      </c>
      <c r="B1810" s="138">
        <f>'Tax Sched 23'!E6</f>
        <v>0</v>
      </c>
      <c r="D1810" s="2" t="str">
        <f t="shared" si="27"/>
        <v>Error?</v>
      </c>
    </row>
    <row r="1811" spans="1:4" x14ac:dyDescent="0.2">
      <c r="A1811" s="5">
        <v>1750</v>
      </c>
      <c r="B1811" s="138">
        <f>'Tax Sched 23'!E7</f>
        <v>65002</v>
      </c>
      <c r="D1811" s="2" t="str">
        <f t="shared" si="27"/>
        <v>Error?</v>
      </c>
    </row>
    <row r="1812" spans="1:4" x14ac:dyDescent="0.2">
      <c r="A1812" s="5">
        <v>1751</v>
      </c>
      <c r="B1812" s="138">
        <f>'Tax Sched 23'!E8</f>
        <v>10003</v>
      </c>
      <c r="D1812" s="2" t="str">
        <f t="shared" si="27"/>
        <v>Error?</v>
      </c>
    </row>
    <row r="1813" spans="1:4" x14ac:dyDescent="0.2">
      <c r="A1813" s="5">
        <v>1752</v>
      </c>
      <c r="B1813" s="138">
        <f>'Tax Sched 23'!E10</f>
        <v>5004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35003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9909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1414269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10007</v>
      </c>
      <c r="D1972" s="2" t="str">
        <f t="shared" si="29"/>
        <v>Error?</v>
      </c>
    </row>
    <row r="1973" spans="1:5" x14ac:dyDescent="0.2">
      <c r="A1973" s="5">
        <v>1912</v>
      </c>
      <c r="B1973" s="138">
        <f>'Rest Tax Levies-Tort Im 25'!H6</f>
        <v>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10016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10016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1405642</v>
      </c>
      <c r="D2009" s="2" t="str">
        <f t="shared" si="30"/>
        <v>Error?</v>
      </c>
    </row>
    <row r="2010" spans="1:4" x14ac:dyDescent="0.2">
      <c r="A2010" s="5">
        <v>1949</v>
      </c>
      <c r="B2010" s="138">
        <f>'Cap Outlay Deprec 26'!C10</f>
        <v>495815</v>
      </c>
      <c r="D2010" s="2" t="str">
        <f t="shared" si="30"/>
        <v>Error?</v>
      </c>
    </row>
    <row r="2011" spans="1:4" x14ac:dyDescent="0.2">
      <c r="A2011" s="5">
        <v>1950</v>
      </c>
      <c r="B2011" s="138">
        <f>'Cap Outlay Deprec 26'!C12</f>
        <v>168038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2089495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55439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39330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94769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18358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18358</v>
      </c>
      <c r="C2025" s="2" t="s">
        <v>573</v>
      </c>
      <c r="D2025" s="2" t="str">
        <f t="shared" si="30"/>
        <v>Error?</v>
      </c>
    </row>
    <row r="2026" spans="1:4" x14ac:dyDescent="0.2">
      <c r="A2026" s="5">
        <v>1965</v>
      </c>
      <c r="B2026" s="138">
        <f>'Cap Outlay Deprec 26'!F5</f>
        <v>20000</v>
      </c>
      <c r="C2026" s="2" t="s">
        <v>573</v>
      </c>
      <c r="D2026" s="2" t="str">
        <f t="shared" si="30"/>
        <v>Error?</v>
      </c>
    </row>
    <row r="2027" spans="1:4" x14ac:dyDescent="0.2">
      <c r="A2027" s="5">
        <v>1966</v>
      </c>
      <c r="B2027" s="138">
        <f>'Cap Outlay Deprec 26'!F8</f>
        <v>1461081</v>
      </c>
      <c r="C2027" s="2" t="s">
        <v>573</v>
      </c>
      <c r="D2027" s="2" t="str">
        <f t="shared" si="30"/>
        <v>Error?</v>
      </c>
    </row>
    <row r="2028" spans="1:4" x14ac:dyDescent="0.2">
      <c r="A2028" s="5">
        <v>1967</v>
      </c>
      <c r="B2028" s="138">
        <f>'Cap Outlay Deprec 26'!F10</f>
        <v>495815</v>
      </c>
      <c r="C2028" s="2" t="s">
        <v>573</v>
      </c>
      <c r="D2028" s="2" t="str">
        <f t="shared" si="30"/>
        <v>Error?</v>
      </c>
    </row>
    <row r="2029" spans="1:4" x14ac:dyDescent="0.2">
      <c r="A2029" s="5">
        <v>1968</v>
      </c>
      <c r="B2029" s="138">
        <f>'Cap Outlay Deprec 26'!F12</f>
        <v>189010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2165906</v>
      </c>
      <c r="C2031" s="2" t="s">
        <v>573</v>
      </c>
      <c r="D2031" s="2" t="str">
        <f t="shared" si="30"/>
        <v>Error?</v>
      </c>
    </row>
    <row r="2032" spans="1:4" x14ac:dyDescent="0.2">
      <c r="A2032" s="10">
        <v>1971</v>
      </c>
      <c r="D2032" s="2" t="str">
        <f t="shared" si="30"/>
        <v>OK</v>
      </c>
    </row>
    <row r="2033" spans="1:4" x14ac:dyDescent="0.2">
      <c r="A2033" s="5">
        <v>1972</v>
      </c>
      <c r="B2033" s="138">
        <f>'Cap Outlay Deprec 26'!H8</f>
        <v>505402</v>
      </c>
      <c r="D2033" s="2" t="str">
        <f t="shared" si="30"/>
        <v>Error?</v>
      </c>
    </row>
    <row r="2034" spans="1:4" x14ac:dyDescent="0.2">
      <c r="A2034" s="5">
        <v>1973</v>
      </c>
      <c r="B2034" s="138">
        <f>'Cap Outlay Deprec 26'!H10</f>
        <v>134826</v>
      </c>
      <c r="D2034" s="2" t="str">
        <f t="shared" si="30"/>
        <v>Error?</v>
      </c>
    </row>
    <row r="2035" spans="1:4" x14ac:dyDescent="0.2">
      <c r="A2035" s="5">
        <v>1974</v>
      </c>
      <c r="B2035" s="138">
        <f>'Cap Outlay Deprec 26'!H12</f>
        <v>87835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728063</v>
      </c>
      <c r="C2037" s="2" t="s">
        <v>573</v>
      </c>
      <c r="D2037" s="2" t="str">
        <f t="shared" si="30"/>
        <v>Error?</v>
      </c>
    </row>
    <row r="2038" spans="1:4" x14ac:dyDescent="0.2">
      <c r="A2038" s="10">
        <v>1977</v>
      </c>
      <c r="D2038" s="2" t="str">
        <f t="shared" si="30"/>
        <v>OK</v>
      </c>
    </row>
    <row r="2039" spans="1:4" x14ac:dyDescent="0.2">
      <c r="A2039" s="5">
        <v>1978</v>
      </c>
      <c r="B2039" s="138">
        <f>'Cap Outlay Deprec 26'!I8</f>
        <v>25830</v>
      </c>
      <c r="D2039" s="2" t="str">
        <f t="shared" si="30"/>
        <v>Error?</v>
      </c>
    </row>
    <row r="2040" spans="1:4" x14ac:dyDescent="0.2">
      <c r="A2040" s="5">
        <v>1979</v>
      </c>
      <c r="B2040" s="138">
        <f>'Cap Outlay Deprec 26'!I10</f>
        <v>24107</v>
      </c>
      <c r="D2040" s="2" t="str">
        <f t="shared" si="30"/>
        <v>Error?</v>
      </c>
    </row>
    <row r="2041" spans="1:4" x14ac:dyDescent="0.2">
      <c r="A2041" s="5">
        <v>1980</v>
      </c>
      <c r="B2041" s="138">
        <f>'Cap Outlay Deprec 26'!I12</f>
        <v>18898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68835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18358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18358</v>
      </c>
      <c r="C2049" s="2" t="s">
        <v>573</v>
      </c>
      <c r="D2049" s="2" t="str">
        <f t="shared" si="31"/>
        <v>Error?</v>
      </c>
    </row>
    <row r="2050" spans="1:4" x14ac:dyDescent="0.2">
      <c r="A2050" s="10">
        <v>1989</v>
      </c>
      <c r="D2050" s="2" t="str">
        <f t="shared" si="31"/>
        <v>OK</v>
      </c>
    </row>
    <row r="2051" spans="1:4" x14ac:dyDescent="0.2">
      <c r="A2051" s="5">
        <v>1990</v>
      </c>
      <c r="B2051" s="138">
        <f>'Cap Outlay Deprec 26'!K8</f>
        <v>531232</v>
      </c>
      <c r="C2051" s="2" t="s">
        <v>573</v>
      </c>
      <c r="D2051" s="2" t="str">
        <f t="shared" si="31"/>
        <v>Error?</v>
      </c>
    </row>
    <row r="2052" spans="1:4" x14ac:dyDescent="0.2">
      <c r="A2052" s="5">
        <v>1991</v>
      </c>
      <c r="B2052" s="138">
        <f>'Cap Outlay Deprec 26'!K10</f>
        <v>158933</v>
      </c>
      <c r="C2052" s="2" t="s">
        <v>573</v>
      </c>
      <c r="D2052" s="2" t="str">
        <f t="shared" si="31"/>
        <v>Error?</v>
      </c>
    </row>
    <row r="2053" spans="1:4" x14ac:dyDescent="0.2">
      <c r="A2053" s="5">
        <v>1992</v>
      </c>
      <c r="B2053" s="138">
        <f>'Cap Outlay Deprec 26'!K12</f>
        <v>88375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778540</v>
      </c>
      <c r="C2055" s="2" t="s">
        <v>573</v>
      </c>
      <c r="D2055" s="2" t="str">
        <f t="shared" si="31"/>
        <v>Error?</v>
      </c>
    </row>
    <row r="2056" spans="1:4" x14ac:dyDescent="0.2">
      <c r="A2056" s="5">
        <v>1995</v>
      </c>
      <c r="B2056" s="138">
        <f>'Cap Outlay Deprec 26'!L5</f>
        <v>20000</v>
      </c>
      <c r="C2056" s="2" t="s">
        <v>573</v>
      </c>
      <c r="D2056" s="2" t="str">
        <f t="shared" si="31"/>
        <v>Error?</v>
      </c>
    </row>
    <row r="2057" spans="1:4" x14ac:dyDescent="0.2">
      <c r="A2057" s="5">
        <v>1996</v>
      </c>
      <c r="B2057" s="138">
        <f>'Cap Outlay Deprec 26'!L8</f>
        <v>929849</v>
      </c>
      <c r="C2057" s="2" t="s">
        <v>573</v>
      </c>
      <c r="D2057" s="2" t="str">
        <f t="shared" si="31"/>
        <v>Error?</v>
      </c>
    </row>
    <row r="2058" spans="1:4" x14ac:dyDescent="0.2">
      <c r="A2058" s="5">
        <v>1997</v>
      </c>
      <c r="B2058" s="138">
        <f>'Cap Outlay Deprec 26'!L10</f>
        <v>336882</v>
      </c>
      <c r="C2058" s="2" t="s">
        <v>573</v>
      </c>
      <c r="D2058" s="2" t="str">
        <f t="shared" si="31"/>
        <v>Error?</v>
      </c>
    </row>
    <row r="2059" spans="1:4" x14ac:dyDescent="0.2">
      <c r="A2059" s="5">
        <v>1998</v>
      </c>
      <c r="B2059" s="138">
        <f>'Cap Outlay Deprec 26'!L12</f>
        <v>100635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1387366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3545</v>
      </c>
      <c r="C2088" s="2" t="s">
        <v>573</v>
      </c>
      <c r="D2088" s="2" t="str">
        <f t="shared" si="31"/>
        <v>Error?</v>
      </c>
    </row>
    <row r="2089" spans="1:4" x14ac:dyDescent="0.2">
      <c r="A2089" s="5">
        <v>2028</v>
      </c>
      <c r="B2089" s="138">
        <f>'Expenditures 15-22'!K92</f>
        <v>223809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58923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1281349</v>
      </c>
      <c r="C2551" s="2" t="s">
        <v>573</v>
      </c>
      <c r="D2551" s="2" t="str">
        <f t="shared" si="38"/>
        <v>Error?</v>
      </c>
    </row>
    <row r="2552" spans="1:4" x14ac:dyDescent="0.2">
      <c r="A2552" s="10">
        <v>2491</v>
      </c>
      <c r="D2552" s="2" t="str">
        <f t="shared" si="38"/>
        <v>OK</v>
      </c>
    </row>
    <row r="2553" spans="1:4" x14ac:dyDescent="0.2">
      <c r="A2553" s="5">
        <v>2492</v>
      </c>
      <c r="B2553" s="138">
        <f>'Acct Summary 7-8'!C6</f>
        <v>119605</v>
      </c>
      <c r="C2553" s="2" t="s">
        <v>573</v>
      </c>
      <c r="D2553" s="2" t="str">
        <f t="shared" si="38"/>
        <v>Error?</v>
      </c>
    </row>
    <row r="2554" spans="1:4" x14ac:dyDescent="0.2">
      <c r="A2554" s="5">
        <v>2493</v>
      </c>
      <c r="B2554" s="138">
        <f>'Acct Summary 7-8'!C7</f>
        <v>57080</v>
      </c>
      <c r="C2554" s="2" t="s">
        <v>573</v>
      </c>
      <c r="D2554" s="2" t="str">
        <f t="shared" si="38"/>
        <v>Error?</v>
      </c>
    </row>
    <row r="2555" spans="1:4" x14ac:dyDescent="0.2">
      <c r="A2555" s="5">
        <v>2494</v>
      </c>
      <c r="B2555" s="138">
        <f>'Acct Summary 7-8'!C8</f>
        <v>1458034</v>
      </c>
      <c r="C2555" s="2" t="s">
        <v>573</v>
      </c>
      <c r="D2555" s="2" t="str">
        <f t="shared" si="38"/>
        <v>Error?</v>
      </c>
    </row>
    <row r="2556" spans="1:4" x14ac:dyDescent="0.2">
      <c r="A2556" s="5">
        <v>2495</v>
      </c>
      <c r="B2556" s="138">
        <f>'Acct Summary 7-8'!C12</f>
        <v>909111</v>
      </c>
      <c r="C2556" s="2" t="s">
        <v>573</v>
      </c>
      <c r="D2556" s="2" t="str">
        <f t="shared" si="38"/>
        <v>Error?</v>
      </c>
    </row>
    <row r="2557" spans="1:4" x14ac:dyDescent="0.2">
      <c r="A2557" s="5">
        <v>2496</v>
      </c>
      <c r="B2557" s="138">
        <f>'Acct Summary 7-8'!C13</f>
        <v>454796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227354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1591261</v>
      </c>
      <c r="C2561" s="2" t="s">
        <v>573</v>
      </c>
      <c r="D2561" s="2" t="str">
        <f t="shared" si="39"/>
        <v>Error?</v>
      </c>
    </row>
    <row r="2562" spans="1:4" x14ac:dyDescent="0.2">
      <c r="A2562" s="5">
        <v>2501</v>
      </c>
      <c r="B2562" s="138">
        <f>'Acct Summary 7-8'!C20</f>
        <v>-133227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130523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7070</v>
      </c>
      <c r="C2567" s="2" t="s">
        <v>573</v>
      </c>
      <c r="D2567" s="2" t="str">
        <f t="shared" si="39"/>
        <v>Error?</v>
      </c>
    </row>
    <row r="2568" spans="1:4" x14ac:dyDescent="0.2">
      <c r="A2568" s="5">
        <v>2507</v>
      </c>
      <c r="B2568" s="138">
        <f>'Acct Summary 7-8'!D8</f>
        <v>137593</v>
      </c>
      <c r="C2568" s="2" t="s">
        <v>573</v>
      </c>
      <c r="D2568" s="2" t="str">
        <f t="shared" si="39"/>
        <v>Error?</v>
      </c>
    </row>
    <row r="2569" spans="1:4" x14ac:dyDescent="0.2">
      <c r="A2569" s="5">
        <v>2508</v>
      </c>
      <c r="B2569" s="138">
        <f>'Acct Summary 7-8'!D13</f>
        <v>116425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116425</v>
      </c>
      <c r="C2573" s="2" t="s">
        <v>573</v>
      </c>
      <c r="D2573" s="2" t="str">
        <f t="shared" si="39"/>
        <v>Error?</v>
      </c>
    </row>
    <row r="2574" spans="1:4" x14ac:dyDescent="0.2">
      <c r="A2574" s="5">
        <v>2513</v>
      </c>
      <c r="B2574" s="138">
        <f>'Acct Summary 7-8'!D20</f>
        <v>21168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67980</v>
      </c>
      <c r="C2591" s="2" t="s">
        <v>573</v>
      </c>
      <c r="D2591" s="2" t="str">
        <f t="shared" si="39"/>
        <v>Error?</v>
      </c>
    </row>
    <row r="2592" spans="1:4" x14ac:dyDescent="0.2">
      <c r="A2592" s="10">
        <v>2531</v>
      </c>
      <c r="D2592" s="2" t="str">
        <f t="shared" si="39"/>
        <v>OK</v>
      </c>
    </row>
    <row r="2593" spans="1:4" x14ac:dyDescent="0.2">
      <c r="A2593" s="5">
        <v>2532</v>
      </c>
      <c r="B2593" s="138">
        <f>'Acct Summary 7-8'!F6</f>
        <v>80726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148706</v>
      </c>
      <c r="C2595" s="2" t="s">
        <v>573</v>
      </c>
      <c r="D2595" s="2" t="str">
        <f t="shared" si="39"/>
        <v>Error?</v>
      </c>
    </row>
    <row r="2596" spans="1:4" x14ac:dyDescent="0.2">
      <c r="A2596" s="5">
        <v>2535</v>
      </c>
      <c r="B2596" s="138">
        <f>'Acct Summary 7-8'!F13</f>
        <v>131463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131463</v>
      </c>
      <c r="C2600" s="2" t="s">
        <v>573</v>
      </c>
      <c r="D2600" s="2" t="str">
        <f t="shared" si="39"/>
        <v>Error?</v>
      </c>
    </row>
    <row r="2601" spans="1:4" x14ac:dyDescent="0.2">
      <c r="A2601" s="5">
        <v>2540</v>
      </c>
      <c r="B2601" s="138">
        <f>'Acct Summary 7-8'!F20</f>
        <v>17243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34528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34528</v>
      </c>
      <c r="C2606" s="2" t="s">
        <v>573</v>
      </c>
      <c r="D2606" s="2" t="str">
        <f t="shared" si="39"/>
        <v>Error?</v>
      </c>
    </row>
    <row r="2607" spans="1:4" x14ac:dyDescent="0.2">
      <c r="A2607" s="5">
        <v>2546</v>
      </c>
      <c r="B2607" s="138">
        <f>'Acct Summary 7-8'!G12</f>
        <v>18672</v>
      </c>
      <c r="C2607" s="2" t="s">
        <v>573</v>
      </c>
      <c r="D2607" s="2" t="str">
        <f t="shared" si="39"/>
        <v>Error?</v>
      </c>
    </row>
    <row r="2608" spans="1:4" x14ac:dyDescent="0.2">
      <c r="A2608" s="5">
        <v>2547</v>
      </c>
      <c r="B2608" s="138">
        <f>'Acct Summary 7-8'!G13</f>
        <v>25131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47811</v>
      </c>
      <c r="C2612" s="2" t="s">
        <v>573</v>
      </c>
      <c r="D2612" s="2" t="str">
        <f t="shared" si="39"/>
        <v>Error?</v>
      </c>
    </row>
    <row r="2613" spans="1:4" x14ac:dyDescent="0.2">
      <c r="A2613" s="5">
        <v>2552</v>
      </c>
      <c r="B2613" s="138">
        <f>'Acct Summary 7-8'!G20</f>
        <v>-13283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62929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62929</v>
      </c>
      <c r="C2658" s="2" t="s">
        <v>573</v>
      </c>
      <c r="D2658" s="2" t="str">
        <f t="shared" si="40"/>
        <v>Error?</v>
      </c>
    </row>
    <row r="2659" spans="1:4" x14ac:dyDescent="0.2">
      <c r="A2659" s="5">
        <v>2598</v>
      </c>
      <c r="B2659" s="138">
        <f>'Acct Summary 7-8'!H13</f>
        <v>50300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50300</v>
      </c>
      <c r="C2661" s="2" t="s">
        <v>573</v>
      </c>
      <c r="D2661" s="2" t="str">
        <f t="shared" si="40"/>
        <v>Error?</v>
      </c>
    </row>
    <row r="2662" spans="1:4" x14ac:dyDescent="0.2">
      <c r="A2662" s="5">
        <v>2601</v>
      </c>
      <c r="B2662" s="138">
        <f>'Acct Summary 7-8'!H20</f>
        <v>12629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3545</v>
      </c>
      <c r="C2789" s="2" t="s">
        <v>573</v>
      </c>
      <c r="D2789" s="2" t="str">
        <f t="shared" si="42"/>
        <v>Error?</v>
      </c>
    </row>
    <row r="2790" spans="1:4" x14ac:dyDescent="0.2">
      <c r="A2790" s="5">
        <v>2729</v>
      </c>
      <c r="B2790" s="138">
        <f>'Expenditures 15-22'!E102</f>
        <v>3545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127157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127511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44170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127511</v>
      </c>
      <c r="D2912" s="2" t="str">
        <f t="shared" si="44"/>
        <v>Error?</v>
      </c>
    </row>
    <row r="2913" spans="1:4" x14ac:dyDescent="0.2">
      <c r="A2913" s="5">
        <v>2852</v>
      </c>
      <c r="B2913" s="138">
        <f>'Assets-Liab 5-6'!I41</f>
        <v>127511</v>
      </c>
      <c r="C2913" s="2" t="s">
        <v>573</v>
      </c>
      <c r="D2913" s="2" t="str">
        <f t="shared" si="44"/>
        <v>Error?</v>
      </c>
    </row>
    <row r="2914" spans="1:4" x14ac:dyDescent="0.2">
      <c r="A2914" s="5">
        <v>2853</v>
      </c>
      <c r="B2914" s="138">
        <f>'Assets-Liab 5-6'!L33</f>
        <v>42070</v>
      </c>
      <c r="D2914" s="2" t="str">
        <f t="shared" si="44"/>
        <v>Error?</v>
      </c>
    </row>
    <row r="2915" spans="1:4" x14ac:dyDescent="0.2">
      <c r="A2915" s="10">
        <v>2854</v>
      </c>
      <c r="D2915" s="2" t="str">
        <f t="shared" si="44"/>
        <v>OK</v>
      </c>
    </row>
    <row r="2916" spans="1:4" x14ac:dyDescent="0.2">
      <c r="A2916" s="5">
        <v>2855</v>
      </c>
      <c r="B2916" s="138">
        <f>'Assets-Liab 5-6'!L34</f>
        <v>42070</v>
      </c>
      <c r="C2916" s="2" t="s">
        <v>573</v>
      </c>
      <c r="D2916" s="2" t="str">
        <f t="shared" si="44"/>
        <v>Error?</v>
      </c>
    </row>
    <row r="2917" spans="1:4" x14ac:dyDescent="0.2">
      <c r="A2917" s="5">
        <v>2856</v>
      </c>
      <c r="B2917" s="138">
        <f>'Assets-Liab 5-6'!L41</f>
        <v>44170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3545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3545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2100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6557</v>
      </c>
      <c r="C3225" s="2" t="s">
        <v>573</v>
      </c>
      <c r="D3225" s="2" t="str">
        <f t="shared" si="49"/>
        <v>Error?</v>
      </c>
    </row>
    <row r="3226" spans="1:4" x14ac:dyDescent="0.2">
      <c r="A3226" s="5">
        <v>3165</v>
      </c>
      <c r="B3226" s="138">
        <f>'Acct Summary 7-8'!I8</f>
        <v>6557</v>
      </c>
      <c r="C3226" s="2" t="s">
        <v>573</v>
      </c>
      <c r="D3226" s="2" t="str">
        <f t="shared" si="49"/>
        <v>Error?</v>
      </c>
    </row>
    <row r="3227" spans="1:4" x14ac:dyDescent="0.2">
      <c r="A3227" s="5">
        <v>3166</v>
      </c>
      <c r="B3227" s="138">
        <f>'Acct Summary 7-8'!I20</f>
        <v>6557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-133227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21168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17243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-13283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12629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6557</v>
      </c>
      <c r="C3320" s="2" t="s">
        <v>573</v>
      </c>
      <c r="D3320" s="2" t="str">
        <f t="shared" si="50"/>
        <v>Error?</v>
      </c>
    </row>
    <row r="3321" spans="1:4" x14ac:dyDescent="0.2">
      <c r="A3321" s="5">
        <v>3260</v>
      </c>
      <c r="B3321" s="138">
        <f>'Acct Summary 7-8'!I79</f>
        <v>120954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127511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10580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10752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15730</v>
      </c>
      <c r="D3387" s="2" t="str">
        <f t="shared" si="51"/>
        <v>Error?</v>
      </c>
    </row>
    <row r="3388" spans="1:4" x14ac:dyDescent="0.2">
      <c r="A3388" s="5">
        <v>3327</v>
      </c>
      <c r="B3388" s="138">
        <f>'Expenditures 15-22'!D217</f>
        <v>1472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15730</v>
      </c>
      <c r="C3390" s="2" t="s">
        <v>573</v>
      </c>
      <c r="D3390" s="2" t="str">
        <f t="shared" si="51"/>
        <v>Error?</v>
      </c>
    </row>
    <row r="3391" spans="1:4" x14ac:dyDescent="0.2">
      <c r="A3391" s="5">
        <v>3330</v>
      </c>
      <c r="B3391" s="138">
        <f>'Expenditures 15-22'!K217</f>
        <v>1472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23962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8281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3273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5569</v>
      </c>
      <c r="D3425" s="2" t="str">
        <f t="shared" si="52"/>
        <v>Error?</v>
      </c>
    </row>
    <row r="3426" spans="1:4" x14ac:dyDescent="0.2">
      <c r="A3426" s="10">
        <v>3365</v>
      </c>
      <c r="D3426" s="2" t="str">
        <f t="shared" si="52"/>
        <v>OK</v>
      </c>
    </row>
    <row r="3427" spans="1:4" x14ac:dyDescent="0.2">
      <c r="A3427" s="5">
        <v>3366</v>
      </c>
      <c r="B3427" s="138">
        <f>'Assets-Liab 5-6'!I4</f>
        <v>354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44170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15087</v>
      </c>
      <c r="C3446" s="2" t="s">
        <v>573</v>
      </c>
      <c r="D3446" s="2" t="str">
        <f t="shared" si="52"/>
        <v>Error?</v>
      </c>
    </row>
    <row r="3447" spans="1:4" x14ac:dyDescent="0.2">
      <c r="A3447" s="5">
        <v>3386</v>
      </c>
      <c r="B3447" s="138">
        <f>'Tax Sched 23'!D16</f>
        <v>15087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20001</v>
      </c>
      <c r="C3449" s="2" t="s">
        <v>573</v>
      </c>
      <c r="D3449" s="2" t="str">
        <f t="shared" si="52"/>
        <v>Error?</v>
      </c>
    </row>
    <row r="3450" spans="1:4" x14ac:dyDescent="0.2">
      <c r="A3450" s="5">
        <v>3389</v>
      </c>
      <c r="B3450" s="138">
        <f>'Tax Sched 23'!E16</f>
        <v>20001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41989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43444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43444</v>
      </c>
      <c r="D3567" s="2" t="str">
        <f t="shared" si="54"/>
        <v>Error?</v>
      </c>
    </row>
    <row r="3568" spans="1:4" x14ac:dyDescent="0.2">
      <c r="A3568" s="5">
        <v>3507</v>
      </c>
      <c r="B3568" s="138">
        <f>'Assets-Liab 5-6'!K41</f>
        <v>43444</v>
      </c>
      <c r="C3568" s="2" t="s">
        <v>573</v>
      </c>
      <c r="D3568" s="2" t="str">
        <f t="shared" si="54"/>
        <v>Error?</v>
      </c>
    </row>
    <row r="3569" spans="1:4" x14ac:dyDescent="0.2">
      <c r="A3569" s="5">
        <v>3508</v>
      </c>
      <c r="B3569" s="138">
        <f>'Acct Summary 7-8'!K4</f>
        <v>502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502</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502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502</v>
      </c>
      <c r="C3588" s="2" t="s">
        <v>573</v>
      </c>
      <c r="D3588" s="2" t="str">
        <f t="shared" si="55"/>
        <v>Error?</v>
      </c>
    </row>
    <row r="3589" spans="1:4" x14ac:dyDescent="0.2">
      <c r="A3589" s="5">
        <v>3528</v>
      </c>
      <c r="B3589" s="138">
        <f>'Acct Summary 7-8'!K79</f>
        <v>42942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43444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4008</v>
      </c>
      <c r="D3721" s="2" t="str">
        <f t="shared" si="57"/>
        <v>Error?</v>
      </c>
    </row>
    <row r="3722" spans="1:4" x14ac:dyDescent="0.2">
      <c r="A3722" s="5">
        <v>3661</v>
      </c>
      <c r="B3722" s="138">
        <f>'Expenditures 15-22'!D285</f>
        <v>4008</v>
      </c>
      <c r="C3722" s="2" t="s">
        <v>573</v>
      </c>
      <c r="D3722" s="2" t="str">
        <f t="shared" si="57"/>
        <v>Error?</v>
      </c>
    </row>
    <row r="3723" spans="1:4" x14ac:dyDescent="0.2">
      <c r="A3723" s="5">
        <v>3662</v>
      </c>
      <c r="B3723" s="138">
        <f>'Expenditures 15-22'!K283</f>
        <v>4008</v>
      </c>
      <c r="C3723" s="2" t="s">
        <v>573</v>
      </c>
      <c r="D3723" s="2" t="str">
        <f t="shared" si="57"/>
        <v>Error?</v>
      </c>
    </row>
    <row r="3724" spans="1:4" x14ac:dyDescent="0.2">
      <c r="A3724" s="5">
        <v>3663</v>
      </c>
      <c r="B3724" s="138">
        <f>'Expenditures 15-22'!K285</f>
        <v>4008</v>
      </c>
      <c r="C3724" s="2" t="s">
        <v>573</v>
      </c>
      <c r="D3724" s="2" t="str">
        <f t="shared" si="57"/>
        <v>Error?</v>
      </c>
    </row>
    <row r="3725" spans="1:4" x14ac:dyDescent="0.2">
      <c r="A3725" s="5">
        <v>3664</v>
      </c>
      <c r="B3725" s="138">
        <f>'Tax Sched 23'!B13</f>
        <v>10087</v>
      </c>
      <c r="C3725" s="2" t="s">
        <v>573</v>
      </c>
      <c r="D3725" s="2" t="str">
        <f t="shared" si="57"/>
        <v>Error?</v>
      </c>
    </row>
    <row r="3726" spans="1:4" x14ac:dyDescent="0.2">
      <c r="A3726" s="5">
        <v>3665</v>
      </c>
      <c r="B3726" s="138">
        <f>'Tax Sched 23'!D13</f>
        <v>10087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10003</v>
      </c>
      <c r="C3728" s="2" t="s">
        <v>573</v>
      </c>
      <c r="D3728" s="2" t="str">
        <f t="shared" si="57"/>
        <v>Error?</v>
      </c>
    </row>
    <row r="3729" spans="1:4" x14ac:dyDescent="0.2">
      <c r="A3729" s="5">
        <v>3668</v>
      </c>
      <c r="B3729" s="138">
        <f>'Tax Sched 23'!E13</f>
        <v>10003</v>
      </c>
      <c r="D3729" s="2" t="str">
        <f t="shared" si="57"/>
        <v>Error?</v>
      </c>
    </row>
    <row r="3730" spans="1:4" x14ac:dyDescent="0.2">
      <c r="A3730" s="5">
        <v>3669</v>
      </c>
      <c r="B3730" s="138">
        <f>'ICR Computation 30'!E10</f>
        <v>37292.339999999997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534339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1992373</v>
      </c>
      <c r="C4122" s="2" t="s">
        <v>573</v>
      </c>
      <c r="D4122" s="2" t="str">
        <f t="shared" si="63"/>
        <v>Error?</v>
      </c>
    </row>
    <row r="4123" spans="1:4" x14ac:dyDescent="0.2">
      <c r="A4123" s="5">
        <v>4062</v>
      </c>
      <c r="B4123" s="138">
        <f>'Acct Summary 7-8'!D10</f>
        <v>137593</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148706</v>
      </c>
      <c r="C4125" s="2" t="s">
        <v>573</v>
      </c>
      <c r="D4125" s="2" t="str">
        <f t="shared" si="63"/>
        <v>Error?</v>
      </c>
    </row>
    <row r="4126" spans="1:4" x14ac:dyDescent="0.2">
      <c r="A4126" s="5">
        <v>4065</v>
      </c>
      <c r="B4126" s="138">
        <f>'Acct Summary 7-8'!G10</f>
        <v>34528</v>
      </c>
      <c r="C4126" s="2" t="s">
        <v>573</v>
      </c>
      <c r="D4126" s="2" t="str">
        <f t="shared" si="63"/>
        <v>Error?</v>
      </c>
    </row>
    <row r="4127" spans="1:4" x14ac:dyDescent="0.2">
      <c r="A4127" s="5">
        <v>4066</v>
      </c>
      <c r="B4127" s="138">
        <f>'Acct Summary 7-8'!H10</f>
        <v>62929</v>
      </c>
      <c r="C4127" s="2" t="s">
        <v>573</v>
      </c>
      <c r="D4127" s="2" t="str">
        <f t="shared" si="63"/>
        <v>Error?</v>
      </c>
    </row>
    <row r="4128" spans="1:4" x14ac:dyDescent="0.2">
      <c r="A4128" s="5">
        <v>4067</v>
      </c>
      <c r="B4128" s="138">
        <f>'Acct Summary 7-8'!I10</f>
        <v>6557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502</v>
      </c>
      <c r="C4130" s="2" t="s">
        <v>573</v>
      </c>
      <c r="D4130" s="2" t="str">
        <f t="shared" si="63"/>
        <v>Error?</v>
      </c>
    </row>
    <row r="4131" spans="1:4" x14ac:dyDescent="0.2">
      <c r="A4131" s="5">
        <v>4070</v>
      </c>
      <c r="B4131" s="138">
        <f>'Acct Summary 7-8'!C18</f>
        <v>534339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2125600</v>
      </c>
      <c r="C4136" s="2" t="s">
        <v>573</v>
      </c>
      <c r="D4136" s="2" t="str">
        <f t="shared" si="63"/>
        <v>Error?</v>
      </c>
    </row>
    <row r="4137" spans="1:4" x14ac:dyDescent="0.2">
      <c r="A4137" s="5">
        <v>4076</v>
      </c>
      <c r="B4137" s="138">
        <f>'Acct Summary 7-8'!D19</f>
        <v>116425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131463</v>
      </c>
      <c r="C4139" s="2" t="s">
        <v>573</v>
      </c>
      <c r="D4139" s="2" t="str">
        <f t="shared" si="63"/>
        <v>Error?</v>
      </c>
    </row>
    <row r="4140" spans="1:4" x14ac:dyDescent="0.2">
      <c r="A4140" s="5">
        <v>4079</v>
      </c>
      <c r="B4140" s="138">
        <f>'Acct Summary 7-8'!G19</f>
        <v>47811</v>
      </c>
      <c r="C4140" s="2" t="s">
        <v>573</v>
      </c>
      <c r="D4140" s="2" t="str">
        <f t="shared" si="63"/>
        <v>Error?</v>
      </c>
    </row>
    <row r="4141" spans="1:4" x14ac:dyDescent="0.2">
      <c r="A4141" s="5">
        <v>4080</v>
      </c>
      <c r="B4141" s="138">
        <f>'Acct Summary 7-8'!H19</f>
        <v>50300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2340</v>
      </c>
      <c r="C4265" s="2" t="s">
        <v>573</v>
      </c>
      <c r="D4265" s="2" t="str">
        <f t="shared" si="65"/>
        <v>Error?</v>
      </c>
      <c r="E4265" s="128"/>
    </row>
    <row r="4266" spans="1:5" x14ac:dyDescent="0.2">
      <c r="A4266" s="12">
        <v>4205</v>
      </c>
      <c r="B4266" s="138">
        <f>('FP Info 3'!F10)*100000</f>
        <v>201.84</v>
      </c>
      <c r="C4266" s="2" t="s">
        <v>573</v>
      </c>
      <c r="D4266" s="2" t="str">
        <f t="shared" si="65"/>
        <v>Error?</v>
      </c>
      <c r="E4266" s="128"/>
    </row>
    <row r="4267" spans="1:5" x14ac:dyDescent="0.2">
      <c r="A4267" s="12">
        <v>4206</v>
      </c>
      <c r="B4267" s="138">
        <f>('FP Info 3'!H10)*100000</f>
        <v>131.19999999999999</v>
      </c>
      <c r="C4267" s="2" t="s">
        <v>573</v>
      </c>
      <c r="D4267" s="2" t="str">
        <f t="shared" si="65"/>
        <v>Error?</v>
      </c>
      <c r="E4267" s="128"/>
    </row>
    <row r="4268" spans="1:5" x14ac:dyDescent="0.2">
      <c r="A4268" s="12">
        <v>4207</v>
      </c>
      <c r="B4268" s="138">
        <f>('FP Info 3'!J10)*100000</f>
        <v>2673</v>
      </c>
      <c r="C4268" s="2" t="s">
        <v>573</v>
      </c>
      <c r="D4268" s="2" t="str">
        <f t="shared" si="65"/>
        <v>Error?</v>
      </c>
    </row>
    <row r="4269" spans="1:5" x14ac:dyDescent="0.2">
      <c r="A4269" s="12">
        <v>4208</v>
      </c>
      <c r="B4269" s="138">
        <f>'FP Info 3'!J16</f>
        <v>1504000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4612</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2458</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26863</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49544577</v>
      </c>
      <c r="D4995" s="2" t="str">
        <f t="shared" si="77"/>
        <v>Error?</v>
      </c>
    </row>
    <row r="4996" spans="1:4" x14ac:dyDescent="0.2">
      <c r="A4996" s="12">
        <v>4935</v>
      </c>
      <c r="B4996" s="138">
        <f>'FP Info 3'!H31</f>
        <v>3418575.8130000001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10087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1170761</v>
      </c>
      <c r="D5061" s="2" t="str">
        <f t="shared" si="78"/>
        <v>Error?</v>
      </c>
    </row>
    <row r="5062" spans="1:4" x14ac:dyDescent="0.2">
      <c r="A5062" s="10">
        <v>5001</v>
      </c>
      <c r="D5062" s="2" t="str">
        <f t="shared" si="78"/>
        <v>OK</v>
      </c>
    </row>
    <row r="5063" spans="1:4" x14ac:dyDescent="0.2">
      <c r="A5063" s="5">
        <v>5002</v>
      </c>
      <c r="B5063" s="138">
        <f>'Revenues 9-14'!C7</f>
        <v>10007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1190855</v>
      </c>
      <c r="C5066" s="2" t="s">
        <v>573</v>
      </c>
      <c r="D5066" s="2" t="str">
        <f t="shared" si="78"/>
        <v>Error?</v>
      </c>
    </row>
    <row r="5067" spans="1:4" x14ac:dyDescent="0.2">
      <c r="A5067" s="5">
        <v>5006</v>
      </c>
      <c r="B5067" s="138">
        <f>'Revenues 9-14'!C14</f>
        <v>33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v>
      </c>
      <c r="C5071" s="2" t="s">
        <v>573</v>
      </c>
      <c r="D5071" s="2" t="str">
        <f t="shared" si="78"/>
        <v>Error?</v>
      </c>
    </row>
    <row r="5072" spans="1:4" x14ac:dyDescent="0.2">
      <c r="A5072" s="5">
        <v>5011</v>
      </c>
      <c r="B5072" s="138">
        <f>'Revenues 9-14'!C20</f>
        <v>11919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11919</v>
      </c>
      <c r="C5087" s="2" t="s">
        <v>573</v>
      </c>
      <c r="D5087" s="2" t="str">
        <f t="shared" si="78"/>
        <v>Error?</v>
      </c>
    </row>
    <row r="5088" spans="1:4" x14ac:dyDescent="0.2">
      <c r="A5088" s="5">
        <v>5027</v>
      </c>
      <c r="B5088" s="138">
        <f>'Revenues 9-14'!C65</f>
        <v>19635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19635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1397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36856</v>
      </c>
      <c r="C5096" s="2" t="s">
        <v>573</v>
      </c>
      <c r="D5096" s="2" t="str">
        <f t="shared" si="78"/>
        <v>Error?</v>
      </c>
    </row>
    <row r="5097" spans="1:4" x14ac:dyDescent="0.2">
      <c r="A5097" s="5">
        <v>5036</v>
      </c>
      <c r="B5097" s="138">
        <f>'Revenues 9-14'!C77</f>
        <v>6841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6841</v>
      </c>
      <c r="C5102" s="2" t="s">
        <v>573</v>
      </c>
      <c r="D5102" s="2" t="str">
        <f t="shared" si="78"/>
        <v>Error?</v>
      </c>
    </row>
    <row r="5103" spans="1:4" x14ac:dyDescent="0.2">
      <c r="A5103" s="5">
        <v>5042</v>
      </c>
      <c r="B5103" s="138">
        <f>'Revenues 9-14'!C84</f>
        <v>10756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50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10806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819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2875</v>
      </c>
      <c r="D5119" s="2" t="str">
        <f t="shared" ref="D5119:D5182" si="79">IF(ISBLANK(B5119),"OK",IF(A5119-B5119=0,"OK","Error?"))</f>
        <v>Error?</v>
      </c>
    </row>
    <row r="5120" spans="1:4" x14ac:dyDescent="0.2">
      <c r="A5120" s="5">
        <v>5059</v>
      </c>
      <c r="B5120" s="138">
        <f>'Revenues 9-14'!C108</f>
        <v>4404</v>
      </c>
      <c r="C5120" s="2" t="s">
        <v>573</v>
      </c>
      <c r="D5120" s="2" t="str">
        <f t="shared" si="79"/>
        <v>Error?</v>
      </c>
    </row>
    <row r="5121" spans="1:4" x14ac:dyDescent="0.2">
      <c r="A5121" s="5">
        <v>5060</v>
      </c>
      <c r="B5121" s="138">
        <f>'Revenues 9-14'!C109</f>
        <v>1281349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116128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116128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1349</v>
      </c>
      <c r="D5137" s="2" t="str">
        <f t="shared" si="79"/>
        <v>Error?</v>
      </c>
    </row>
    <row r="5138" spans="1:4" x14ac:dyDescent="0.2">
      <c r="A5138" s="10">
        <v>5077</v>
      </c>
      <c r="D5138" s="2" t="str">
        <f t="shared" si="79"/>
        <v>OK</v>
      </c>
    </row>
    <row r="5139" spans="1:4" x14ac:dyDescent="0.2">
      <c r="A5139" s="5">
        <v>5078</v>
      </c>
      <c r="B5139" s="138">
        <f>'Revenues 9-14'!C129</f>
        <v>1806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3155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322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3477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119605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26863</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22853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22853</v>
      </c>
      <c r="C5246" s="2" t="s">
        <v>573</v>
      </c>
      <c r="D5246" s="2" t="str">
        <f t="shared" si="80"/>
        <v>Error?</v>
      </c>
    </row>
    <row r="5247" spans="1:4" x14ac:dyDescent="0.2">
      <c r="A5247" s="5">
        <v>5186</v>
      </c>
      <c r="B5247" s="138">
        <f>'Revenues 9-14'!C200</f>
        <v>2562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2562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4802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4802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30217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57080</v>
      </c>
      <c r="C5326" s="2" t="s">
        <v>573</v>
      </c>
      <c r="D5326" s="2" t="str">
        <f t="shared" si="82"/>
        <v>Error?</v>
      </c>
    </row>
    <row r="5327" spans="1:5" x14ac:dyDescent="0.2">
      <c r="A5327" s="5">
        <v>5266</v>
      </c>
      <c r="B5327" s="138">
        <f>'Revenues 9-14'!C268</f>
        <v>1458034</v>
      </c>
      <c r="C5327" s="2" t="s">
        <v>573</v>
      </c>
      <c r="D5327" s="2" t="str">
        <f t="shared" si="82"/>
        <v>Error?</v>
      </c>
    </row>
    <row r="5328" spans="1:5" x14ac:dyDescent="0.2">
      <c r="A5328" s="5">
        <v>5267</v>
      </c>
      <c r="B5328" s="138">
        <f>'Revenues 9-14'!D5</f>
        <v>100946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100946</v>
      </c>
      <c r="C5334" s="2" t="s">
        <v>573</v>
      </c>
      <c r="D5334" s="2" t="str">
        <f t="shared" si="82"/>
        <v>Error?</v>
      </c>
    </row>
    <row r="5335" spans="1:4" x14ac:dyDescent="0.2">
      <c r="A5335" s="5">
        <v>5274</v>
      </c>
      <c r="B5335" s="138">
        <f>'Revenues 9-14'!D14</f>
        <v>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24493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24496</v>
      </c>
      <c r="C5339" s="2" t="s">
        <v>573</v>
      </c>
      <c r="D5339" s="2" t="str">
        <f t="shared" si="82"/>
        <v>Error?</v>
      </c>
    </row>
    <row r="5340" spans="1:4" x14ac:dyDescent="0.2">
      <c r="A5340" s="5">
        <v>5279</v>
      </c>
      <c r="B5340" s="138">
        <f>'Revenues 9-14'!D65</f>
        <v>5081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5081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130523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7070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7070</v>
      </c>
      <c r="C5507" s="2" t="s">
        <v>573</v>
      </c>
      <c r="D5507" s="2" t="str">
        <f t="shared" si="85"/>
        <v>Error?</v>
      </c>
    </row>
    <row r="5508" spans="1:4" x14ac:dyDescent="0.2">
      <c r="A5508" s="5">
        <v>5447</v>
      </c>
      <c r="B5508" s="138">
        <f>'Revenues 9-14'!D268</f>
        <v>137593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65735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65735</v>
      </c>
      <c r="C5557" s="2" t="s">
        <v>573</v>
      </c>
      <c r="D5557" s="2" t="str">
        <f t="shared" si="85"/>
        <v>Error?</v>
      </c>
    </row>
    <row r="5558" spans="1:4" x14ac:dyDescent="0.2">
      <c r="A5558" s="5">
        <v>5497</v>
      </c>
      <c r="B5558" s="138">
        <f>'Revenues 9-14'!F14</f>
        <v>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2243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67980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51723</v>
      </c>
      <c r="D5615" s="2" t="str">
        <f t="shared" si="86"/>
        <v>Error?</v>
      </c>
    </row>
    <row r="5616" spans="1:4" x14ac:dyDescent="0.2">
      <c r="A5616" s="10">
        <v>5555</v>
      </c>
      <c r="D5616" s="2" t="str">
        <f t="shared" si="86"/>
        <v>OK</v>
      </c>
    </row>
    <row r="5617" spans="1:5" x14ac:dyDescent="0.2">
      <c r="A5617" s="5">
        <v>5556</v>
      </c>
      <c r="B5617" s="138">
        <f>'Revenues 9-14'!F153</f>
        <v>29003</v>
      </c>
      <c r="D5617" s="2" t="str">
        <f t="shared" si="86"/>
        <v>Error?</v>
      </c>
    </row>
    <row r="5618" spans="1:5" x14ac:dyDescent="0.2">
      <c r="A5618" s="5">
        <v>5557</v>
      </c>
      <c r="B5618" s="138">
        <f>'Revenues 9-14'!F155</f>
        <v>80726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80726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80726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148706</v>
      </c>
      <c r="C5720" s="2" t="s">
        <v>573</v>
      </c>
      <c r="D5720" s="2" t="str">
        <f t="shared" si="88"/>
        <v>Error?</v>
      </c>
    </row>
    <row r="5721" spans="1:4" x14ac:dyDescent="0.2">
      <c r="A5721" s="5">
        <v>5660</v>
      </c>
      <c r="B5721" s="138">
        <f>'Revenues 9-14'!G5</f>
        <v>15087</v>
      </c>
      <c r="D5721" s="2" t="str">
        <f t="shared" si="88"/>
        <v>Error?</v>
      </c>
    </row>
    <row r="5722" spans="1:4" x14ac:dyDescent="0.2">
      <c r="A5722" s="5">
        <v>5661</v>
      </c>
      <c r="B5722" s="138">
        <f>'Revenues 9-14'!G7</f>
        <v>0</v>
      </c>
      <c r="D5722" s="2" t="str">
        <f t="shared" si="88"/>
        <v>Error?</v>
      </c>
    </row>
    <row r="5723" spans="1:4" x14ac:dyDescent="0.2">
      <c r="A5723" s="5">
        <v>5662</v>
      </c>
      <c r="B5723" s="138">
        <f>'Revenues 9-14'!G8</f>
        <v>15087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30174</v>
      </c>
      <c r="C5725" s="2" t="s">
        <v>573</v>
      </c>
      <c r="D5725" s="2" t="str">
        <f t="shared" si="88"/>
        <v>Error?</v>
      </c>
    </row>
    <row r="5726" spans="1:4" x14ac:dyDescent="0.2">
      <c r="A5726" s="5">
        <v>5665</v>
      </c>
      <c r="B5726" s="138">
        <f>'Revenues 9-14'!G14</f>
        <v>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4001</v>
      </c>
      <c r="C5730" s="2" t="s">
        <v>573</v>
      </c>
      <c r="D5730" s="2" t="str">
        <f t="shared" si="88"/>
        <v>Error?</v>
      </c>
    </row>
    <row r="5731" spans="1:4" x14ac:dyDescent="0.2">
      <c r="A5731" s="5">
        <v>5670</v>
      </c>
      <c r="B5731" s="138">
        <f>'Revenues 9-14'!G65</f>
        <v>235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118</v>
      </c>
      <c r="D5736" s="2" t="str">
        <f t="shared" si="88"/>
        <v>Error?</v>
      </c>
    </row>
    <row r="5737" spans="1:4" x14ac:dyDescent="0.2">
      <c r="A5737" s="5">
        <v>5676</v>
      </c>
      <c r="B5737" s="138">
        <f>'Revenues 9-14'!G108</f>
        <v>118</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34528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267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62662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62929</v>
      </c>
      <c r="C5915" s="2" t="s">
        <v>573</v>
      </c>
      <c r="D5915" s="2" t="str">
        <f t="shared" si="91"/>
        <v>Error?</v>
      </c>
    </row>
    <row r="5916" spans="1:4" x14ac:dyDescent="0.2">
      <c r="A5916" s="5">
        <v>5855</v>
      </c>
      <c r="B5916" s="138">
        <f>'Revenues 9-14'!I5</f>
        <v>5044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5044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1513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1513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6557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502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502</v>
      </c>
      <c r="C6023" s="2" t="s">
        <v>573</v>
      </c>
      <c r="D6023" s="2" t="str">
        <f t="shared" si="93"/>
        <v>Error?</v>
      </c>
    </row>
    <row r="6024" spans="1:5" x14ac:dyDescent="0.2">
      <c r="A6024" s="5">
        <v>5963</v>
      </c>
      <c r="B6024" s="138">
        <f>'Revenues 9-14'!G109</f>
        <v>34528</v>
      </c>
      <c r="C6024" s="2" t="s">
        <v>573</v>
      </c>
      <c r="D6024" s="2" t="str">
        <f t="shared" si="93"/>
        <v>Error?</v>
      </c>
    </row>
    <row r="6025" spans="1:5" x14ac:dyDescent="0.2">
      <c r="A6025" s="5">
        <v>5964</v>
      </c>
      <c r="B6025" s="138">
        <f>'Revenues 9-14'!H109</f>
        <v>62929</v>
      </c>
      <c r="C6025" s="2" t="s">
        <v>573</v>
      </c>
      <c r="D6025" s="2" t="str">
        <f t="shared" si="93"/>
        <v>Error?</v>
      </c>
    </row>
    <row r="6026" spans="1:5" x14ac:dyDescent="0.2">
      <c r="A6026" s="5">
        <v>5965</v>
      </c>
      <c r="B6026" s="138">
        <f>'Revenues 9-14'!I109</f>
        <v>6557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502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35459</v>
      </c>
      <c r="D6031" s="2" t="str">
        <f t="shared" si="93"/>
        <v>Error?</v>
      </c>
    </row>
    <row r="6032" spans="1:5" x14ac:dyDescent="0.2">
      <c r="A6032" s="5">
        <v>5971</v>
      </c>
      <c r="B6032" s="138">
        <f>'Acct Summary 7-8'!G15</f>
        <v>4008</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6837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176.8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23572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23572</v>
      </c>
      <c r="D6215" s="2" t="str">
        <f t="shared" si="96"/>
        <v>Error?</v>
      </c>
      <c r="E6215" s="2" t="s">
        <v>190</v>
      </c>
    </row>
    <row r="6216" spans="1:5" x14ac:dyDescent="0.2">
      <c r="A6216">
        <v>6155</v>
      </c>
      <c r="B6216" s="138">
        <f>'Assets-Liab 5-6'!J41</f>
        <v>23572</v>
      </c>
      <c r="D6216" s="2" t="str">
        <f t="shared" si="96"/>
        <v>Error?</v>
      </c>
      <c r="E6216" s="2" t="s">
        <v>190</v>
      </c>
    </row>
    <row r="6217" spans="1:5" x14ac:dyDescent="0.2">
      <c r="A6217">
        <v>6156</v>
      </c>
      <c r="B6217" s="138">
        <f>'Assets-Liab 5-6'!J4</f>
        <v>2023</v>
      </c>
      <c r="D6217" s="2" t="str">
        <f t="shared" si="96"/>
        <v>Error?</v>
      </c>
      <c r="E6217" s="2" t="s">
        <v>190</v>
      </c>
    </row>
    <row r="6218" spans="1:5" x14ac:dyDescent="0.2">
      <c r="A6218">
        <v>6157</v>
      </c>
      <c r="B6218" s="138">
        <f>'Assets-Liab 5-6'!J5</f>
        <v>21549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40680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40680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40680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35733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35733</v>
      </c>
      <c r="D6229" s="2" t="str">
        <f t="shared" si="96"/>
        <v>Error?</v>
      </c>
      <c r="E6229" s="2" t="s">
        <v>190</v>
      </c>
    </row>
    <row r="6230" spans="1:5" x14ac:dyDescent="0.2">
      <c r="A6230">
        <v>6169</v>
      </c>
      <c r="B6230" s="138">
        <f>'Acct Summary 7-8'!J20</f>
        <v>4947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4947</v>
      </c>
      <c r="D6263" s="2" t="str">
        <f t="shared" si="96"/>
        <v>Error?</v>
      </c>
      <c r="E6263" s="2" t="s">
        <v>190</v>
      </c>
    </row>
    <row r="6264" spans="1:5" x14ac:dyDescent="0.2">
      <c r="A6264">
        <v>6203</v>
      </c>
      <c r="B6264" s="138">
        <f>'Acct Summary 7-8'!J79</f>
        <v>18625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23572</v>
      </c>
      <c r="D6266" s="2" t="str">
        <f t="shared" si="96"/>
        <v>Error?</v>
      </c>
      <c r="E6266" s="2" t="s">
        <v>190</v>
      </c>
    </row>
    <row r="6267" spans="1:5" x14ac:dyDescent="0.2">
      <c r="A6267">
        <v>6206</v>
      </c>
      <c r="B6267" s="138">
        <f>'Acct Summary 7-8'!C82</f>
        <v>-133227</v>
      </c>
      <c r="D6267" s="2" t="str">
        <f t="shared" si="96"/>
        <v>Error?</v>
      </c>
      <c r="E6267" s="2" t="s">
        <v>190</v>
      </c>
    </row>
    <row r="6268" spans="1:5" x14ac:dyDescent="0.2">
      <c r="A6268">
        <v>6207</v>
      </c>
      <c r="B6268" s="138">
        <f>'Acct Summary 7-8'!D82</f>
        <v>21168</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17243</v>
      </c>
      <c r="D6270" s="2" t="str">
        <f t="shared" si="96"/>
        <v>Error?</v>
      </c>
      <c r="E6270" s="2" t="s">
        <v>190</v>
      </c>
    </row>
    <row r="6271" spans="1:5" x14ac:dyDescent="0.2">
      <c r="A6271">
        <v>6210</v>
      </c>
      <c r="B6271" s="138">
        <f>'Acct Summary 7-8'!G82</f>
        <v>-13283</v>
      </c>
      <c r="D6271" s="2" t="str">
        <f t="shared" ref="D6271:D6334" si="97">IF(ISBLANK(B6271),"OK",IF(A6271-B6271=0,"OK","Error?"))</f>
        <v>Error?</v>
      </c>
      <c r="E6271" s="2" t="s">
        <v>190</v>
      </c>
    </row>
    <row r="6272" spans="1:5" x14ac:dyDescent="0.2">
      <c r="A6272">
        <v>6211</v>
      </c>
      <c r="B6272" s="138">
        <f>'Acct Summary 7-8'!H82</f>
        <v>12629</v>
      </c>
      <c r="D6272" s="2" t="str">
        <f t="shared" si="97"/>
        <v>Error?</v>
      </c>
      <c r="E6272" s="2" t="s">
        <v>190</v>
      </c>
    </row>
    <row r="6273" spans="1:5" x14ac:dyDescent="0.2">
      <c r="A6273">
        <v>6212</v>
      </c>
      <c r="B6273" s="138">
        <f>'Acct Summary 7-8'!I82</f>
        <v>6557</v>
      </c>
      <c r="D6273" s="2" t="str">
        <f t="shared" si="97"/>
        <v>Error?</v>
      </c>
      <c r="E6273" s="2" t="s">
        <v>190</v>
      </c>
    </row>
    <row r="6274" spans="1:5" x14ac:dyDescent="0.2">
      <c r="A6274">
        <v>6213</v>
      </c>
      <c r="B6274" s="138">
        <f>'Acct Summary 7-8'!J82</f>
        <v>4947</v>
      </c>
      <c r="D6274" s="2" t="str">
        <f t="shared" si="97"/>
        <v>Error?</v>
      </c>
      <c r="E6274" s="2" t="s">
        <v>190</v>
      </c>
    </row>
    <row r="6275" spans="1:5" x14ac:dyDescent="0.2">
      <c r="A6275">
        <v>6214</v>
      </c>
      <c r="B6275" s="138">
        <f>'Acct Summary 7-8'!K82</f>
        <v>502</v>
      </c>
      <c r="D6275" s="2" t="str">
        <f t="shared" si="97"/>
        <v>Error?</v>
      </c>
      <c r="E6275" s="2" t="s">
        <v>190</v>
      </c>
    </row>
    <row r="6276" spans="1:5" x14ac:dyDescent="0.2">
      <c r="A6276">
        <v>6215</v>
      </c>
      <c r="B6276" s="138">
        <f>'Acct Summary 7-8'!C83</f>
        <v>-0.15259443876212805</v>
      </c>
      <c r="D6276" s="2" t="str">
        <f t="shared" si="97"/>
        <v>Error?</v>
      </c>
      <c r="E6276" s="2" t="s">
        <v>190</v>
      </c>
    </row>
    <row r="6277" spans="1:5" x14ac:dyDescent="0.2">
      <c r="A6277">
        <v>6216</v>
      </c>
      <c r="B6277" s="138">
        <f>'Acct Summary 7-8'!D83</f>
        <v>6.7529931953257349E-2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9.0776998036315004E-2</v>
      </c>
      <c r="D6279" s="2" t="str">
        <f t="shared" si="97"/>
        <v>Error?</v>
      </c>
      <c r="E6279" s="2" t="s">
        <v>190</v>
      </c>
    </row>
    <row r="6280" spans="1:5" x14ac:dyDescent="0.2">
      <c r="A6280">
        <v>6219</v>
      </c>
      <c r="B6280" s="138">
        <f>'Acct Summary 7-8'!G83</f>
        <v>-0.64602888964544525</v>
      </c>
      <c r="D6280" s="2" t="str">
        <f t="shared" si="97"/>
        <v>Error?</v>
      </c>
      <c r="E6280" s="2" t="s">
        <v>190</v>
      </c>
    </row>
    <row r="6281" spans="1:5" x14ac:dyDescent="0.2">
      <c r="A6281">
        <v>6220</v>
      </c>
      <c r="B6281" s="138">
        <f>'Acct Summary 7-8'!H83</f>
        <v>0.21433056701118408</v>
      </c>
      <c r="D6281" s="2" t="str">
        <f t="shared" si="97"/>
        <v>Error?</v>
      </c>
      <c r="E6281" s="2" t="s">
        <v>190</v>
      </c>
    </row>
    <row r="6282" spans="1:5" x14ac:dyDescent="0.2">
      <c r="A6282">
        <v>6221</v>
      </c>
      <c r="B6282" s="138">
        <f>'Acct Summary 7-8'!I83</f>
        <v>5.1423014485024822E-2</v>
      </c>
      <c r="D6282" s="2" t="str">
        <f t="shared" si="97"/>
        <v>Error?</v>
      </c>
      <c r="E6282" s="2" t="s">
        <v>190</v>
      </c>
    </row>
    <row r="6283" spans="1:5" x14ac:dyDescent="0.2">
      <c r="A6283">
        <v>6222</v>
      </c>
      <c r="B6283" s="138">
        <f>'Acct Summary 7-8'!J83</f>
        <v>0.209867639572374</v>
      </c>
      <c r="D6283" s="2" t="str">
        <f t="shared" si="97"/>
        <v>Error?</v>
      </c>
      <c r="E6283" s="2" t="s">
        <v>190</v>
      </c>
    </row>
    <row r="6284" spans="1:5" x14ac:dyDescent="0.2">
      <c r="A6284">
        <v>6223</v>
      </c>
      <c r="B6284" s="138">
        <f>'Acct Summary 7-8'!K83</f>
        <v>1.1555105423073381E-2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40298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40298</v>
      </c>
      <c r="D6301" s="2" t="str">
        <f t="shared" si="97"/>
        <v>Error?</v>
      </c>
      <c r="E6301" s="2" t="s">
        <v>190</v>
      </c>
    </row>
    <row r="6302" spans="1:5" x14ac:dyDescent="0.2">
      <c r="A6302">
        <v>6241</v>
      </c>
      <c r="B6302" s="138">
        <f>'Revenues 9-14'!J14</f>
        <v>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381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381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40680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223809</v>
      </c>
      <c r="D6983" s="2" t="str">
        <f t="shared" si="108"/>
        <v>Error?</v>
      </c>
    </row>
    <row r="6984" spans="1:4" x14ac:dyDescent="0.2">
      <c r="A6984">
        <v>6923</v>
      </c>
      <c r="B6984" s="138">
        <f>'Expenditures 15-22'!K86</f>
        <v>223809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223809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35733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40680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5333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5333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29975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29975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425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425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35733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35733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35733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35733</v>
      </c>
      <c r="D7224" s="2" t="str">
        <f t="shared" si="111"/>
        <v>Error?</v>
      </c>
    </row>
    <row r="7225" spans="1:4" x14ac:dyDescent="0.2">
      <c r="A7225">
        <v>7164</v>
      </c>
      <c r="B7225" s="138">
        <f>'Expenditures 15-22'!K343</f>
        <v>4947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68835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46294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267</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62662</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62929</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10016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50300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50300</v>
      </c>
      <c r="D7730" s="2" t="str">
        <f t="shared" si="126"/>
        <v>Error?</v>
      </c>
      <c r="E7730" s="2" t="s">
        <v>827</v>
      </c>
    </row>
    <row r="7731" spans="1:6" x14ac:dyDescent="0.2">
      <c r="A7731">
        <v>7670</v>
      </c>
      <c r="B7731" s="138">
        <f>'Revenues 9-14'!H103</f>
        <v>62662</v>
      </c>
      <c r="D7731" s="2" t="str">
        <f t="shared" si="126"/>
        <v>Error?</v>
      </c>
      <c r="E7731" s="2" t="s">
        <v>827</v>
      </c>
    </row>
    <row r="7732" spans="1:6" x14ac:dyDescent="0.2">
      <c r="A7732">
        <v>7671</v>
      </c>
      <c r="B7732" s="138">
        <f>'Rest Tax Levies-Tort Im 25'!J24</f>
        <v>58923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58923</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168503</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118503</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2" t="s">
        <v>1191</v>
      </c>
      <c r="B2" s="2422"/>
      <c r="C2" s="2422"/>
      <c r="D2" s="2422"/>
      <c r="E2" s="2422"/>
      <c r="F2" s="2422"/>
      <c r="G2" s="2422"/>
      <c r="H2" s="2422"/>
      <c r="I2" s="2422"/>
      <c r="J2" s="2422"/>
      <c r="K2" s="2422"/>
      <c r="L2" s="2422"/>
    </row>
    <row r="3" spans="1:29" ht="13.5" customHeight="1" x14ac:dyDescent="0.2">
      <c r="A3" s="2408" t="s">
        <v>1190</v>
      </c>
      <c r="B3" s="2408"/>
      <c r="C3" s="2408"/>
      <c r="D3" s="2408"/>
      <c r="E3" s="2408"/>
      <c r="F3" s="2408"/>
      <c r="G3" s="2408"/>
      <c r="H3" s="2408"/>
      <c r="I3" s="2408"/>
      <c r="J3" s="2408"/>
      <c r="K3" s="2408"/>
      <c r="L3" s="2408"/>
    </row>
    <row r="4" spans="1:29" ht="13.5" customHeight="1" x14ac:dyDescent="0.2">
      <c r="A4" s="2422" t="s">
        <v>1989</v>
      </c>
      <c r="B4" s="2439"/>
      <c r="C4" s="2439"/>
      <c r="D4" s="2439"/>
      <c r="E4" s="2439"/>
      <c r="F4" s="2439"/>
      <c r="G4" s="2439"/>
      <c r="H4" s="2439"/>
      <c r="I4" s="2439"/>
      <c r="J4" s="2439"/>
      <c r="K4" s="2439"/>
      <c r="L4" s="2439"/>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2" t="str">
        <f>COVER!A17</f>
        <v>Limestone Walters CCSD 316</v>
      </c>
      <c r="B7" s="2403"/>
      <c r="C7" s="2403"/>
      <c r="D7" s="2440"/>
      <c r="E7" s="2441">
        <f>COVER!A13</f>
        <v>48072316004</v>
      </c>
      <c r="F7" s="2442"/>
      <c r="G7" s="2409" t="str">
        <f>COVER!T23</f>
        <v>066-005027</v>
      </c>
      <c r="H7" s="2410"/>
      <c r="I7" s="2410"/>
      <c r="J7" s="2410"/>
      <c r="K7" s="2410"/>
      <c r="L7" s="2411"/>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Tim Dotson</v>
      </c>
      <c r="B10" s="2400"/>
      <c r="C10" s="2400"/>
      <c r="D10" s="2400"/>
      <c r="E10" s="2400"/>
      <c r="F10" s="2401"/>
      <c r="G10" s="2415" t="str">
        <f>COVER!T17</f>
        <v>4200 N Knoxville Ave</v>
      </c>
      <c r="H10" s="2428"/>
      <c r="I10" s="2428"/>
      <c r="J10" s="2428"/>
      <c r="K10" s="2428"/>
      <c r="L10" s="2429"/>
    </row>
    <row r="11" spans="1:29" ht="13.5" customHeight="1" x14ac:dyDescent="0.2">
      <c r="A11" s="1181" t="s">
        <v>1519</v>
      </c>
      <c r="B11" s="1182"/>
      <c r="C11" s="1183"/>
      <c r="D11" s="1188"/>
      <c r="E11" s="1183"/>
      <c r="F11" s="1187"/>
      <c r="G11" s="2415" t="str">
        <f>COVER!T19</f>
        <v>Peoria</v>
      </c>
      <c r="H11" s="2428"/>
      <c r="I11" s="2428"/>
      <c r="J11" s="2428"/>
      <c r="K11" s="2428"/>
      <c r="L11" s="2429"/>
    </row>
    <row r="12" spans="1:29" ht="13.5" customHeight="1" x14ac:dyDescent="0.2">
      <c r="A12" s="2433" t="s">
        <v>1518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1520</v>
      </c>
      <c r="H13" s="2424"/>
      <c r="I13" s="2436" t="str">
        <f>COVER!T25</f>
        <v>tpeffer@gorenzcpa.com</v>
      </c>
      <c r="J13" s="2437"/>
      <c r="K13" s="2437"/>
      <c r="L13" s="2438"/>
    </row>
    <row r="14" spans="1:29" ht="13.5" customHeight="1" x14ac:dyDescent="0.2">
      <c r="A14" s="2415" t="str">
        <f>COVER!A19</f>
        <v>8223 West Smithville Road</v>
      </c>
      <c r="B14" s="2428"/>
      <c r="C14" s="2428"/>
      <c r="D14" s="2428"/>
      <c r="E14" s="2428"/>
      <c r="F14" s="2429"/>
      <c r="G14" s="1192" t="s">
        <v>1185</v>
      </c>
      <c r="H14" s="1190"/>
      <c r="I14" s="1190"/>
      <c r="J14" s="1190"/>
      <c r="K14" s="1190"/>
      <c r="L14" s="1191"/>
    </row>
    <row r="15" spans="1:29" ht="13.5" customHeight="1" x14ac:dyDescent="0.2">
      <c r="A15" s="2415" t="str">
        <f>COVER!A21</f>
        <v>Peoria</v>
      </c>
      <c r="B15" s="2428"/>
      <c r="C15" s="2428"/>
      <c r="D15" s="2428"/>
      <c r="E15" s="2428"/>
      <c r="F15" s="2429"/>
      <c r="G15" s="2425" t="str">
        <f>COVER!T15</f>
        <v>Thomas R. Peffer, CPA</v>
      </c>
      <c r="H15" s="2426"/>
      <c r="I15" s="2426"/>
      <c r="J15" s="2426"/>
      <c r="K15" s="2426"/>
      <c r="L15" s="2427"/>
    </row>
    <row r="16" spans="1:29" ht="12.2" customHeight="1" x14ac:dyDescent="0.2">
      <c r="A16" s="2405">
        <f>COVER!A25</f>
        <v>61607</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2" t="s">
        <v>1184</v>
      </c>
      <c r="H17" s="1190"/>
      <c r="I17" s="1190"/>
      <c r="J17" s="1190"/>
      <c r="K17" s="1194" t="s">
        <v>1183</v>
      </c>
      <c r="L17" s="1187"/>
      <c r="M17" s="1180"/>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3" t="str">
        <f>'Single Audit Cover'!A7</f>
        <v>Limestone Walters CCSD 316</v>
      </c>
      <c r="B1" s="2439"/>
      <c r="C1" s="2439"/>
      <c r="D1" s="2439"/>
    </row>
    <row r="2" spans="1:11" s="1209" customFormat="1" ht="12.75" x14ac:dyDescent="0.2">
      <c r="A2" s="2444">
        <f>'Single Audit Cover'!E7</f>
        <v>48072316004</v>
      </c>
      <c r="B2" s="2445"/>
      <c r="C2" s="2445"/>
      <c r="D2" s="2445"/>
    </row>
    <row r="3" spans="1:11" s="1209" customFormat="1" ht="12.75" x14ac:dyDescent="0.2">
      <c r="A3" s="2443" t="s">
        <v>1513</v>
      </c>
      <c r="B3" s="2439"/>
      <c r="C3" s="2439"/>
      <c r="D3" s="2439"/>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7" t="str">
        <f>'Single Audit Cover'!A7</f>
        <v>Limestone Walters CCSD 316</v>
      </c>
      <c r="B1" s="2447"/>
      <c r="C1" s="2447"/>
      <c r="D1" s="2447"/>
      <c r="E1" s="2447"/>
    </row>
    <row r="2" spans="1:5" x14ac:dyDescent="0.2">
      <c r="A2" s="2448">
        <f>'Single Audit Cover'!E7</f>
        <v>48072316004</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4" t="s">
        <v>1243</v>
      </c>
    </row>
    <row r="10" spans="1:5" x14ac:dyDescent="0.2">
      <c r="A10" s="1255" t="s">
        <v>1242</v>
      </c>
      <c r="B10" s="1256" t="s">
        <v>1241</v>
      </c>
      <c r="C10" s="1256"/>
      <c r="D10" s="1257">
        <f>SUM('Acct Summary 7-8'!C7:K7)</f>
        <v>64150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6837</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-2458</v>
      </c>
    </row>
    <row r="19" spans="1:4" ht="13.5" thickBot="1" x14ac:dyDescent="0.25">
      <c r="A19" s="1259" t="s">
        <v>1235</v>
      </c>
      <c r="D19" s="1260">
        <f>SUM(D10:D17)</f>
        <v>68529</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9"/>
      <c r="B24" s="2449"/>
      <c r="D24" s="1262"/>
    </row>
    <row r="25" spans="1:4" x14ac:dyDescent="0.2">
      <c r="A25" s="2446"/>
      <c r="B25" s="2446"/>
      <c r="D25" s="1262"/>
    </row>
    <row r="26" spans="1:4" x14ac:dyDescent="0.2">
      <c r="A26" s="2446"/>
      <c r="B26" s="2446"/>
      <c r="D26" s="1262"/>
    </row>
    <row r="27" spans="1:4" x14ac:dyDescent="0.2">
      <c r="A27" s="2446"/>
      <c r="B27" s="2446"/>
      <c r="D27" s="1262"/>
    </row>
    <row r="28" spans="1:4" x14ac:dyDescent="0.2">
      <c r="A28" s="2446"/>
      <c r="B28" s="2446"/>
      <c r="D28" s="1262"/>
    </row>
    <row r="29" spans="1:4" x14ac:dyDescent="0.2">
      <c r="A29" s="2446"/>
      <c r="B29" s="2446"/>
      <c r="D29" s="1262"/>
    </row>
    <row r="30" spans="1:4" x14ac:dyDescent="0.2">
      <c r="A30" s="2446"/>
      <c r="B30" s="2446"/>
      <c r="D30" s="1262"/>
    </row>
    <row r="32" spans="1:4" x14ac:dyDescent="0.2">
      <c r="A32" s="1254" t="s">
        <v>1233</v>
      </c>
      <c r="D32" s="1257">
        <f>SUM(D19:D30)</f>
        <v>68529</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6"/>
      <c r="B40" s="2446"/>
      <c r="D40" s="1262"/>
    </row>
    <row r="41" spans="1:4" x14ac:dyDescent="0.2">
      <c r="A41" s="2446"/>
      <c r="B41" s="2446"/>
      <c r="D41" s="1265"/>
    </row>
    <row r="42" spans="1:4" x14ac:dyDescent="0.2">
      <c r="A42" s="2446"/>
      <c r="B42" s="2446"/>
      <c r="D42" s="1265"/>
    </row>
    <row r="43" spans="1:4" x14ac:dyDescent="0.2">
      <c r="A43" s="2446"/>
      <c r="B43" s="2446"/>
      <c r="D43" s="1265"/>
    </row>
    <row r="44" spans="1:4" x14ac:dyDescent="0.2">
      <c r="A44" s="2446"/>
      <c r="B44" s="2446"/>
      <c r="D44" s="1265"/>
    </row>
    <row r="45" spans="1:4" x14ac:dyDescent="0.2">
      <c r="A45" s="2446"/>
      <c r="B45" s="2446"/>
      <c r="D45" s="1265"/>
    </row>
    <row r="47" spans="1:4" x14ac:dyDescent="0.2">
      <c r="B47" s="1266" t="s">
        <v>1227</v>
      </c>
      <c r="C47" s="1266"/>
      <c r="D47" s="1267">
        <f>SUM(D35:D45)</f>
        <v>0</v>
      </c>
    </row>
    <row r="49" spans="2:4" x14ac:dyDescent="0.2">
      <c r="B49" s="1266" t="s">
        <v>1226</v>
      </c>
      <c r="C49" s="1266"/>
      <c r="D49" s="1267">
        <f>D32-D47</f>
        <v>68529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8" t="str">
        <f>'Single Audit Cover'!A7</f>
        <v>Limestone Walters CCSD 316</v>
      </c>
      <c r="C1" s="2451"/>
      <c r="D1" s="2451"/>
      <c r="E1" s="2451"/>
      <c r="F1" s="2451"/>
      <c r="G1" s="2451"/>
      <c r="H1" s="2451"/>
      <c r="I1" s="2451"/>
      <c r="J1" s="2451"/>
      <c r="K1" s="2451"/>
      <c r="L1" s="2451"/>
      <c r="M1" s="2451"/>
    </row>
    <row r="2" spans="2:14" ht="15" x14ac:dyDescent="0.2">
      <c r="B2" s="2452">
        <f>'Single Audit Cover'!E7</f>
        <v>48072316004</v>
      </c>
      <c r="C2" s="2452"/>
      <c r="D2" s="2452"/>
      <c r="E2" s="2452"/>
      <c r="F2" s="2452"/>
      <c r="G2" s="2452"/>
      <c r="H2" s="2452"/>
      <c r="I2" s="2452"/>
      <c r="J2" s="2452"/>
      <c r="K2" s="2452"/>
      <c r="L2" s="2452"/>
      <c r="M2" s="2452"/>
      <c r="N2" s="1296"/>
    </row>
    <row r="3" spans="2:14" ht="15" x14ac:dyDescent="0.2">
      <c r="B3" s="2453" t="s">
        <v>1219</v>
      </c>
      <c r="C3" s="2453"/>
      <c r="D3" s="2453"/>
      <c r="E3" s="2453"/>
      <c r="F3" s="2453"/>
      <c r="G3" s="2453"/>
      <c r="H3" s="2453"/>
      <c r="I3" s="2453"/>
      <c r="J3" s="2453"/>
      <c r="K3" s="2453"/>
      <c r="L3" s="2453"/>
      <c r="M3" s="2453"/>
      <c r="N3" s="1296"/>
    </row>
    <row r="4" spans="2:14" ht="15" x14ac:dyDescent="0.2">
      <c r="B4" s="2454" t="str">
        <f>'Single Audit Cover'!A4</f>
        <v>Year Ending June 30, 2019</v>
      </c>
      <c r="C4" s="2454"/>
      <c r="D4" s="2454"/>
      <c r="E4" s="2454"/>
      <c r="F4" s="2454"/>
      <c r="G4" s="2454"/>
      <c r="H4" s="2454"/>
      <c r="I4" s="2454"/>
      <c r="J4" s="2454"/>
      <c r="K4" s="2454"/>
      <c r="L4" s="2454"/>
      <c r="M4" s="2454"/>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Limestone Walters CCSD 316</v>
      </c>
      <c r="B1" s="2456"/>
      <c r="C1" s="2456"/>
      <c r="D1" s="2456"/>
      <c r="E1" s="2456"/>
      <c r="F1" s="2456"/>
    </row>
    <row r="2" spans="1:7" ht="13.5" customHeight="1" x14ac:dyDescent="0.2">
      <c r="A2" s="2452">
        <f>'Single Audit Cover'!E7</f>
        <v>48072316004</v>
      </c>
      <c r="B2" s="2452"/>
      <c r="C2" s="2452"/>
      <c r="D2" s="2452"/>
      <c r="E2" s="2452"/>
      <c r="F2" s="2452"/>
      <c r="G2" s="1269"/>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0" t="s">
        <v>1728</v>
      </c>
      <c r="C6" s="317"/>
      <c r="D6" s="317"/>
    </row>
    <row r="7" spans="1:7" ht="60.95" customHeight="1" x14ac:dyDescent="0.2">
      <c r="A7" s="2455" t="s">
        <v>1729</v>
      </c>
      <c r="B7" s="2455"/>
      <c r="C7" s="2455"/>
      <c r="D7" s="2455"/>
      <c r="E7" s="2455"/>
      <c r="F7" s="2455"/>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55" t="s">
        <v>1731</v>
      </c>
      <c r="B13" s="2455"/>
      <c r="C13" s="2455"/>
      <c r="D13" s="2455"/>
      <c r="E13" s="2455"/>
      <c r="F13" s="2455"/>
    </row>
    <row r="14" spans="1:7" ht="9.75" customHeight="1" x14ac:dyDescent="0.2">
      <c r="C14" s="1254"/>
      <c r="D14" s="1254"/>
    </row>
    <row r="15" spans="1:7" ht="13.5" customHeight="1" x14ac:dyDescent="0.2">
      <c r="C15" s="1843" t="s">
        <v>1270</v>
      </c>
      <c r="D15" s="2460" t="s">
        <v>1269</v>
      </c>
      <c r="E15" s="2460"/>
      <c r="F15" s="2460"/>
    </row>
    <row r="16" spans="1:7" ht="13.5" customHeight="1" x14ac:dyDescent="0.2">
      <c r="A16" s="1276"/>
      <c r="B16" s="1270" t="s">
        <v>1268</v>
      </c>
      <c r="C16" s="1843" t="s">
        <v>1267</v>
      </c>
      <c r="D16" s="2461" t="s">
        <v>1588</v>
      </c>
      <c r="E16" s="2461"/>
      <c r="F16" s="2461"/>
    </row>
    <row r="17" spans="1:6" ht="20.45" customHeight="1" x14ac:dyDescent="0.2">
      <c r="A17" s="1277"/>
      <c r="B17" s="1278"/>
      <c r="C17" s="1279"/>
      <c r="D17" s="2459"/>
      <c r="E17" s="2459"/>
      <c r="F17" s="2459"/>
    </row>
    <row r="18" spans="1:6" ht="20.65" customHeight="1" x14ac:dyDescent="0.2">
      <c r="A18" s="1277"/>
      <c r="B18" s="1278"/>
      <c r="C18" s="1279"/>
      <c r="D18" s="2459"/>
      <c r="E18" s="2459"/>
      <c r="F18" s="2459"/>
    </row>
    <row r="19" spans="1:6" ht="20.65" customHeight="1" x14ac:dyDescent="0.2">
      <c r="A19" s="1277"/>
      <c r="B19" s="1278"/>
      <c r="C19" s="1279"/>
      <c r="D19" s="2459"/>
      <c r="E19" s="2459"/>
      <c r="F19" s="2459"/>
    </row>
    <row r="20" spans="1:6" ht="20.65" customHeight="1" x14ac:dyDescent="0.2">
      <c r="A20" s="1277"/>
      <c r="B20" s="1278"/>
      <c r="C20" s="1279"/>
      <c r="D20" s="2459"/>
      <c r="E20" s="2459"/>
      <c r="F20" s="2459"/>
    </row>
    <row r="21" spans="1:6" ht="20.65" customHeight="1" x14ac:dyDescent="0.2">
      <c r="A21" s="1277"/>
      <c r="B21" s="1278"/>
      <c r="C21" s="1279"/>
      <c r="D21" s="2459"/>
      <c r="E21" s="2459"/>
      <c r="F21" s="2459"/>
    </row>
    <row r="22" spans="1:6" ht="20.65" customHeight="1" x14ac:dyDescent="0.2">
      <c r="A22" s="1277"/>
      <c r="B22" s="1278"/>
      <c r="C22" s="1279"/>
      <c r="D22" s="2459"/>
      <c r="E22" s="2459"/>
      <c r="F22" s="2459"/>
    </row>
    <row r="23" spans="1:6" ht="20.65" customHeight="1" x14ac:dyDescent="0.2">
      <c r="A23" s="1277"/>
      <c r="B23" s="1278"/>
      <c r="C23" s="1279"/>
      <c r="D23" s="2459"/>
      <c r="E23" s="2459"/>
      <c r="F23" s="2459"/>
    </row>
    <row r="24" spans="1:6" ht="20.65" customHeight="1" x14ac:dyDescent="0.2">
      <c r="A24" s="1277"/>
      <c r="B24" s="1278"/>
      <c r="C24" s="1279"/>
      <c r="D24" s="2459"/>
      <c r="E24" s="2459"/>
      <c r="F24" s="2459"/>
    </row>
    <row r="25" spans="1:6" ht="20.65" customHeight="1" x14ac:dyDescent="0.2">
      <c r="A25" s="1277"/>
      <c r="B25" s="1278"/>
      <c r="C25" s="1279"/>
      <c r="D25" s="2459"/>
      <c r="E25" s="2459"/>
      <c r="F25" s="2459"/>
    </row>
    <row r="26" spans="1:6" ht="20.65" customHeight="1" x14ac:dyDescent="0.2">
      <c r="A26" s="1277"/>
      <c r="B26" s="1278"/>
      <c r="C26" s="1279"/>
      <c r="D26" s="2459"/>
      <c r="E26" s="2459"/>
      <c r="F26" s="2459"/>
    </row>
    <row r="27" spans="1:6" ht="20.65" customHeight="1" x14ac:dyDescent="0.2">
      <c r="A27" s="1277"/>
      <c r="B27" s="1278"/>
      <c r="C27" s="1279"/>
      <c r="D27" s="2459"/>
      <c r="E27" s="2459"/>
      <c r="F27" s="2459"/>
    </row>
    <row r="28" spans="1:6" ht="20.65" customHeight="1" x14ac:dyDescent="0.2">
      <c r="A28" s="1277"/>
      <c r="B28" s="1278"/>
      <c r="C28" s="1279"/>
      <c r="D28" s="2459"/>
      <c r="E28" s="2459"/>
      <c r="F28" s="2459"/>
    </row>
    <row r="29" spans="1:6" ht="20.65" customHeight="1" x14ac:dyDescent="0.2">
      <c r="A29" s="1277"/>
      <c r="B29" s="1278"/>
      <c r="C29" s="1279"/>
      <c r="D29" s="2459"/>
      <c r="E29" s="2459"/>
      <c r="F29" s="2459"/>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63" t="s">
        <v>1732</v>
      </c>
      <c r="B32" s="2463"/>
      <c r="C32" s="2463"/>
      <c r="D32" s="2463"/>
      <c r="E32" s="2463"/>
      <c r="F32" s="2463"/>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4">
        <f>+C33+C34</f>
        <v>0</v>
      </c>
      <c r="F34" s="2465"/>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6" t="s">
        <v>1590</v>
      </c>
      <c r="C49" s="2466"/>
      <c r="D49" s="2466"/>
      <c r="E49" s="1393"/>
    </row>
    <row r="50" spans="1:5" s="1294" customFormat="1" ht="3.75" customHeight="1" x14ac:dyDescent="0.2">
      <c r="A50" s="1293"/>
      <c r="B50" s="1842"/>
      <c r="C50" s="1842"/>
      <c r="D50" s="1842"/>
      <c r="E50" s="1393"/>
    </row>
    <row r="51" spans="1:5" s="1294" customFormat="1" ht="20.25" customHeight="1" x14ac:dyDescent="0.2">
      <c r="A51" s="1295">
        <v>6</v>
      </c>
      <c r="B51" s="2462" t="s">
        <v>1551</v>
      </c>
      <c r="C51" s="2462"/>
      <c r="D51" s="2462"/>
    </row>
    <row r="52" spans="1:5" ht="14.25" customHeight="1" x14ac:dyDescent="0.2">
      <c r="A52" s="1295"/>
      <c r="B52" s="2462"/>
      <c r="C52" s="2462"/>
      <c r="D52" s="246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t="s">
        <v>2070</v>
      </c>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t="s">
        <v>2105</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2072</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t="s">
        <v>2115</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Limestone Walters CCSD 316</v>
      </c>
      <c r="C1" s="2472"/>
      <c r="D1" s="2472"/>
      <c r="E1" s="2472"/>
      <c r="F1" s="2472"/>
      <c r="G1" s="2472"/>
      <c r="H1" s="2472"/>
      <c r="I1" s="2472"/>
      <c r="J1" s="1403"/>
    </row>
    <row r="2" spans="2:10" s="317" customFormat="1" ht="12.75" customHeight="1" x14ac:dyDescent="0.2">
      <c r="B2" s="2473">
        <f>'Single Audit Cover'!E7</f>
        <v>48072316004</v>
      </c>
      <c r="C2" s="2474"/>
      <c r="D2" s="2474"/>
      <c r="E2" s="2474"/>
      <c r="F2" s="2474"/>
      <c r="G2" s="2474"/>
      <c r="H2" s="2474"/>
      <c r="I2" s="2474"/>
      <c r="J2" s="1403"/>
    </row>
    <row r="3" spans="2:10" s="317" customFormat="1" ht="12.75" customHeight="1" x14ac:dyDescent="0.2">
      <c r="B3" s="2475" t="s">
        <v>1285</v>
      </c>
      <c r="C3" s="2476"/>
      <c r="D3" s="2476"/>
      <c r="E3" s="2476"/>
      <c r="F3" s="2476"/>
      <c r="G3" s="2476"/>
      <c r="H3" s="2476"/>
      <c r="I3" s="2476"/>
      <c r="J3" s="1404"/>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5" t="s">
        <v>1284</v>
      </c>
      <c r="C7" s="2476"/>
      <c r="D7" s="2476"/>
      <c r="E7" s="2476"/>
      <c r="F7" s="2476"/>
      <c r="G7" s="2476"/>
      <c r="H7" s="2476"/>
      <c r="I7" s="2476"/>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77"/>
      <c r="D11" s="2477"/>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78"/>
      <c r="E29" s="2478"/>
      <c r="F29" s="2478"/>
      <c r="G29" s="2478"/>
      <c r="H29" s="2478"/>
      <c r="I29" s="2478"/>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79" t="s">
        <v>1751</v>
      </c>
      <c r="D37" s="2480"/>
      <c r="E37" s="2480"/>
      <c r="F37" s="2481"/>
      <c r="G37" s="2479" t="s">
        <v>1592</v>
      </c>
      <c r="H37" s="2480"/>
      <c r="I37" s="2481"/>
    </row>
    <row r="38" spans="2:9" ht="16.5" customHeight="1" x14ac:dyDescent="0.2">
      <c r="B38" s="1425"/>
      <c r="C38" s="2467"/>
      <c r="D38" s="2468"/>
      <c r="E38" s="2468"/>
      <c r="F38" s="2469"/>
      <c r="G38" s="2482"/>
      <c r="H38" s="2483"/>
      <c r="I38" s="2484"/>
    </row>
    <row r="39" spans="2:9" ht="16.5" customHeight="1" x14ac:dyDescent="0.2">
      <c r="B39" s="1425"/>
      <c r="C39" s="2467"/>
      <c r="D39" s="2468"/>
      <c r="E39" s="2468"/>
      <c r="F39" s="2469"/>
      <c r="G39" s="2470"/>
      <c r="H39" s="2470"/>
      <c r="I39" s="2470"/>
    </row>
    <row r="40" spans="2:9" ht="16.5" customHeight="1" x14ac:dyDescent="0.2">
      <c r="B40" s="1425"/>
      <c r="C40" s="2467"/>
      <c r="D40" s="2468"/>
      <c r="E40" s="2468"/>
      <c r="F40" s="2469"/>
      <c r="G40" s="2470"/>
      <c r="H40" s="2470"/>
      <c r="I40" s="2470"/>
    </row>
    <row r="41" spans="2:9" ht="16.5" customHeight="1" x14ac:dyDescent="0.2">
      <c r="B41" s="1425"/>
      <c r="C41" s="2467"/>
      <c r="D41" s="2468"/>
      <c r="E41" s="2468"/>
      <c r="F41" s="2469"/>
      <c r="G41" s="2470"/>
      <c r="H41" s="2470"/>
      <c r="I41" s="2470"/>
    </row>
    <row r="42" spans="2:9" ht="16.5" customHeight="1" x14ac:dyDescent="0.2">
      <c r="B42" s="1425"/>
      <c r="C42" s="2467"/>
      <c r="D42" s="2468"/>
      <c r="E42" s="2468"/>
      <c r="F42" s="2469"/>
      <c r="G42" s="2470"/>
      <c r="H42" s="2470"/>
      <c r="I42" s="2470"/>
    </row>
    <row r="43" spans="2:9" ht="16.5" customHeight="1" x14ac:dyDescent="0.2">
      <c r="B43" s="1425"/>
      <c r="C43" s="2485" t="s">
        <v>1593</v>
      </c>
      <c r="D43" s="2486"/>
      <c r="E43" s="2486"/>
      <c r="F43" s="2487"/>
      <c r="G43" s="2488">
        <f>SUM(G38:I42)</f>
        <v>0</v>
      </c>
      <c r="H43" s="2488"/>
      <c r="I43" s="2488"/>
    </row>
    <row r="44" spans="2:9" ht="12.75" customHeight="1" x14ac:dyDescent="0.2"/>
    <row r="45" spans="2:9" ht="12.75" customHeight="1" x14ac:dyDescent="0.2">
      <c r="B45" s="1416" t="s">
        <v>1841</v>
      </c>
      <c r="D45" s="2489">
        <v>0</v>
      </c>
      <c r="E45" s="2490"/>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1"/>
      <c r="F49" s="2491"/>
      <c r="G49" s="2491"/>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Limestone Walters CCSD 316</v>
      </c>
      <c r="C1" s="2471"/>
      <c r="D1" s="2471"/>
      <c r="E1" s="2471"/>
      <c r="F1" s="2471"/>
      <c r="G1" s="2471"/>
      <c r="H1" s="2471"/>
      <c r="I1" s="2471"/>
      <c r="J1" s="2471"/>
      <c r="K1" s="2471"/>
      <c r="L1" s="1368"/>
      <c r="M1" s="1368"/>
    </row>
    <row r="2" spans="1:13" ht="12" customHeight="1" x14ac:dyDescent="0.2">
      <c r="B2" s="2473">
        <f>'Single Audit Cover'!E7</f>
        <v>48072316004</v>
      </c>
      <c r="C2" s="2473"/>
      <c r="D2" s="2473"/>
      <c r="E2" s="2473"/>
      <c r="F2" s="2473"/>
      <c r="G2" s="2473"/>
      <c r="H2" s="2473"/>
      <c r="I2" s="2473"/>
      <c r="J2" s="2473"/>
      <c r="K2" s="2473"/>
      <c r="L2" s="1369"/>
      <c r="M2" s="1370"/>
    </row>
    <row r="3" spans="1:13" ht="10.35" customHeight="1" x14ac:dyDescent="0.2">
      <c r="B3" s="2494" t="s">
        <v>1285</v>
      </c>
      <c r="C3" s="2494"/>
      <c r="D3" s="2494"/>
      <c r="E3" s="2494"/>
      <c r="F3" s="2494"/>
      <c r="G3" s="2494"/>
      <c r="H3" s="2494"/>
      <c r="I3" s="2494"/>
      <c r="J3" s="2494"/>
      <c r="K3" s="2494"/>
      <c r="L3" s="1371"/>
      <c r="M3" s="1371"/>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5" t="s">
        <v>1296</v>
      </c>
      <c r="C7" s="2495"/>
      <c r="D7" s="2496"/>
      <c r="E7" s="2496"/>
      <c r="F7" s="2496"/>
      <c r="G7" s="2496"/>
      <c r="H7" s="2496"/>
      <c r="I7" s="2496"/>
      <c r="J7" s="2496"/>
      <c r="K7" s="249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t="s">
        <v>2070</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3" t="s">
        <v>2096</v>
      </c>
      <c r="C14" s="2493"/>
      <c r="D14" s="2493"/>
      <c r="E14" s="2493"/>
      <c r="F14" s="2493"/>
      <c r="G14" s="2493"/>
      <c r="H14" s="2493"/>
      <c r="I14" s="2493"/>
      <c r="J14" s="2493"/>
      <c r="K14" s="249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3" t="s">
        <v>2104</v>
      </c>
      <c r="C17" s="2493"/>
      <c r="D17" s="2493"/>
      <c r="E17" s="2493"/>
      <c r="F17" s="2493"/>
      <c r="G17" s="2493"/>
      <c r="H17" s="2493"/>
      <c r="I17" s="2493"/>
      <c r="J17" s="2493"/>
      <c r="K17" s="2493"/>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7" t="s">
        <v>2097</v>
      </c>
      <c r="C20" s="2497"/>
      <c r="D20" s="2493"/>
      <c r="E20" s="2493"/>
      <c r="F20" s="2493"/>
      <c r="G20" s="2493"/>
      <c r="H20" s="2493"/>
      <c r="I20" s="2493"/>
      <c r="J20" s="2493"/>
      <c r="K20" s="249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3" t="s">
        <v>2098</v>
      </c>
      <c r="C23" s="2493"/>
      <c r="D23" s="2493"/>
      <c r="E23" s="2493"/>
      <c r="F23" s="2493"/>
      <c r="G23" s="2493"/>
      <c r="H23" s="2493"/>
      <c r="I23" s="2493"/>
      <c r="J23" s="2493"/>
      <c r="K23" s="249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3" t="s">
        <v>2099</v>
      </c>
      <c r="C26" s="2493"/>
      <c r="D26" s="2493"/>
      <c r="E26" s="2493"/>
      <c r="F26" s="2493"/>
      <c r="G26" s="2493"/>
      <c r="H26" s="2493"/>
      <c r="I26" s="2493"/>
      <c r="J26" s="2493"/>
      <c r="K26" s="249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2" t="s">
        <v>2100</v>
      </c>
      <c r="C29" s="2492"/>
      <c r="D29" s="2493"/>
      <c r="E29" s="2493"/>
      <c r="F29" s="2493"/>
      <c r="G29" s="2493"/>
      <c r="H29" s="2493"/>
      <c r="I29" s="2493"/>
      <c r="J29" s="2493"/>
      <c r="K29" s="249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2" t="s">
        <v>2101</v>
      </c>
      <c r="C32" s="2492"/>
      <c r="D32" s="2493"/>
      <c r="E32" s="2493"/>
      <c r="F32" s="2493"/>
      <c r="G32" s="2493"/>
      <c r="H32" s="2493"/>
      <c r="I32" s="2493"/>
      <c r="J32" s="2493"/>
      <c r="K32" s="249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Limestone Walters CCSD 316</v>
      </c>
      <c r="C1" s="2498"/>
      <c r="D1" s="2498"/>
      <c r="E1" s="2498"/>
      <c r="F1" s="2498"/>
      <c r="G1" s="2498"/>
      <c r="H1" s="2498"/>
      <c r="I1" s="2498"/>
      <c r="J1" s="2498"/>
      <c r="K1" s="2498"/>
      <c r="L1" s="1446"/>
    </row>
    <row r="2" spans="1:12" ht="12.75" customHeight="1" x14ac:dyDescent="0.2">
      <c r="B2" s="2499">
        <f>'Single Audit Cover'!E7</f>
        <v>48072316004</v>
      </c>
      <c r="C2" s="2499"/>
      <c r="D2" s="2499"/>
      <c r="E2" s="2499"/>
      <c r="F2" s="2499"/>
      <c r="G2" s="2499"/>
      <c r="H2" s="2499"/>
      <c r="I2" s="2499"/>
      <c r="J2" s="2499"/>
      <c r="K2" s="2499"/>
      <c r="L2" s="1447"/>
    </row>
    <row r="3" spans="1:12" ht="12.75" customHeight="1" x14ac:dyDescent="0.2">
      <c r="B3" s="2494" t="s">
        <v>1285</v>
      </c>
      <c r="C3" s="2494"/>
      <c r="D3" s="2494"/>
      <c r="E3" s="2494"/>
      <c r="F3" s="2494"/>
      <c r="G3" s="2494"/>
      <c r="H3" s="2494"/>
      <c r="I3" s="2494"/>
      <c r="J3" s="2494"/>
      <c r="K3" s="2494"/>
      <c r="L3" s="1371"/>
    </row>
    <row r="4" spans="1:12" ht="12.75" customHeight="1" x14ac:dyDescent="0.2">
      <c r="B4" s="2494" t="str">
        <f>'Single Audit Cover'!A4</f>
        <v>Year Ending June 30, 2019</v>
      </c>
      <c r="C4" s="2494"/>
      <c r="D4" s="2494"/>
      <c r="E4" s="2494"/>
      <c r="F4" s="2494"/>
      <c r="G4" s="2494"/>
      <c r="H4" s="2494"/>
      <c r="I4" s="2494"/>
      <c r="J4" s="2494"/>
      <c r="K4" s="2494"/>
      <c r="L4" s="1371"/>
    </row>
    <row r="5" spans="1:12" ht="5.25" customHeight="1" x14ac:dyDescent="0.2">
      <c r="B5" s="1254" t="s">
        <v>1169</v>
      </c>
      <c r="C5" s="1254"/>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78"/>
      <c r="G12" s="2478"/>
      <c r="H12" s="2478"/>
      <c r="I12" s="2478"/>
      <c r="J12" s="2478"/>
      <c r="K12" s="2478"/>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1"/>
      <c r="E14" s="2501"/>
      <c r="F14" s="2501"/>
      <c r="H14" s="1456" t="s">
        <v>1303</v>
      </c>
      <c r="I14" s="2502"/>
      <c r="J14" s="2502"/>
      <c r="K14" s="2502"/>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2"/>
      <c r="E16" s="2502"/>
      <c r="F16" s="2502"/>
      <c r="G16" s="2502"/>
      <c r="H16" s="2502"/>
      <c r="I16" s="2502"/>
      <c r="J16" s="2502"/>
      <c r="K16" s="2502"/>
      <c r="L16" s="322"/>
    </row>
    <row r="17" spans="2:12" ht="13.5" customHeight="1" x14ac:dyDescent="0.2">
      <c r="B17" s="1381" t="s">
        <v>1301</v>
      </c>
      <c r="C17" s="1381"/>
      <c r="D17" s="2503"/>
      <c r="E17" s="2503"/>
      <c r="F17" s="2503"/>
      <c r="G17" s="2503"/>
      <c r="H17" s="2503"/>
      <c r="I17" s="2503"/>
      <c r="J17" s="2503"/>
      <c r="K17" s="250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3"/>
      <c r="C20" s="2493"/>
      <c r="D20" s="2493"/>
      <c r="E20" s="2493"/>
      <c r="F20" s="2493"/>
      <c r="G20" s="2493"/>
      <c r="H20" s="2493"/>
      <c r="I20" s="2493"/>
      <c r="J20" s="2493"/>
      <c r="K20" s="249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6" zoomScaleNormal="116"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1" t="str">
        <f>'Single Audit Cover'!A7</f>
        <v>Limestone Walters CCSD 316</v>
      </c>
      <c r="C1" s="2471"/>
      <c r="D1" s="2471"/>
      <c r="E1" s="1466"/>
    </row>
    <row r="2" spans="2:5" s="1276" customFormat="1" ht="12.75" customHeight="1" x14ac:dyDescent="0.2">
      <c r="B2" s="2473">
        <f>'Single Audit Cover'!E7</f>
        <v>48072316004</v>
      </c>
      <c r="C2" s="2473"/>
      <c r="D2" s="2473"/>
      <c r="E2" s="1467"/>
    </row>
    <row r="3" spans="2:5" ht="12.75" customHeight="1" x14ac:dyDescent="0.2">
      <c r="B3" s="2494" t="s">
        <v>1766</v>
      </c>
      <c r="C3" s="2494"/>
      <c r="D3" s="2494"/>
      <c r="E3" s="1268"/>
    </row>
    <row r="4" spans="2:5" s="1276" customFormat="1" ht="12.75" customHeight="1" x14ac:dyDescent="0.2">
      <c r="B4" s="2504" t="str">
        <f>'Single Audit Cover'!A4</f>
        <v>Year Ending June 30, 2019</v>
      </c>
      <c r="C4" s="2504"/>
      <c r="D4" s="2504"/>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2085</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6" t="str">
        <f>COVER!A17</f>
        <v>Limestone Walters CCSD 316</v>
      </c>
      <c r="C1" s="2506"/>
      <c r="D1" s="2506"/>
      <c r="E1" s="2506"/>
      <c r="F1" s="1934"/>
      <c r="G1" s="1934"/>
      <c r="H1" s="1934"/>
      <c r="I1" s="1934"/>
      <c r="J1" s="1934"/>
      <c r="K1" s="1934"/>
      <c r="L1" s="1934"/>
    </row>
    <row r="2" spans="2:12" ht="13.5" customHeight="1" x14ac:dyDescent="0.2">
      <c r="B2" s="2507">
        <f>COVER!A13</f>
        <v>48072316004</v>
      </c>
      <c r="C2" s="2507"/>
      <c r="D2" s="2507"/>
      <c r="E2" s="2507"/>
      <c r="F2" s="1936"/>
      <c r="G2" s="1936"/>
      <c r="H2" s="1936"/>
      <c r="I2" s="1936"/>
      <c r="J2" s="1936"/>
      <c r="K2" s="1936"/>
      <c r="L2" s="1936"/>
    </row>
    <row r="3" spans="2:12" ht="13.5" customHeight="1" x14ac:dyDescent="0.2">
      <c r="B3" s="2508" t="s">
        <v>2086</v>
      </c>
      <c r="C3" s="2508"/>
      <c r="D3" s="2508"/>
      <c r="E3" s="2508"/>
      <c r="F3" s="1937"/>
      <c r="G3" s="1937"/>
      <c r="H3" s="1937"/>
      <c r="I3" s="1937"/>
      <c r="J3" s="1937"/>
      <c r="K3" s="1937"/>
      <c r="L3" s="1937"/>
    </row>
    <row r="4" spans="2:12" ht="13.5" customHeight="1" x14ac:dyDescent="0.2">
      <c r="B4" s="2509" t="s">
        <v>1989</v>
      </c>
      <c r="C4" s="2509"/>
      <c r="D4" s="2509"/>
      <c r="E4" s="2509"/>
      <c r="F4" s="1938"/>
      <c r="G4" s="1938"/>
      <c r="H4" s="1938"/>
      <c r="I4" s="1938"/>
      <c r="J4" s="1938"/>
      <c r="K4" s="1938"/>
      <c r="L4" s="1938"/>
    </row>
    <row r="5" spans="2:12" ht="29.85" customHeight="1" x14ac:dyDescent="0.2"/>
    <row r="6" spans="2:12" ht="13.5" customHeight="1" x14ac:dyDescent="0.2">
      <c r="B6" s="1939" t="s">
        <v>2087</v>
      </c>
      <c r="C6" s="1939"/>
      <c r="D6" s="1940"/>
      <c r="E6" s="1941"/>
      <c r="F6" s="1941"/>
      <c r="G6" s="1942"/>
      <c r="H6" s="1942"/>
      <c r="I6" s="1942"/>
    </row>
    <row r="7" spans="2:12" ht="13.5" customHeight="1" x14ac:dyDescent="0.2">
      <c r="B7" s="1935" t="s">
        <v>1169</v>
      </c>
    </row>
    <row r="8" spans="2:12" ht="13.5" customHeight="1" x14ac:dyDescent="0.2">
      <c r="B8" s="1943" t="s">
        <v>2088</v>
      </c>
      <c r="C8" s="1944" t="s">
        <v>1991</v>
      </c>
      <c r="D8" s="1945">
        <v>1</v>
      </c>
    </row>
    <row r="9" spans="2:12" ht="13.5" customHeight="1" x14ac:dyDescent="0.2">
      <c r="B9" s="1946"/>
      <c r="C9" s="1946"/>
      <c r="D9" s="1946"/>
    </row>
    <row r="10" spans="2:12" ht="13.5" customHeight="1" x14ac:dyDescent="0.2">
      <c r="B10" s="1943" t="s">
        <v>2089</v>
      </c>
      <c r="C10" s="1943"/>
    </row>
    <row r="11" spans="2:12" ht="66.75" customHeight="1" x14ac:dyDescent="0.2">
      <c r="B11" s="2505" t="str">
        <f>'Finding 2019-001'!B17:K17</f>
        <v xml:space="preserve">IMRF tax levy proceeds were used to pay for Social Security/Medicare employment taxes not eligible to be paid with funds from the IMRF tax levy. </v>
      </c>
      <c r="C11" s="2505"/>
      <c r="D11" s="2505"/>
      <c r="E11" s="2505"/>
    </row>
    <row r="12" spans="2:12" ht="13.5" customHeight="1" x14ac:dyDescent="0.2"/>
    <row r="13" spans="2:12" ht="13.5" customHeight="1" x14ac:dyDescent="0.2">
      <c r="B13" s="1943" t="s">
        <v>2090</v>
      </c>
      <c r="C13" s="1943"/>
    </row>
    <row r="14" spans="2:12" ht="76.5" customHeight="1" x14ac:dyDescent="0.2">
      <c r="B14" s="2505" t="s">
        <v>2103</v>
      </c>
      <c r="C14" s="2505"/>
      <c r="D14" s="2505"/>
      <c r="E14" s="2505"/>
    </row>
    <row r="15" spans="2:12" ht="13.5" customHeight="1" x14ac:dyDescent="0.2"/>
    <row r="16" spans="2:12" ht="13.5" customHeight="1" x14ac:dyDescent="0.2">
      <c r="B16" s="1943" t="s">
        <v>2091</v>
      </c>
      <c r="C16" s="1943"/>
      <c r="E16" s="1947">
        <v>44377</v>
      </c>
    </row>
    <row r="17" spans="2:5" ht="13.5" customHeight="1" x14ac:dyDescent="0.2"/>
    <row r="18" spans="2:5" ht="13.5" customHeight="1" x14ac:dyDescent="0.2">
      <c r="B18" s="1943" t="s">
        <v>2092</v>
      </c>
      <c r="C18" s="1943"/>
      <c r="E18" s="1948" t="s">
        <v>2095</v>
      </c>
    </row>
    <row r="19" spans="2:5" ht="13.5" customHeight="1" x14ac:dyDescent="0.2"/>
    <row r="20" spans="2:5" ht="13.5" customHeight="1" x14ac:dyDescent="0.2">
      <c r="B20" s="1943" t="s">
        <v>2093</v>
      </c>
      <c r="C20" s="1943"/>
      <c r="E20" s="1948" t="s">
        <v>2102</v>
      </c>
    </row>
    <row r="21" spans="2:5" ht="13.5" customHeight="1" x14ac:dyDescent="0.2">
      <c r="E21" s="1948"/>
    </row>
    <row r="22" spans="2:5" ht="13.5" customHeight="1" x14ac:dyDescent="0.2">
      <c r="E22" s="1948"/>
    </row>
    <row r="23" spans="2:5" ht="13.5" customHeight="1" x14ac:dyDescent="0.2"/>
    <row r="24" spans="2:5" ht="13.5" customHeight="1" x14ac:dyDescent="0.2"/>
    <row r="25" spans="2:5" ht="13.5" customHeight="1" x14ac:dyDescent="0.2">
      <c r="B25" s="1949"/>
      <c r="C25" s="1949"/>
      <c r="D25" s="1949"/>
    </row>
    <row r="26" spans="2:5" ht="13.5" customHeight="1" x14ac:dyDescent="0.2">
      <c r="B26" s="1949"/>
      <c r="C26" s="1949"/>
      <c r="D26" s="1949"/>
    </row>
    <row r="27" spans="2:5" ht="13.5" customHeight="1" x14ac:dyDescent="0.2">
      <c r="B27" s="1949"/>
      <c r="C27" s="1949"/>
      <c r="D27" s="194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0"/>
      <c r="C35" s="1950"/>
      <c r="D35" s="1950"/>
    </row>
    <row r="36" spans="2:5" ht="13.5" customHeight="1" x14ac:dyDescent="0.2"/>
    <row r="37" spans="2:5" ht="13.5" customHeight="1" x14ac:dyDescent="0.2">
      <c r="B37" s="1950"/>
      <c r="C37" s="1950"/>
      <c r="D37" s="1950"/>
    </row>
    <row r="38" spans="2:5" ht="13.5" customHeight="1" x14ac:dyDescent="0.2">
      <c r="B38" s="1950"/>
      <c r="C38" s="1950"/>
      <c r="D38" s="1950"/>
    </row>
    <row r="39" spans="2:5" ht="13.5" customHeight="1" x14ac:dyDescent="0.2">
      <c r="B39" s="1950"/>
      <c r="C39" s="1950"/>
      <c r="D39" s="1950"/>
    </row>
    <row r="40" spans="2:5" ht="13.5" customHeight="1" x14ac:dyDescent="0.2">
      <c r="B40" s="1950"/>
      <c r="C40" s="1950"/>
      <c r="D40" s="1950"/>
    </row>
    <row r="41" spans="2:5" ht="13.5" customHeight="1" x14ac:dyDescent="0.2">
      <c r="B41" s="1951"/>
      <c r="C41" s="1951"/>
      <c r="D41" s="1951"/>
      <c r="E41" s="1951"/>
    </row>
    <row r="42" spans="2:5" ht="12.2" customHeight="1" x14ac:dyDescent="0.2">
      <c r="B42" s="1952" t="s">
        <v>2094</v>
      </c>
      <c r="C42" s="1952"/>
      <c r="D42" s="1952"/>
    </row>
    <row r="43" spans="2:5" ht="12.2" customHeight="1" x14ac:dyDescent="0.2">
      <c r="B43" s="1953"/>
      <c r="C43" s="1953"/>
      <c r="D43" s="1953"/>
    </row>
    <row r="44" spans="2:5" ht="12.75" customHeight="1" x14ac:dyDescent="0.2">
      <c r="B44" s="1943"/>
      <c r="C44" s="1943"/>
      <c r="D44" s="1943"/>
    </row>
    <row r="45" spans="2:5" ht="12.75" customHeight="1" x14ac:dyDescent="0.2">
      <c r="B45" s="1943"/>
      <c r="C45" s="1943"/>
      <c r="D45" s="1943"/>
    </row>
    <row r="46" spans="2:5" x14ac:dyDescent="0.2">
      <c r="B46" s="1943"/>
      <c r="C46" s="1943"/>
      <c r="D46" s="1943"/>
    </row>
    <row r="47" spans="2:5" x14ac:dyDescent="0.2">
      <c r="B47" s="1943"/>
      <c r="C47" s="1943"/>
      <c r="D47" s="1943"/>
    </row>
    <row r="51" spans="2:4" x14ac:dyDescent="0.2">
      <c r="B51" s="1954"/>
      <c r="C51" s="1954"/>
      <c r="D51" s="19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5"/>
      <c r="C64" s="1955"/>
      <c r="D64" s="1955"/>
    </row>
    <row r="65" spans="2:4" x14ac:dyDescent="0.2">
      <c r="B65" s="1943"/>
      <c r="C65" s="1943"/>
      <c r="D65" s="1943"/>
    </row>
    <row r="66" spans="2:4" x14ac:dyDescent="0.2">
      <c r="B66" s="1943"/>
      <c r="C66" s="1943"/>
      <c r="D66" s="1943"/>
    </row>
    <row r="67" spans="2:4" x14ac:dyDescent="0.2">
      <c r="B67" s="1955"/>
      <c r="C67" s="1955"/>
      <c r="D67" s="1955"/>
    </row>
    <row r="68" spans="2:4" x14ac:dyDescent="0.2">
      <c r="B68" s="1955"/>
      <c r="C68" s="1955"/>
      <c r="D68" s="1955"/>
    </row>
    <row r="69" spans="2:4" x14ac:dyDescent="0.2">
      <c r="B69" s="1955"/>
      <c r="C69" s="1955"/>
      <c r="D69" s="1955"/>
    </row>
    <row r="70" spans="2:4" x14ac:dyDescent="0.2">
      <c r="B70" s="1943"/>
      <c r="C70" s="1943"/>
      <c r="D70" s="1943"/>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49544577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2.3400000000000001E-2</v>
      </c>
      <c r="E10" s="356" t="s">
        <v>1005</v>
      </c>
      <c r="F10" s="355">
        <v>2.0184000000000001E-3</v>
      </c>
      <c r="G10" s="356" t="s">
        <v>1005</v>
      </c>
      <c r="H10" s="355">
        <v>1.312E-3</v>
      </c>
      <c r="I10" s="356" t="s">
        <v>1006</v>
      </c>
      <c r="J10" s="1729">
        <f>ROUND(D10+F10+H10,5)</f>
        <v>2.673E-2</v>
      </c>
      <c r="K10" s="222"/>
      <c r="L10" s="355">
        <v>1.01E-4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1750890</v>
      </c>
      <c r="E16" s="356"/>
      <c r="F16" s="1730">
        <f>SUM('Acct Summary 7-8'!C17,'Acct Summary 7-8'!D17,'Acct Summary 7-8'!F17)</f>
        <v>1839149</v>
      </c>
      <c r="G16" s="356"/>
      <c r="H16" s="1730">
        <f>SUM(D16-F16)</f>
        <v>-88259</v>
      </c>
      <c r="I16" s="222"/>
      <c r="J16" s="1730">
        <f>SUM('Acct Summary 7-8'!C81,'Acct Summary 7-8'!D81,'Acct Summary 7-8'!F81,'Acct Summary 7-8'!I81)</f>
        <v>1504000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2">
        <f>IF(B31="X",(J7*0.069),IF(B32="X",(J7*0.138),"Enter x in a.or b."))</f>
        <v>3418575.8130000001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Limestone Walters CCSD 316</v>
      </c>
      <c r="E7" s="391"/>
      <c r="G7" s="252"/>
      <c r="H7" s="387"/>
      <c r="I7" s="387"/>
      <c r="J7" s="387"/>
      <c r="K7" s="387"/>
      <c r="L7" s="329"/>
      <c r="M7" s="329"/>
      <c r="N7" s="329"/>
      <c r="O7" s="329"/>
      <c r="P7" s="329"/>
    </row>
    <row r="8" spans="1:18" ht="12.75" x14ac:dyDescent="0.2">
      <c r="A8" s="329"/>
      <c r="B8" s="329"/>
      <c r="C8" s="389" t="s">
        <v>1125</v>
      </c>
      <c r="D8" s="392">
        <f>COVER!A13</f>
        <v>48072316004</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1504000</v>
      </c>
      <c r="I12" s="404"/>
      <c r="J12" s="404"/>
      <c r="K12" s="405">
        <f>TRUNC((H12/H13*100000),5)/100000</f>
        <v>0.85899171270000008</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1750890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1839149</v>
      </c>
      <c r="I17" s="404"/>
      <c r="J17" s="416"/>
      <c r="K17" s="405">
        <f>TRUNC((H17/H18*100000),5)/100000</f>
        <v>1.0504080781</v>
      </c>
      <c r="L17" s="406"/>
      <c r="M17" s="417" t="s">
        <v>1171</v>
      </c>
      <c r="O17" s="418" t="str">
        <f>IF(AND(O16="2", J20 &gt; 2),"1",IF(AND(O16 = "1", J20 &gt; 2),"2",IF(AND(O16="1", J20 &gt;1),"1","0")))</f>
        <v>0</v>
      </c>
      <c r="P17" s="218"/>
    </row>
    <row r="18" spans="1:18" s="408" customFormat="1" ht="11.25" x14ac:dyDescent="0.2">
      <c r="A18" s="218"/>
      <c r="B18" s="401"/>
      <c r="C18" s="2119" t="s">
        <v>1317</v>
      </c>
      <c r="D18" s="2120"/>
      <c r="E18" s="218"/>
      <c r="F18" s="419" t="s">
        <v>794</v>
      </c>
      <c r="G18" s="402"/>
      <c r="H18" s="403">
        <f>SUM('Acct Summary 7-8'!C8+'Acct Summary 7-8'!D8+'Acct Summary 7-8'!F8+'Acct Summary 7-8'!I8)+H19</f>
        <v>1750890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15.056946</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1504000</v>
      </c>
      <c r="I24" s="422"/>
      <c r="J24" s="422"/>
      <c r="K24" s="423">
        <f>TRUNC(((H24/H25*100000)/100000),2)</f>
        <v>294.39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5108.7472200000002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1125677.56173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3418575.8130000001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56"/>
      <c r="D3" s="1557"/>
      <c r="E3" s="1557"/>
      <c r="F3" s="1557"/>
      <c r="G3" s="1557"/>
      <c r="H3" s="1557"/>
      <c r="I3" s="1557"/>
      <c r="J3" s="1557"/>
      <c r="K3" s="1557"/>
      <c r="L3" s="1557"/>
      <c r="M3" s="1558"/>
      <c r="N3" s="1559"/>
    </row>
    <row r="4" spans="1:14" ht="13.5" customHeight="1" x14ac:dyDescent="0.2">
      <c r="A4" s="463" t="s">
        <v>1651</v>
      </c>
      <c r="B4" s="464"/>
      <c r="C4" s="465">
        <v>23962</v>
      </c>
      <c r="D4" s="465">
        <v>8281</v>
      </c>
      <c r="E4" s="465">
        <v>0</v>
      </c>
      <c r="F4" s="465">
        <v>3273</v>
      </c>
      <c r="G4" s="465">
        <v>3141</v>
      </c>
      <c r="H4" s="465">
        <v>5569</v>
      </c>
      <c r="I4" s="465">
        <v>354</v>
      </c>
      <c r="J4" s="465">
        <v>2023</v>
      </c>
      <c r="K4" s="465">
        <v>1455</v>
      </c>
      <c r="L4" s="465">
        <v>44170</v>
      </c>
      <c r="M4" s="468"/>
      <c r="N4" s="469"/>
    </row>
    <row r="5" spans="1:14" x14ac:dyDescent="0.2">
      <c r="A5" s="463" t="s">
        <v>992</v>
      </c>
      <c r="B5" s="470">
        <v>120</v>
      </c>
      <c r="C5" s="465">
        <v>849117</v>
      </c>
      <c r="D5" s="465">
        <v>305180</v>
      </c>
      <c r="E5" s="465">
        <v>0</v>
      </c>
      <c r="F5" s="465">
        <v>186676</v>
      </c>
      <c r="G5" s="465">
        <v>17420</v>
      </c>
      <c r="H5" s="465">
        <v>53354</v>
      </c>
      <c r="I5" s="465">
        <v>127157</v>
      </c>
      <c r="J5" s="465">
        <v>21549</v>
      </c>
      <c r="K5" s="465">
        <v>41989</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873079</v>
      </c>
      <c r="D13" s="1734">
        <f t="shared" ref="D13:L13" si="0">SUM(D4:D12)</f>
        <v>313461</v>
      </c>
      <c r="E13" s="1734">
        <f t="shared" si="0"/>
        <v>0</v>
      </c>
      <c r="F13" s="1734">
        <f t="shared" si="0"/>
        <v>189949</v>
      </c>
      <c r="G13" s="1734">
        <f t="shared" si="0"/>
        <v>20561</v>
      </c>
      <c r="H13" s="1734">
        <f t="shared" si="0"/>
        <v>58923</v>
      </c>
      <c r="I13" s="1734">
        <f t="shared" si="0"/>
        <v>127511</v>
      </c>
      <c r="J13" s="1734">
        <f t="shared" si="0"/>
        <v>23572</v>
      </c>
      <c r="K13" s="1734">
        <f t="shared" si="0"/>
        <v>43444</v>
      </c>
      <c r="L13" s="1734">
        <f t="shared" si="0"/>
        <v>44170</v>
      </c>
      <c r="M13" s="468"/>
      <c r="N13" s="469"/>
    </row>
    <row r="14" spans="1:14" ht="18" customHeight="1" thickTop="1" x14ac:dyDescent="0.2">
      <c r="A14" s="2128" t="s">
        <v>147</v>
      </c>
      <c r="B14" s="2129"/>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20000</v>
      </c>
      <c r="N16" s="482"/>
    </row>
    <row r="17" spans="1:14" s="483" customFormat="1" ht="12.75" customHeight="1" x14ac:dyDescent="0.2">
      <c r="A17" s="480" t="s">
        <v>1403</v>
      </c>
      <c r="B17" s="481">
        <v>230</v>
      </c>
      <c r="C17" s="475"/>
      <c r="D17" s="475"/>
      <c r="E17" s="475"/>
      <c r="F17" s="475"/>
      <c r="G17" s="475"/>
      <c r="H17" s="475"/>
      <c r="I17" s="475"/>
      <c r="J17" s="475"/>
      <c r="K17" s="475"/>
      <c r="L17" s="475"/>
      <c r="M17" s="465">
        <v>1461081</v>
      </c>
      <c r="N17" s="482"/>
    </row>
    <row r="18" spans="1:14" s="483" customFormat="1" ht="12.75" customHeight="1" x14ac:dyDescent="0.2">
      <c r="A18" s="480" t="s">
        <v>1404</v>
      </c>
      <c r="B18" s="481">
        <v>240</v>
      </c>
      <c r="C18" s="475"/>
      <c r="D18" s="475"/>
      <c r="E18" s="475"/>
      <c r="F18" s="475"/>
      <c r="G18" s="475"/>
      <c r="H18" s="475"/>
      <c r="I18" s="475"/>
      <c r="J18" s="475"/>
      <c r="K18" s="475"/>
      <c r="L18" s="475"/>
      <c r="M18" s="465">
        <v>495815</v>
      </c>
      <c r="N18" s="482"/>
    </row>
    <row r="19" spans="1:14" s="483" customFormat="1" ht="12.75" customHeight="1" x14ac:dyDescent="0.2">
      <c r="A19" s="480" t="s">
        <v>1405</v>
      </c>
      <c r="B19" s="481">
        <v>250</v>
      </c>
      <c r="C19" s="475"/>
      <c r="D19" s="475"/>
      <c r="E19" s="475"/>
      <c r="F19" s="475"/>
      <c r="G19" s="475"/>
      <c r="H19" s="475"/>
      <c r="I19" s="475"/>
      <c r="J19" s="475"/>
      <c r="K19" s="475"/>
      <c r="L19" s="475"/>
      <c r="M19" s="465">
        <v>189010</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2165906</v>
      </c>
      <c r="N23" s="1685">
        <f>SUM(N21:N22)</f>
        <v>0</v>
      </c>
    </row>
    <row r="24" spans="1:14" ht="18" customHeight="1" thickTop="1" x14ac:dyDescent="0.2">
      <c r="A24" s="2130" t="s">
        <v>598</v>
      </c>
      <c r="B24" s="2131"/>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42070</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42070</v>
      </c>
      <c r="M34" s="468"/>
      <c r="N34" s="478"/>
    </row>
    <row r="35" spans="1:14" ht="18" customHeight="1" thickTop="1" x14ac:dyDescent="0.2">
      <c r="A35" s="2132" t="s">
        <v>529</v>
      </c>
      <c r="B35" s="2133"/>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0</v>
      </c>
      <c r="D38" s="465">
        <v>0</v>
      </c>
      <c r="E38" s="465">
        <v>0</v>
      </c>
      <c r="F38" s="465">
        <v>0</v>
      </c>
      <c r="G38" s="465">
        <v>0</v>
      </c>
      <c r="H38" s="465">
        <v>58923</v>
      </c>
      <c r="I38" s="465">
        <v>0</v>
      </c>
      <c r="J38" s="465">
        <v>0</v>
      </c>
      <c r="K38" s="465">
        <v>0</v>
      </c>
      <c r="L38" s="465">
        <v>2100</v>
      </c>
      <c r="M38" s="494"/>
      <c r="N38" s="494"/>
    </row>
    <row r="39" spans="1:14" s="329" customFormat="1" ht="13.5" customHeight="1" x14ac:dyDescent="0.2">
      <c r="A39" s="493" t="s">
        <v>342</v>
      </c>
      <c r="B39" s="481">
        <v>730</v>
      </c>
      <c r="C39" s="465">
        <v>873079</v>
      </c>
      <c r="D39" s="465">
        <v>313461</v>
      </c>
      <c r="E39" s="465">
        <v>0</v>
      </c>
      <c r="F39" s="465">
        <v>189949</v>
      </c>
      <c r="G39" s="465">
        <v>20561</v>
      </c>
      <c r="H39" s="465">
        <v>0</v>
      </c>
      <c r="I39" s="465">
        <v>127511</v>
      </c>
      <c r="J39" s="465">
        <v>23572</v>
      </c>
      <c r="K39" s="465">
        <v>43444</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2165906</v>
      </c>
      <c r="N40" s="494"/>
    </row>
    <row r="41" spans="1:14" ht="13.5" customHeight="1" thickBot="1" x14ac:dyDescent="0.25">
      <c r="A41" s="1733" t="s">
        <v>655</v>
      </c>
      <c r="B41" s="1703"/>
      <c r="C41" s="1685">
        <f>(SUM(C34,C37,C38,C39))</f>
        <v>873079</v>
      </c>
      <c r="D41" s="1685">
        <f t="shared" ref="D41:L41" si="2">SUM(D34,D37,D38:D39)</f>
        <v>313461</v>
      </c>
      <c r="E41" s="1685">
        <f t="shared" si="2"/>
        <v>0</v>
      </c>
      <c r="F41" s="1685">
        <f t="shared" si="2"/>
        <v>189949</v>
      </c>
      <c r="G41" s="1685">
        <f t="shared" si="2"/>
        <v>20561</v>
      </c>
      <c r="H41" s="1685">
        <f t="shared" si="2"/>
        <v>58923</v>
      </c>
      <c r="I41" s="1685">
        <f t="shared" si="2"/>
        <v>127511</v>
      </c>
      <c r="J41" s="1685">
        <f t="shared" si="2"/>
        <v>23572</v>
      </c>
      <c r="K41" s="1685">
        <f t="shared" si="2"/>
        <v>43444</v>
      </c>
      <c r="L41" s="1685">
        <f t="shared" si="2"/>
        <v>44170</v>
      </c>
      <c r="M41" s="1685">
        <f>SUM(M40)</f>
        <v>2165906</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32" sqref="J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4" t="s">
        <v>1175</v>
      </c>
      <c r="B3" s="2155"/>
      <c r="C3" s="1570"/>
      <c r="D3" s="1571"/>
      <c r="E3" s="1571"/>
      <c r="F3" s="1571"/>
      <c r="G3" s="1571"/>
      <c r="H3" s="1571"/>
      <c r="I3" s="1571"/>
      <c r="J3" s="1571"/>
      <c r="K3" s="1572"/>
      <c r="L3" s="503"/>
    </row>
    <row r="4" spans="1:13" ht="15.75" customHeight="1" x14ac:dyDescent="0.2">
      <c r="A4" s="1925" t="s">
        <v>1499</v>
      </c>
      <c r="B4" s="1926">
        <v>1000</v>
      </c>
      <c r="C4" s="1739">
        <f>'Revenues 9-14'!C109</f>
        <v>1281349</v>
      </c>
      <c r="D4" s="1739">
        <f>'Revenues 9-14'!D109</f>
        <v>130523</v>
      </c>
      <c r="E4" s="1739">
        <f>'Revenues 9-14'!E109</f>
        <v>0</v>
      </c>
      <c r="F4" s="1739">
        <f>'Revenues 9-14'!F109</f>
        <v>67980</v>
      </c>
      <c r="G4" s="1739">
        <f>'Revenues 9-14'!G109</f>
        <v>34528</v>
      </c>
      <c r="H4" s="1739">
        <f>'Revenues 9-14'!H109</f>
        <v>62929</v>
      </c>
      <c r="I4" s="1739">
        <f>'Revenues 9-14'!I109</f>
        <v>6557</v>
      </c>
      <c r="J4" s="1739">
        <f>'Revenues 9-14'!J109</f>
        <v>40680</v>
      </c>
      <c r="K4" s="1739">
        <f>'Revenues 9-14'!K109</f>
        <v>502</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119605</v>
      </c>
      <c r="D6" s="1740">
        <f>'Revenues 9-14'!D170</f>
        <v>0</v>
      </c>
      <c r="E6" s="1740">
        <f>'Revenues 9-14'!E170</f>
        <v>0</v>
      </c>
      <c r="F6" s="1740">
        <f>'Revenues 9-14'!F170</f>
        <v>80726</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57080</v>
      </c>
      <c r="D7" s="1740">
        <f>'Revenues 9-14'!D267</f>
        <v>7070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1458034</v>
      </c>
      <c r="D8" s="1685">
        <f t="shared" ref="D8:K8" si="0">SUM(D4:D7)</f>
        <v>137593</v>
      </c>
      <c r="E8" s="1685">
        <f t="shared" si="0"/>
        <v>0</v>
      </c>
      <c r="F8" s="1685">
        <f t="shared" si="0"/>
        <v>148706</v>
      </c>
      <c r="G8" s="1685">
        <f t="shared" si="0"/>
        <v>34528</v>
      </c>
      <c r="H8" s="1685">
        <f t="shared" si="0"/>
        <v>62929</v>
      </c>
      <c r="I8" s="1685">
        <f t="shared" si="0"/>
        <v>6557</v>
      </c>
      <c r="J8" s="1685">
        <f t="shared" si="0"/>
        <v>40680</v>
      </c>
      <c r="K8" s="1685">
        <f t="shared" si="0"/>
        <v>502</v>
      </c>
      <c r="L8" s="347"/>
    </row>
    <row r="9" spans="1:13" ht="15.75" thickTop="1" x14ac:dyDescent="0.2">
      <c r="A9" s="511" t="s">
        <v>1653</v>
      </c>
      <c r="B9" s="512">
        <v>3998</v>
      </c>
      <c r="C9" s="465">
        <v>534339</v>
      </c>
      <c r="D9" s="513"/>
      <c r="E9" s="479"/>
      <c r="F9" s="479"/>
      <c r="G9" s="514"/>
      <c r="H9" s="479"/>
      <c r="I9" s="506" t="s">
        <v>1169</v>
      </c>
      <c r="J9" s="476"/>
      <c r="K9" s="479"/>
      <c r="L9" s="347"/>
    </row>
    <row r="10" spans="1:13" s="516" customFormat="1" ht="13.5" thickBot="1" x14ac:dyDescent="0.25">
      <c r="A10" s="1733" t="s">
        <v>1173</v>
      </c>
      <c r="B10" s="1706"/>
      <c r="C10" s="1685">
        <f>SUM(C8:C9)</f>
        <v>1992373</v>
      </c>
      <c r="D10" s="1685">
        <f t="shared" ref="D10:K10" si="1">SUM(D8:D9)</f>
        <v>137593</v>
      </c>
      <c r="E10" s="1685">
        <f t="shared" si="1"/>
        <v>0</v>
      </c>
      <c r="F10" s="1685">
        <f t="shared" si="1"/>
        <v>148706</v>
      </c>
      <c r="G10" s="1685">
        <f t="shared" si="1"/>
        <v>34528</v>
      </c>
      <c r="H10" s="1685">
        <f t="shared" si="1"/>
        <v>62929</v>
      </c>
      <c r="I10" s="1685">
        <f t="shared" si="1"/>
        <v>6557</v>
      </c>
      <c r="J10" s="1685">
        <f t="shared" si="1"/>
        <v>40680</v>
      </c>
      <c r="K10" s="1685">
        <f t="shared" si="1"/>
        <v>502</v>
      </c>
      <c r="L10" s="515"/>
    </row>
    <row r="11" spans="1:13" s="516" customFormat="1" ht="16.7" customHeight="1" thickTop="1" x14ac:dyDescent="0.2">
      <c r="A11" s="2128" t="s">
        <v>1176</v>
      </c>
      <c r="B11" s="2129"/>
      <c r="C11" s="1567"/>
      <c r="D11" s="1568"/>
      <c r="E11" s="1568"/>
      <c r="F11" s="1568"/>
      <c r="G11" s="1568"/>
      <c r="H11" s="1568"/>
      <c r="I11" s="1568"/>
      <c r="J11" s="1568"/>
      <c r="K11" s="1569"/>
      <c r="L11" s="515"/>
    </row>
    <row r="12" spans="1:13" ht="15.75" customHeight="1" x14ac:dyDescent="0.2">
      <c r="A12" s="1573" t="s">
        <v>456</v>
      </c>
      <c r="B12" s="1575">
        <v>1000</v>
      </c>
      <c r="C12" s="1739">
        <f>'Expenditures 15-22'!K33</f>
        <v>909111</v>
      </c>
      <c r="D12" s="517" t="s">
        <v>1169</v>
      </c>
      <c r="E12" s="468" t="s">
        <v>1169</v>
      </c>
      <c r="F12" s="468" t="s">
        <v>1169</v>
      </c>
      <c r="G12" s="1739">
        <f>'Expenditures 15-22'!K229</f>
        <v>18672</v>
      </c>
      <c r="H12" s="518"/>
      <c r="I12" s="468" t="s">
        <v>1169</v>
      </c>
      <c r="J12" s="468" t="s">
        <v>1169</v>
      </c>
      <c r="K12" s="518" t="s">
        <v>1169</v>
      </c>
      <c r="L12" s="347"/>
    </row>
    <row r="13" spans="1:13" ht="15.75" customHeight="1" x14ac:dyDescent="0.2">
      <c r="A13" s="1573" t="s">
        <v>457</v>
      </c>
      <c r="B13" s="1575">
        <v>2000</v>
      </c>
      <c r="C13" s="1740">
        <f>'Expenditures 15-22'!K74</f>
        <v>454796</v>
      </c>
      <c r="D13" s="1740">
        <f>'Expenditures 15-22'!K129</f>
        <v>116425</v>
      </c>
      <c r="E13" s="469" t="s">
        <v>1169</v>
      </c>
      <c r="F13" s="1740">
        <f>'Expenditures 15-22'!K184</f>
        <v>131463</v>
      </c>
      <c r="G13" s="1740">
        <f>'Expenditures 15-22'!K279</f>
        <v>25131</v>
      </c>
      <c r="H13" s="1740">
        <f>'Expenditures 15-22'!K303</f>
        <v>50300</v>
      </c>
      <c r="I13" s="468" t="s">
        <v>1169</v>
      </c>
      <c r="J13" s="1740">
        <f>'Expenditures 15-22'!K330</f>
        <v>35733</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227354</v>
      </c>
      <c r="D15" s="1740">
        <f>'Expenditures 15-22'!K139</f>
        <v>0</v>
      </c>
      <c r="E15" s="1740">
        <f>'Expenditures 15-22'!K160</f>
        <v>0</v>
      </c>
      <c r="F15" s="1740">
        <f>'Expenditures 15-22'!K196</f>
        <v>0</v>
      </c>
      <c r="G15" s="1740">
        <f>'Expenditures 15-22'!K285</f>
        <v>4008</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1591261</v>
      </c>
      <c r="D17" s="1685">
        <f t="shared" si="2"/>
        <v>116425</v>
      </c>
      <c r="E17" s="1685">
        <f t="shared" si="2"/>
        <v>0</v>
      </c>
      <c r="F17" s="1685">
        <f t="shared" si="2"/>
        <v>131463</v>
      </c>
      <c r="G17" s="1685">
        <f t="shared" si="2"/>
        <v>47811</v>
      </c>
      <c r="H17" s="1685">
        <f t="shared" si="2"/>
        <v>50300</v>
      </c>
      <c r="I17" s="468"/>
      <c r="J17" s="1685">
        <f>SUM(J12:J16)</f>
        <v>35733</v>
      </c>
      <c r="K17" s="1685">
        <f>SUM(K12:K16)</f>
        <v>0</v>
      </c>
      <c r="L17" s="347"/>
    </row>
    <row r="18" spans="1:12" ht="15" customHeight="1" thickTop="1" x14ac:dyDescent="0.2">
      <c r="A18" s="1741" t="s">
        <v>1654</v>
      </c>
      <c r="B18" s="1742">
        <v>4180</v>
      </c>
      <c r="C18" s="1739">
        <f t="shared" ref="C18:H18" si="3">C9</f>
        <v>534339</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2125600</v>
      </c>
      <c r="D19" s="1685">
        <f t="shared" si="4"/>
        <v>116425</v>
      </c>
      <c r="E19" s="1685">
        <f t="shared" si="4"/>
        <v>0</v>
      </c>
      <c r="F19" s="1685">
        <f t="shared" si="4"/>
        <v>131463</v>
      </c>
      <c r="G19" s="1685">
        <f t="shared" si="4"/>
        <v>47811</v>
      </c>
      <c r="H19" s="1685">
        <f t="shared" si="4"/>
        <v>50300</v>
      </c>
      <c r="I19" s="468"/>
      <c r="J19" s="1685">
        <f>SUM(J17:J18)</f>
        <v>35733</v>
      </c>
      <c r="K19" s="1685">
        <f>SUM(K17:K18)</f>
        <v>0</v>
      </c>
      <c r="L19" s="347"/>
    </row>
    <row r="20" spans="1:12" ht="16.5" thickTop="1" thickBot="1" x14ac:dyDescent="0.25">
      <c r="A20" s="2144" t="s">
        <v>1655</v>
      </c>
      <c r="B20" s="2145"/>
      <c r="C20" s="1743">
        <f>C8-C17</f>
        <v>-133227</v>
      </c>
      <c r="D20" s="1743">
        <f t="shared" ref="D20:K20" si="5">D8-D17</f>
        <v>21168</v>
      </c>
      <c r="E20" s="1743">
        <f t="shared" si="5"/>
        <v>0</v>
      </c>
      <c r="F20" s="1743">
        <f t="shared" si="5"/>
        <v>17243</v>
      </c>
      <c r="G20" s="1743">
        <f t="shared" si="5"/>
        <v>-13283</v>
      </c>
      <c r="H20" s="1743">
        <f t="shared" si="5"/>
        <v>12629</v>
      </c>
      <c r="I20" s="1743">
        <f t="shared" si="5"/>
        <v>6557</v>
      </c>
      <c r="J20" s="1743">
        <f t="shared" si="5"/>
        <v>4947</v>
      </c>
      <c r="K20" s="1743">
        <f t="shared" si="5"/>
        <v>502</v>
      </c>
      <c r="L20" s="347"/>
    </row>
    <row r="21" spans="1:12" ht="16.7" customHeight="1" thickTop="1" x14ac:dyDescent="0.2">
      <c r="A21" s="2156" t="s">
        <v>595</v>
      </c>
      <c r="B21" s="2157"/>
      <c r="C21" s="1567"/>
      <c r="D21" s="1568"/>
      <c r="E21" s="1568"/>
      <c r="F21" s="1568"/>
      <c r="G21" s="1568"/>
      <c r="H21" s="1568"/>
      <c r="I21" s="1568"/>
      <c r="J21" s="1568"/>
      <c r="K21" s="1569"/>
      <c r="L21" s="521"/>
    </row>
    <row r="22" spans="1:12" ht="15.75" customHeight="1" collapsed="1" x14ac:dyDescent="0.2">
      <c r="A22" s="2152" t="s">
        <v>596</v>
      </c>
      <c r="B22" s="2153"/>
      <c r="C22" s="475"/>
      <c r="D22" s="475"/>
      <c r="E22" s="475"/>
      <c r="F22" s="475"/>
      <c r="G22" s="475"/>
      <c r="H22" s="475"/>
      <c r="I22" s="475"/>
      <c r="J22" s="475"/>
      <c r="K22" s="475"/>
      <c r="L22" s="347"/>
    </row>
    <row r="23" spans="1:12" s="483" customFormat="1" ht="15.75" customHeight="1" x14ac:dyDescent="0.2">
      <c r="A23" s="2148" t="s">
        <v>293</v>
      </c>
      <c r="B23" s="2149"/>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0" t="s">
        <v>981</v>
      </c>
      <c r="B32" s="2151"/>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8" t="s">
        <v>374</v>
      </c>
      <c r="B44" s="2159"/>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4" t="s">
        <v>440</v>
      </c>
      <c r="B76" s="2135"/>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6" t="s">
        <v>1177</v>
      </c>
      <c r="B77" s="2137"/>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40" t="s">
        <v>597</v>
      </c>
      <c r="B78" s="2141"/>
      <c r="C78" s="1699">
        <f t="shared" ref="C78:K78" si="9">C20+C77</f>
        <v>-133227</v>
      </c>
      <c r="D78" s="1699">
        <f t="shared" si="9"/>
        <v>21168</v>
      </c>
      <c r="E78" s="1699">
        <f t="shared" si="9"/>
        <v>0</v>
      </c>
      <c r="F78" s="1699">
        <f t="shared" si="9"/>
        <v>17243</v>
      </c>
      <c r="G78" s="1699">
        <f t="shared" si="9"/>
        <v>-13283</v>
      </c>
      <c r="H78" s="1699">
        <f t="shared" si="9"/>
        <v>12629</v>
      </c>
      <c r="I78" s="1699">
        <f t="shared" si="9"/>
        <v>6557</v>
      </c>
      <c r="J78" s="1699">
        <f t="shared" si="9"/>
        <v>4947</v>
      </c>
      <c r="K78" s="1699">
        <f t="shared" si="9"/>
        <v>502</v>
      </c>
      <c r="L78" s="530"/>
    </row>
    <row r="79" spans="1:12" ht="13.5" thickTop="1" x14ac:dyDescent="0.2">
      <c r="A79" s="1491" t="s">
        <v>1949</v>
      </c>
      <c r="B79" s="531"/>
      <c r="C79" s="476">
        <v>1006306</v>
      </c>
      <c r="D79" s="476">
        <v>292293</v>
      </c>
      <c r="E79" s="476">
        <v>0</v>
      </c>
      <c r="F79" s="476">
        <v>172706</v>
      </c>
      <c r="G79" s="476">
        <v>33844</v>
      </c>
      <c r="H79" s="476">
        <v>46294</v>
      </c>
      <c r="I79" s="476">
        <v>120954</v>
      </c>
      <c r="J79" s="476">
        <v>18625</v>
      </c>
      <c r="K79" s="476">
        <v>42942</v>
      </c>
      <c r="L79" s="347"/>
    </row>
    <row r="80" spans="1:12" x14ac:dyDescent="0.2">
      <c r="A80" s="2146" t="s">
        <v>1795</v>
      </c>
      <c r="B80" s="2147"/>
      <c r="C80" s="467">
        <v>0</v>
      </c>
      <c r="D80" s="467">
        <v>0</v>
      </c>
      <c r="E80" s="467">
        <v>0</v>
      </c>
      <c r="F80" s="467">
        <v>0</v>
      </c>
      <c r="G80" s="467">
        <v>0</v>
      </c>
      <c r="H80" s="467">
        <v>0</v>
      </c>
      <c r="I80" s="467">
        <v>0</v>
      </c>
      <c r="J80" s="467">
        <v>0</v>
      </c>
      <c r="K80" s="467">
        <v>0</v>
      </c>
      <c r="L80" s="347"/>
    </row>
    <row r="81" spans="1:12" ht="13.5" thickBot="1" x14ac:dyDescent="0.25">
      <c r="A81" s="2138" t="s">
        <v>1950</v>
      </c>
      <c r="B81" s="2139"/>
      <c r="C81" s="1685">
        <f>(SUM(C78:C80))</f>
        <v>873079</v>
      </c>
      <c r="D81" s="1685">
        <f>SUM(D78:D80)</f>
        <v>313461</v>
      </c>
      <c r="E81" s="1685">
        <f t="shared" ref="E81:K81" si="10">SUM(E78:E80)</f>
        <v>0</v>
      </c>
      <c r="F81" s="1685">
        <f t="shared" si="10"/>
        <v>189949</v>
      </c>
      <c r="G81" s="1685">
        <f t="shared" si="10"/>
        <v>20561</v>
      </c>
      <c r="H81" s="1685">
        <f t="shared" si="10"/>
        <v>58923</v>
      </c>
      <c r="I81" s="1685">
        <f t="shared" si="10"/>
        <v>127511</v>
      </c>
      <c r="J81" s="1685">
        <f t="shared" si="10"/>
        <v>23572</v>
      </c>
      <c r="K81" s="1685">
        <f t="shared" si="10"/>
        <v>43444</v>
      </c>
      <c r="L81" s="347"/>
    </row>
    <row r="82" spans="1:12" ht="0.75" customHeight="1" thickTop="1" thickBot="1" x14ac:dyDescent="0.25">
      <c r="A82" s="533" t="s">
        <v>343</v>
      </c>
      <c r="B82" s="534"/>
      <c r="C82" s="535">
        <f>(C81-C79)</f>
        <v>-133227</v>
      </c>
      <c r="D82" s="535">
        <f t="shared" ref="D82:K82" si="11">(D81-D79)</f>
        <v>21168</v>
      </c>
      <c r="E82" s="535">
        <f t="shared" si="11"/>
        <v>0</v>
      </c>
      <c r="F82" s="535">
        <f t="shared" si="11"/>
        <v>17243</v>
      </c>
      <c r="G82" s="535">
        <f t="shared" si="11"/>
        <v>-13283</v>
      </c>
      <c r="H82" s="535">
        <f t="shared" si="11"/>
        <v>12629</v>
      </c>
      <c r="I82" s="535">
        <f t="shared" si="11"/>
        <v>6557</v>
      </c>
      <c r="J82" s="535">
        <f t="shared" si="11"/>
        <v>4947</v>
      </c>
      <c r="K82" s="535">
        <f t="shared" si="11"/>
        <v>502</v>
      </c>
    </row>
    <row r="83" spans="1:12" ht="14.25" hidden="1" thickTop="1" thickBot="1" x14ac:dyDescent="0.25">
      <c r="A83" s="536" t="s">
        <v>344</v>
      </c>
      <c r="B83" s="464"/>
      <c r="C83" s="537">
        <f>C82/C81</f>
        <v>-0.15259443876212805</v>
      </c>
      <c r="D83" s="537">
        <f t="shared" ref="D83:K83" si="12">D82/D81</f>
        <v>6.7529931953257349E-2</v>
      </c>
      <c r="E83" s="537" t="e">
        <f t="shared" si="12"/>
        <v>#DIV/0!</v>
      </c>
      <c r="F83" s="537">
        <f t="shared" si="12"/>
        <v>9.0776998036315004E-2</v>
      </c>
      <c r="G83" s="537">
        <f t="shared" si="12"/>
        <v>-0.64602888964544525</v>
      </c>
      <c r="H83" s="537">
        <f t="shared" si="12"/>
        <v>0.21433056701118408</v>
      </c>
      <c r="I83" s="537">
        <f t="shared" si="12"/>
        <v>5.1423014485024822E-2</v>
      </c>
      <c r="J83" s="537">
        <f t="shared" si="12"/>
        <v>0.209867639572374</v>
      </c>
      <c r="K83" s="537">
        <f t="shared" si="12"/>
        <v>1.1555105423073381E-2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32" sqref="J32"/>
      <selection pane="bottomLeft" activeCell="A3" sqref="A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1802</v>
      </c>
      <c r="B1" s="452"/>
      <c r="C1" s="453" t="s">
        <v>425</v>
      </c>
      <c r="D1" s="453" t="s">
        <v>426</v>
      </c>
      <c r="E1" s="453" t="s">
        <v>427</v>
      </c>
      <c r="F1" s="453" t="s">
        <v>428</v>
      </c>
      <c r="G1" s="453" t="s">
        <v>429</v>
      </c>
      <c r="H1" s="453" t="s">
        <v>430</v>
      </c>
      <c r="I1" s="453" t="s">
        <v>431</v>
      </c>
      <c r="J1" s="453" t="s">
        <v>432</v>
      </c>
      <c r="K1" s="453" t="s">
        <v>756</v>
      </c>
    </row>
    <row r="2" spans="1:12" ht="36" x14ac:dyDescent="0.2">
      <c r="A2" s="214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1170761</v>
      </c>
      <c r="D5" s="479">
        <v>100946</v>
      </c>
      <c r="E5" s="466">
        <v>0</v>
      </c>
      <c r="F5" s="545">
        <v>65735</v>
      </c>
      <c r="G5" s="466">
        <v>15087</v>
      </c>
      <c r="H5" s="466">
        <v>0</v>
      </c>
      <c r="I5" s="466">
        <v>5044</v>
      </c>
      <c r="J5" s="467">
        <v>40298</v>
      </c>
      <c r="K5" s="466">
        <v>0</v>
      </c>
    </row>
    <row r="6" spans="1:12" ht="15" x14ac:dyDescent="0.2">
      <c r="A6" s="463" t="s">
        <v>1662</v>
      </c>
      <c r="B6" s="470">
        <v>1130</v>
      </c>
      <c r="C6" s="466">
        <v>10087</v>
      </c>
      <c r="D6" s="466">
        <v>0</v>
      </c>
      <c r="E6" s="474"/>
      <c r="F6" s="474"/>
      <c r="G6" s="468"/>
      <c r="H6" s="468"/>
      <c r="I6" s="468"/>
      <c r="J6" s="468"/>
      <c r="K6" s="468"/>
    </row>
    <row r="7" spans="1:12" x14ac:dyDescent="0.2">
      <c r="A7" s="463" t="s">
        <v>110</v>
      </c>
      <c r="B7" s="546">
        <v>1140</v>
      </c>
      <c r="C7" s="466">
        <v>10007</v>
      </c>
      <c r="D7" s="466">
        <v>0</v>
      </c>
      <c r="E7" s="468"/>
      <c r="F7" s="467">
        <v>0</v>
      </c>
      <c r="G7" s="467">
        <v>0</v>
      </c>
      <c r="H7" s="467">
        <v>0</v>
      </c>
      <c r="I7" s="468"/>
      <c r="J7" s="468"/>
      <c r="K7" s="468"/>
    </row>
    <row r="8" spans="1:12" x14ac:dyDescent="0.2">
      <c r="A8" s="463" t="s">
        <v>413</v>
      </c>
      <c r="B8" s="470">
        <v>1150</v>
      </c>
      <c r="C8" s="474"/>
      <c r="D8" s="474"/>
      <c r="E8" s="475"/>
      <c r="F8" s="475"/>
      <c r="G8" s="479">
        <v>15087</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1190855</v>
      </c>
      <c r="D12" s="1704">
        <f t="shared" si="0"/>
        <v>100946</v>
      </c>
      <c r="E12" s="1704">
        <f t="shared" si="0"/>
        <v>0</v>
      </c>
      <c r="F12" s="1704">
        <f t="shared" si="0"/>
        <v>65735</v>
      </c>
      <c r="G12" s="1704">
        <f t="shared" si="0"/>
        <v>30174</v>
      </c>
      <c r="H12" s="1704">
        <f t="shared" si="0"/>
        <v>0</v>
      </c>
      <c r="I12" s="1704">
        <f t="shared" si="0"/>
        <v>5044</v>
      </c>
      <c r="J12" s="1704">
        <f t="shared" si="0"/>
        <v>40298</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33</v>
      </c>
      <c r="D14" s="466">
        <v>3</v>
      </c>
      <c r="E14" s="466">
        <v>0</v>
      </c>
      <c r="F14" s="466">
        <v>2</v>
      </c>
      <c r="G14" s="466">
        <v>1</v>
      </c>
      <c r="H14" s="466">
        <v>0</v>
      </c>
      <c r="I14" s="466">
        <v>0</v>
      </c>
      <c r="J14" s="467">
        <v>1</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24493</v>
      </c>
      <c r="E16" s="466">
        <v>0</v>
      </c>
      <c r="F16" s="466">
        <v>0</v>
      </c>
      <c r="G16" s="466">
        <v>4000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33</v>
      </c>
      <c r="D18" s="1707">
        <f t="shared" ref="D18:K18" si="1">SUM(D14:D17)</f>
        <v>24496</v>
      </c>
      <c r="E18" s="1707">
        <f t="shared" si="1"/>
        <v>0</v>
      </c>
      <c r="F18" s="1707">
        <f t="shared" si="1"/>
        <v>2</v>
      </c>
      <c r="G18" s="1707">
        <f t="shared" si="1"/>
        <v>4001</v>
      </c>
      <c r="H18" s="1707">
        <f t="shared" si="1"/>
        <v>0</v>
      </c>
      <c r="I18" s="1707">
        <f t="shared" si="1"/>
        <v>0</v>
      </c>
      <c r="J18" s="1707">
        <f t="shared" si="1"/>
        <v>1</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11919</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11919</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19635</v>
      </c>
      <c r="D65" s="466">
        <v>5081</v>
      </c>
      <c r="E65" s="466">
        <v>0</v>
      </c>
      <c r="F65" s="467">
        <v>2243</v>
      </c>
      <c r="G65" s="466">
        <v>235</v>
      </c>
      <c r="H65" s="466">
        <v>267</v>
      </c>
      <c r="I65" s="466">
        <v>1513</v>
      </c>
      <c r="J65" s="467">
        <v>381</v>
      </c>
      <c r="K65" s="466">
        <v>502</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19635</v>
      </c>
      <c r="D67" s="1685">
        <f t="shared" ref="D67:K67" si="2">SUM(D65:D66)</f>
        <v>5081</v>
      </c>
      <c r="E67" s="1685">
        <f t="shared" si="2"/>
        <v>0</v>
      </c>
      <c r="F67" s="1685">
        <f t="shared" si="2"/>
        <v>2243</v>
      </c>
      <c r="G67" s="1685">
        <f t="shared" si="2"/>
        <v>235</v>
      </c>
      <c r="H67" s="1685">
        <f t="shared" si="2"/>
        <v>267</v>
      </c>
      <c r="I67" s="1685">
        <f t="shared" si="2"/>
        <v>1513</v>
      </c>
      <c r="J67" s="1685">
        <f t="shared" si="2"/>
        <v>381</v>
      </c>
      <c r="K67" s="1685">
        <f t="shared" si="2"/>
        <v>502</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35459</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1397</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36856</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6841</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6841</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10756</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50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10806</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710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819</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62662</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2875</v>
      </c>
      <c r="D107" s="466">
        <v>0</v>
      </c>
      <c r="E107" s="466">
        <v>0</v>
      </c>
      <c r="F107" s="466">
        <v>0</v>
      </c>
      <c r="G107" s="466">
        <v>118</v>
      </c>
      <c r="H107" s="466">
        <v>0</v>
      </c>
      <c r="I107" s="466">
        <v>0</v>
      </c>
      <c r="J107" s="467">
        <v>0</v>
      </c>
      <c r="K107" s="466">
        <v>0</v>
      </c>
    </row>
    <row r="108" spans="1:12" ht="12.75" customHeight="1" thickBot="1" x14ac:dyDescent="0.25">
      <c r="A108" s="1705" t="s">
        <v>487</v>
      </c>
      <c r="B108" s="1709"/>
      <c r="C108" s="1704">
        <f>SUM(C95:C107)</f>
        <v>4404</v>
      </c>
      <c r="D108" s="1704">
        <f t="shared" ref="D108:K108" si="3">SUM(D95:D107)</f>
        <v>0</v>
      </c>
      <c r="E108" s="1704">
        <f t="shared" si="3"/>
        <v>0</v>
      </c>
      <c r="F108" s="1704">
        <f t="shared" si="3"/>
        <v>0</v>
      </c>
      <c r="G108" s="1704">
        <f t="shared" si="3"/>
        <v>118</v>
      </c>
      <c r="H108" s="1704">
        <f t="shared" si="3"/>
        <v>62662</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1281349</v>
      </c>
      <c r="D109" s="1712">
        <f t="shared" si="4"/>
        <v>130523</v>
      </c>
      <c r="E109" s="1712">
        <f t="shared" si="4"/>
        <v>0</v>
      </c>
      <c r="F109" s="1712">
        <f t="shared" si="4"/>
        <v>67980</v>
      </c>
      <c r="G109" s="1712">
        <f t="shared" si="4"/>
        <v>34528</v>
      </c>
      <c r="H109" s="1712">
        <f t="shared" si="4"/>
        <v>62929</v>
      </c>
      <c r="I109" s="1712">
        <f t="shared" si="4"/>
        <v>6557</v>
      </c>
      <c r="J109" s="1712">
        <f t="shared" si="4"/>
        <v>40680</v>
      </c>
      <c r="K109" s="1699">
        <f t="shared" si="4"/>
        <v>502</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116128</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116128</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1349</v>
      </c>
      <c r="D128" s="558"/>
      <c r="E128" s="468"/>
      <c r="F128" s="466">
        <v>0</v>
      </c>
      <c r="G128" s="468"/>
      <c r="H128" s="468"/>
      <c r="I128" s="468"/>
      <c r="J128" s="468"/>
      <c r="K128" s="468"/>
    </row>
    <row r="129" spans="1:11" ht="12.75" customHeight="1" x14ac:dyDescent="0.2">
      <c r="A129" s="463" t="s">
        <v>1447</v>
      </c>
      <c r="B129" s="559">
        <v>3130</v>
      </c>
      <c r="C129" s="466">
        <v>1806</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3155</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322</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51723</v>
      </c>
      <c r="G152" s="467">
        <v>0</v>
      </c>
      <c r="H152" s="468"/>
      <c r="I152" s="468"/>
      <c r="J152" s="468"/>
      <c r="K152" s="468"/>
    </row>
    <row r="153" spans="1:11" ht="12.75" customHeight="1" x14ac:dyDescent="0.2">
      <c r="A153" s="463" t="s">
        <v>1057</v>
      </c>
      <c r="B153" s="559">
        <v>3510</v>
      </c>
      <c r="C153" s="548">
        <v>0</v>
      </c>
      <c r="D153" s="466">
        <v>0</v>
      </c>
      <c r="E153" s="558"/>
      <c r="F153" s="466">
        <v>29003</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80726</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62" t="s">
        <v>398</v>
      </c>
      <c r="B169" s="2163"/>
      <c r="C169" s="1719">
        <f t="shared" ref="C169:K169" si="6">SUM(C132,C141,C145,C146:C150,C155,C156:C167,C168)</f>
        <v>3477</v>
      </c>
      <c r="D169" s="1719">
        <f t="shared" si="6"/>
        <v>0</v>
      </c>
      <c r="E169" s="1719">
        <f t="shared" si="6"/>
        <v>0</v>
      </c>
      <c r="F169" s="1719">
        <f t="shared" si="6"/>
        <v>80726</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119605</v>
      </c>
      <c r="D170" s="1712">
        <f t="shared" si="7"/>
        <v>0</v>
      </c>
      <c r="E170" s="1712">
        <f t="shared" si="7"/>
        <v>0</v>
      </c>
      <c r="F170" s="1712">
        <f t="shared" si="7"/>
        <v>80726</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4" t="s">
        <v>1492</v>
      </c>
      <c r="B172" s="216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8" t="s">
        <v>1665</v>
      </c>
      <c r="B175" s="216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2" t="s">
        <v>1664</v>
      </c>
      <c r="B176" s="217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26863</v>
      </c>
      <c r="D180" s="466">
        <v>0</v>
      </c>
      <c r="E180" s="468"/>
      <c r="F180" s="466">
        <v>0</v>
      </c>
      <c r="G180" s="466">
        <v>0</v>
      </c>
      <c r="H180" s="466">
        <v>0</v>
      </c>
      <c r="I180" s="468"/>
      <c r="J180" s="468"/>
      <c r="K180" s="466">
        <v>0</v>
      </c>
    </row>
    <row r="181" spans="1:11" ht="13.5" thickBot="1" x14ac:dyDescent="0.25">
      <c r="A181" s="2170" t="s">
        <v>785</v>
      </c>
      <c r="B181" s="2171"/>
      <c r="C181" s="1704">
        <f>SUM(C177:C180)</f>
        <v>26863</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6" t="s">
        <v>1803</v>
      </c>
      <c r="B182" s="2167"/>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22853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22853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2562</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2562</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4802</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4802</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4612</v>
      </c>
      <c r="E263" s="468"/>
      <c r="F263" s="573">
        <v>0</v>
      </c>
      <c r="G263" s="573">
        <v>0</v>
      </c>
      <c r="H263" s="468"/>
      <c r="I263" s="468"/>
      <c r="J263" s="468"/>
      <c r="K263" s="468"/>
    </row>
    <row r="264" spans="1:11" ht="12.75" customHeight="1" thickTop="1" thickBot="1" x14ac:dyDescent="0.25">
      <c r="A264" s="463" t="s">
        <v>377</v>
      </c>
      <c r="B264" s="470">
        <v>4992</v>
      </c>
      <c r="C264" s="572">
        <v>0</v>
      </c>
      <c r="D264" s="573">
        <v>2458</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30217</v>
      </c>
      <c r="D266" s="1712">
        <f t="shared" si="10"/>
        <v>7070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57080</v>
      </c>
      <c r="D267" s="1712">
        <f>SUM(D175,D181,D266)</f>
        <v>7070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1458034</v>
      </c>
      <c r="D268" s="1712">
        <f t="shared" si="12"/>
        <v>137593</v>
      </c>
      <c r="E268" s="1712">
        <f t="shared" si="12"/>
        <v>0</v>
      </c>
      <c r="F268" s="1712">
        <f t="shared" si="12"/>
        <v>148706</v>
      </c>
      <c r="G268" s="1712">
        <f t="shared" si="12"/>
        <v>34528</v>
      </c>
      <c r="H268" s="1712">
        <f t="shared" si="12"/>
        <v>62929</v>
      </c>
      <c r="I268" s="1712">
        <f t="shared" si="12"/>
        <v>6557</v>
      </c>
      <c r="J268" s="1712">
        <f t="shared" si="12"/>
        <v>40680</v>
      </c>
      <c r="K268" s="1699">
        <f t="shared" si="12"/>
        <v>502</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2" t="s">
        <v>297</v>
      </c>
      <c r="B3" s="2183"/>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675488</v>
      </c>
      <c r="D5" s="466">
        <v>68676</v>
      </c>
      <c r="E5" s="466">
        <v>51127</v>
      </c>
      <c r="F5" s="466">
        <v>23831</v>
      </c>
      <c r="G5" s="466">
        <v>12706</v>
      </c>
      <c r="H5" s="466">
        <v>0</v>
      </c>
      <c r="I5" s="467">
        <v>0</v>
      </c>
      <c r="J5" s="467">
        <v>0</v>
      </c>
      <c r="K5" s="1668">
        <f>SUM(C5:J5)</f>
        <v>831828</v>
      </c>
      <c r="L5" s="471">
        <v>851413</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10580</v>
      </c>
      <c r="D8" s="466">
        <v>0</v>
      </c>
      <c r="E8" s="466">
        <v>172</v>
      </c>
      <c r="F8" s="466">
        <v>0</v>
      </c>
      <c r="G8" s="466">
        <v>0</v>
      </c>
      <c r="H8" s="466">
        <v>0</v>
      </c>
      <c r="I8" s="467">
        <v>0</v>
      </c>
      <c r="J8" s="467">
        <v>0</v>
      </c>
      <c r="K8" s="1668">
        <f t="shared" si="0"/>
        <v>10752</v>
      </c>
      <c r="L8" s="471">
        <v>9460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3230</v>
      </c>
      <c r="F12" s="466">
        <v>0</v>
      </c>
      <c r="G12" s="466">
        <v>0</v>
      </c>
      <c r="H12" s="466">
        <v>0</v>
      </c>
      <c r="I12" s="467">
        <v>0</v>
      </c>
      <c r="J12" s="467">
        <v>0</v>
      </c>
      <c r="K12" s="1668">
        <f t="shared" si="0"/>
        <v>3230</v>
      </c>
      <c r="L12" s="471">
        <v>8000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42228</v>
      </c>
      <c r="D14" s="466">
        <v>459</v>
      </c>
      <c r="E14" s="466">
        <v>14441</v>
      </c>
      <c r="F14" s="466">
        <v>6173</v>
      </c>
      <c r="G14" s="466">
        <v>0</v>
      </c>
      <c r="H14" s="466">
        <v>0</v>
      </c>
      <c r="I14" s="467">
        <v>0</v>
      </c>
      <c r="J14" s="467">
        <v>0</v>
      </c>
      <c r="K14" s="1668">
        <f t="shared" si="0"/>
        <v>63301</v>
      </c>
      <c r="L14" s="471">
        <v>69296</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728296</v>
      </c>
      <c r="D33" s="1667">
        <f t="shared" ref="D33:L33" si="1">SUM(D5:D32)</f>
        <v>69135</v>
      </c>
      <c r="E33" s="1667">
        <f t="shared" si="1"/>
        <v>68970</v>
      </c>
      <c r="F33" s="1667">
        <f t="shared" si="1"/>
        <v>30004</v>
      </c>
      <c r="G33" s="1667">
        <f t="shared" si="1"/>
        <v>12706</v>
      </c>
      <c r="H33" s="1667">
        <f t="shared" si="1"/>
        <v>0</v>
      </c>
      <c r="I33" s="1667">
        <f t="shared" si="1"/>
        <v>0</v>
      </c>
      <c r="J33" s="1667">
        <f t="shared" si="1"/>
        <v>0</v>
      </c>
      <c r="K33" s="1667">
        <f t="shared" si="1"/>
        <v>909111</v>
      </c>
      <c r="L33" s="1667">
        <f t="shared" si="1"/>
        <v>938169</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0</v>
      </c>
      <c r="D42" s="1667">
        <f t="shared" ref="D42:L42" si="3">SUM(D36:D41)</f>
        <v>0</v>
      </c>
      <c r="E42" s="1667">
        <f t="shared" si="3"/>
        <v>0</v>
      </c>
      <c r="F42" s="1667">
        <f t="shared" si="3"/>
        <v>0</v>
      </c>
      <c r="G42" s="1667">
        <f t="shared" si="3"/>
        <v>0</v>
      </c>
      <c r="H42" s="1667">
        <f t="shared" si="3"/>
        <v>0</v>
      </c>
      <c r="I42" s="1667">
        <f t="shared" si="3"/>
        <v>0</v>
      </c>
      <c r="J42" s="1667">
        <f t="shared" si="3"/>
        <v>0</v>
      </c>
      <c r="K42" s="1667">
        <f t="shared" si="3"/>
        <v>0</v>
      </c>
      <c r="L42" s="1667">
        <f t="shared" si="3"/>
        <v>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40374</v>
      </c>
      <c r="F44" s="479">
        <v>1441</v>
      </c>
      <c r="G44" s="479">
        <v>20372</v>
      </c>
      <c r="H44" s="479">
        <v>0</v>
      </c>
      <c r="I44" s="467">
        <v>0</v>
      </c>
      <c r="J44" s="467">
        <v>0</v>
      </c>
      <c r="K44" s="1669">
        <f>SUM(C44:J44)</f>
        <v>62187</v>
      </c>
      <c r="L44" s="479">
        <v>71500</v>
      </c>
    </row>
    <row r="45" spans="1:14" x14ac:dyDescent="0.2">
      <c r="A45" s="1501" t="s">
        <v>815</v>
      </c>
      <c r="B45" s="611">
        <v>2220</v>
      </c>
      <c r="C45" s="466">
        <v>15028</v>
      </c>
      <c r="D45" s="466">
        <v>0</v>
      </c>
      <c r="E45" s="466">
        <v>870</v>
      </c>
      <c r="F45" s="466">
        <v>10</v>
      </c>
      <c r="G45" s="466">
        <v>0</v>
      </c>
      <c r="H45" s="466">
        <v>0</v>
      </c>
      <c r="I45" s="467">
        <v>0</v>
      </c>
      <c r="J45" s="467">
        <v>0</v>
      </c>
      <c r="K45" s="1669">
        <f>SUM(C45:J45)</f>
        <v>15908</v>
      </c>
      <c r="L45" s="466">
        <v>18945</v>
      </c>
    </row>
    <row r="46" spans="1:14" x14ac:dyDescent="0.2">
      <c r="A46" s="1501" t="s">
        <v>816</v>
      </c>
      <c r="B46" s="611">
        <v>2230</v>
      </c>
      <c r="C46" s="466">
        <v>0</v>
      </c>
      <c r="D46" s="466">
        <v>0</v>
      </c>
      <c r="E46" s="466">
        <v>3630</v>
      </c>
      <c r="F46" s="466">
        <v>0</v>
      </c>
      <c r="G46" s="466">
        <v>0</v>
      </c>
      <c r="H46" s="466">
        <v>0</v>
      </c>
      <c r="I46" s="467">
        <v>0</v>
      </c>
      <c r="J46" s="467">
        <v>0</v>
      </c>
      <c r="K46" s="1669">
        <f>SUM(C46:J46)</f>
        <v>3630</v>
      </c>
      <c r="L46" s="466">
        <v>3630</v>
      </c>
    </row>
    <row r="47" spans="1:14" ht="12.75" customHeight="1" thickBot="1" x14ac:dyDescent="0.25">
      <c r="A47" s="1665" t="s">
        <v>561</v>
      </c>
      <c r="B47" s="1666" t="s">
        <v>32</v>
      </c>
      <c r="C47" s="1667">
        <f>SUM(C44:C46)</f>
        <v>15028</v>
      </c>
      <c r="D47" s="1667">
        <f t="shared" ref="D47:K47" si="4">SUM(D44:D46)</f>
        <v>0</v>
      </c>
      <c r="E47" s="1667">
        <f t="shared" si="4"/>
        <v>44874</v>
      </c>
      <c r="F47" s="1667">
        <f t="shared" si="4"/>
        <v>1451</v>
      </c>
      <c r="G47" s="1667">
        <f t="shared" si="4"/>
        <v>20372</v>
      </c>
      <c r="H47" s="1667">
        <f t="shared" si="4"/>
        <v>0</v>
      </c>
      <c r="I47" s="1667">
        <f t="shared" si="4"/>
        <v>0</v>
      </c>
      <c r="J47" s="1667">
        <f t="shared" si="4"/>
        <v>0</v>
      </c>
      <c r="K47" s="1667">
        <f t="shared" si="4"/>
        <v>81725</v>
      </c>
      <c r="L47" s="1667">
        <f>SUM(L44:L46)</f>
        <v>94075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2600</v>
      </c>
      <c r="D49" s="479">
        <v>0</v>
      </c>
      <c r="E49" s="479">
        <v>26544</v>
      </c>
      <c r="F49" s="479">
        <v>4704</v>
      </c>
      <c r="G49" s="479">
        <v>0</v>
      </c>
      <c r="H49" s="479">
        <v>0</v>
      </c>
      <c r="I49" s="467">
        <v>0</v>
      </c>
      <c r="J49" s="467">
        <v>0</v>
      </c>
      <c r="K49" s="1669">
        <f>SUM(C49:J49)</f>
        <v>33848</v>
      </c>
      <c r="L49" s="479">
        <v>28600</v>
      </c>
    </row>
    <row r="50" spans="1:14" x14ac:dyDescent="0.2">
      <c r="A50" s="1501" t="s">
        <v>818</v>
      </c>
      <c r="B50" s="611">
        <v>2320</v>
      </c>
      <c r="C50" s="467">
        <v>112732</v>
      </c>
      <c r="D50" s="466">
        <v>31079</v>
      </c>
      <c r="E50" s="466">
        <v>0</v>
      </c>
      <c r="F50" s="466">
        <v>440</v>
      </c>
      <c r="G50" s="466">
        <v>0</v>
      </c>
      <c r="H50" s="466">
        <v>0</v>
      </c>
      <c r="I50" s="467">
        <v>0</v>
      </c>
      <c r="J50" s="467">
        <v>0</v>
      </c>
      <c r="K50" s="1669">
        <f>SUM(C50:J50)</f>
        <v>144251</v>
      </c>
      <c r="L50" s="466">
        <v>144253</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115332</v>
      </c>
      <c r="D53" s="1667">
        <f t="shared" ref="D53:L53" si="5">SUM(D49:D52)</f>
        <v>31079</v>
      </c>
      <c r="E53" s="1667">
        <f t="shared" si="5"/>
        <v>26544</v>
      </c>
      <c r="F53" s="1667">
        <f t="shared" si="5"/>
        <v>5144</v>
      </c>
      <c r="G53" s="1667">
        <f t="shared" si="5"/>
        <v>0</v>
      </c>
      <c r="H53" s="1667">
        <f t="shared" si="5"/>
        <v>0</v>
      </c>
      <c r="I53" s="1667">
        <f t="shared" si="5"/>
        <v>0</v>
      </c>
      <c r="J53" s="1667">
        <f t="shared" si="5"/>
        <v>0</v>
      </c>
      <c r="K53" s="1667">
        <f t="shared" si="5"/>
        <v>178099</v>
      </c>
      <c r="L53" s="1667">
        <f t="shared" si="5"/>
        <v>172853</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0</v>
      </c>
      <c r="D55" s="479">
        <v>0</v>
      </c>
      <c r="E55" s="479">
        <v>0</v>
      </c>
      <c r="F55" s="479">
        <v>0</v>
      </c>
      <c r="G55" s="479">
        <v>0</v>
      </c>
      <c r="H55" s="479">
        <v>0</v>
      </c>
      <c r="I55" s="467">
        <v>0</v>
      </c>
      <c r="J55" s="467">
        <v>0</v>
      </c>
      <c r="K55" s="1669">
        <f>SUM(C55:J55)</f>
        <v>0</v>
      </c>
      <c r="L55" s="479">
        <v>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0</v>
      </c>
      <c r="D57" s="1671">
        <f t="shared" ref="D57:K57" si="6">SUM(D55:D56)</f>
        <v>0</v>
      </c>
      <c r="E57" s="1671">
        <f t="shared" si="6"/>
        <v>0</v>
      </c>
      <c r="F57" s="1671">
        <f t="shared" si="6"/>
        <v>0</v>
      </c>
      <c r="G57" s="1671">
        <f t="shared" si="6"/>
        <v>0</v>
      </c>
      <c r="H57" s="1671">
        <f t="shared" si="6"/>
        <v>0</v>
      </c>
      <c r="I57" s="1671">
        <f t="shared" si="6"/>
        <v>0</v>
      </c>
      <c r="J57" s="1671">
        <f t="shared" si="6"/>
        <v>0</v>
      </c>
      <c r="K57" s="1671">
        <f t="shared" si="6"/>
        <v>0</v>
      </c>
      <c r="L57" s="1667">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78834</v>
      </c>
      <c r="D60" s="466">
        <v>15684</v>
      </c>
      <c r="E60" s="466">
        <v>153</v>
      </c>
      <c r="F60" s="466">
        <v>0</v>
      </c>
      <c r="G60" s="466">
        <v>0</v>
      </c>
      <c r="H60" s="466">
        <v>0</v>
      </c>
      <c r="I60" s="467">
        <v>0</v>
      </c>
      <c r="J60" s="467">
        <v>0</v>
      </c>
      <c r="K60" s="1669">
        <f t="shared" si="7"/>
        <v>94671</v>
      </c>
      <c r="L60" s="466">
        <v>94434</v>
      </c>
      <c r="M60" s="606"/>
      <c r="N60" s="606"/>
    </row>
    <row r="61" spans="1:14" s="343" customFormat="1" x14ac:dyDescent="0.2">
      <c r="A61" s="1501" t="s">
        <v>197</v>
      </c>
      <c r="B61" s="611">
        <v>2540</v>
      </c>
      <c r="C61" s="466">
        <v>0</v>
      </c>
      <c r="D61" s="466">
        <v>0</v>
      </c>
      <c r="E61" s="466">
        <v>11963</v>
      </c>
      <c r="F61" s="466">
        <v>24072</v>
      </c>
      <c r="G61" s="466">
        <v>0</v>
      </c>
      <c r="H61" s="466">
        <v>0</v>
      </c>
      <c r="I61" s="467">
        <v>0</v>
      </c>
      <c r="J61" s="467">
        <v>0</v>
      </c>
      <c r="K61" s="1669">
        <f t="shared" si="7"/>
        <v>36035</v>
      </c>
      <c r="L61" s="466">
        <v>39000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21586</v>
      </c>
      <c r="D63" s="466">
        <v>0</v>
      </c>
      <c r="E63" s="466">
        <v>3283</v>
      </c>
      <c r="F63" s="466">
        <v>39397</v>
      </c>
      <c r="G63" s="466">
        <v>0</v>
      </c>
      <c r="H63" s="466">
        <v>0</v>
      </c>
      <c r="I63" s="467">
        <v>0</v>
      </c>
      <c r="J63" s="467">
        <v>0</v>
      </c>
      <c r="K63" s="1669">
        <f t="shared" si="7"/>
        <v>64266</v>
      </c>
      <c r="L63" s="466">
        <v>64737</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100420</v>
      </c>
      <c r="D65" s="1667">
        <f t="shared" ref="D65:L65" si="8">SUM(D59:D64)</f>
        <v>15684</v>
      </c>
      <c r="E65" s="1667">
        <f t="shared" si="8"/>
        <v>15399</v>
      </c>
      <c r="F65" s="1667">
        <f t="shared" si="8"/>
        <v>63469</v>
      </c>
      <c r="G65" s="1667">
        <f t="shared" si="8"/>
        <v>0</v>
      </c>
      <c r="H65" s="1667">
        <f t="shared" si="8"/>
        <v>0</v>
      </c>
      <c r="I65" s="1667">
        <f t="shared" si="8"/>
        <v>0</v>
      </c>
      <c r="J65" s="1667">
        <f t="shared" si="8"/>
        <v>0</v>
      </c>
      <c r="K65" s="1667">
        <f t="shared" si="8"/>
        <v>194972</v>
      </c>
      <c r="L65" s="1667">
        <f t="shared" si="8"/>
        <v>198171</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230780</v>
      </c>
      <c r="D74" s="1674">
        <f t="shared" ref="D74:K74" si="10">SUM(D42,D47,D53,D57,D65,D72,D73)</f>
        <v>46763</v>
      </c>
      <c r="E74" s="1674">
        <f t="shared" si="10"/>
        <v>86817</v>
      </c>
      <c r="F74" s="1674">
        <f t="shared" si="10"/>
        <v>70064</v>
      </c>
      <c r="G74" s="1674">
        <f t="shared" si="10"/>
        <v>20372</v>
      </c>
      <c r="H74" s="1674">
        <f t="shared" si="10"/>
        <v>0</v>
      </c>
      <c r="I74" s="1674">
        <f t="shared" si="10"/>
        <v>0</v>
      </c>
      <c r="J74" s="1674">
        <f t="shared" si="10"/>
        <v>0</v>
      </c>
      <c r="K74" s="1674">
        <f t="shared" si="10"/>
        <v>454796</v>
      </c>
      <c r="L74" s="1674">
        <f>SUM(L42,L47,L53,L57,L65,L72,L73)</f>
        <v>465099</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1927</v>
      </c>
    </row>
    <row r="79" spans="1:14" x14ac:dyDescent="0.2">
      <c r="A79" s="1501" t="s">
        <v>304</v>
      </c>
      <c r="B79" s="611">
        <v>4120</v>
      </c>
      <c r="C79" s="613"/>
      <c r="D79" s="613"/>
      <c r="E79" s="466">
        <v>3545</v>
      </c>
      <c r="F79" s="613"/>
      <c r="G79" s="613"/>
      <c r="H79" s="466">
        <v>0</v>
      </c>
      <c r="I79" s="475"/>
      <c r="J79" s="475"/>
      <c r="K79" s="1668">
        <f t="shared" si="11"/>
        <v>3545</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3545</v>
      </c>
      <c r="F84" s="613"/>
      <c r="G84" s="613"/>
      <c r="H84" s="1667">
        <f>SUM(H78:H83)</f>
        <v>0</v>
      </c>
      <c r="I84" s="475"/>
      <c r="J84" s="475"/>
      <c r="K84" s="1667">
        <f>SUM(K78:K83)</f>
        <v>3545</v>
      </c>
      <c r="L84" s="1667">
        <f>SUM(L78:L83)</f>
        <v>1927</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223809</v>
      </c>
      <c r="I86" s="475"/>
      <c r="J86" s="475"/>
      <c r="K86" s="1674">
        <f t="shared" ref="K86:K98" si="12">H86</f>
        <v>223809</v>
      </c>
      <c r="L86" s="527">
        <v>190680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223809</v>
      </c>
      <c r="I92" s="475"/>
      <c r="J92" s="475"/>
      <c r="K92" s="1674">
        <f t="shared" si="12"/>
        <v>223809</v>
      </c>
      <c r="L92" s="1667">
        <f>SUM(L85:L91)</f>
        <v>190680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3545</v>
      </c>
      <c r="F102" s="613"/>
      <c r="G102" s="613"/>
      <c r="H102" s="1674">
        <f>SUM(H84,H92,H100,H101)</f>
        <v>223809</v>
      </c>
      <c r="I102" s="475"/>
      <c r="J102" s="475"/>
      <c r="K102" s="1674">
        <f>SUM(K84,K92,K100,K101)</f>
        <v>227354</v>
      </c>
      <c r="L102" s="1674">
        <f>SUM(L84,L92,L100,L101)</f>
        <v>192607</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959076</v>
      </c>
      <c r="D114" s="1667">
        <f t="shared" ref="D114:K114" si="13">SUM(D33,D74,D75,D102,D112,D113)</f>
        <v>115898</v>
      </c>
      <c r="E114" s="1667">
        <f t="shared" si="13"/>
        <v>159332</v>
      </c>
      <c r="F114" s="1667">
        <f t="shared" si="13"/>
        <v>100068</v>
      </c>
      <c r="G114" s="1667">
        <f t="shared" si="13"/>
        <v>33078</v>
      </c>
      <c r="H114" s="1667">
        <f>SUM(H33,H74,H75,H102,H112,H113)</f>
        <v>223809</v>
      </c>
      <c r="I114" s="1667">
        <f t="shared" si="13"/>
        <v>0</v>
      </c>
      <c r="J114" s="1667">
        <f t="shared" si="13"/>
        <v>0</v>
      </c>
      <c r="K114" s="1667">
        <f t="shared" si="13"/>
        <v>1591261</v>
      </c>
      <c r="L114" s="1667">
        <f>SUM(L33,L74,L75,L102,L112,L113)</f>
        <v>1595875</v>
      </c>
    </row>
    <row r="115" spans="1:14" ht="13.5" thickTop="1" x14ac:dyDescent="0.2">
      <c r="A115" s="2174" t="s">
        <v>996</v>
      </c>
      <c r="B115" s="2175"/>
      <c r="C115" s="615"/>
      <c r="D115" s="615"/>
      <c r="E115" s="615"/>
      <c r="F115" s="615"/>
      <c r="G115" s="615"/>
      <c r="H115" s="615"/>
      <c r="I115" s="615"/>
      <c r="J115" s="615"/>
      <c r="K115" s="1681">
        <f>'Revenues 9-14'!C268-'Expenditures 15-22'!K114</f>
        <v>-133227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9" t="s">
        <v>296</v>
      </c>
      <c r="B117" s="2180"/>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15748</v>
      </c>
      <c r="D124" s="466">
        <v>0</v>
      </c>
      <c r="E124" s="466">
        <v>78711</v>
      </c>
      <c r="F124" s="466">
        <v>10575</v>
      </c>
      <c r="G124" s="466">
        <v>11391</v>
      </c>
      <c r="H124" s="466">
        <v>0</v>
      </c>
      <c r="I124" s="467">
        <v>0</v>
      </c>
      <c r="J124" s="467">
        <v>0</v>
      </c>
      <c r="K124" s="1667">
        <f>SUM(C124:J124)</f>
        <v>116425</v>
      </c>
      <c r="L124" s="466">
        <v>142400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15748</v>
      </c>
      <c r="D127" s="1667">
        <f t="shared" ref="D127:L127" si="14">SUM(D122:D126)</f>
        <v>0</v>
      </c>
      <c r="E127" s="1667">
        <f t="shared" si="14"/>
        <v>78711</v>
      </c>
      <c r="F127" s="1667">
        <f t="shared" si="14"/>
        <v>10575</v>
      </c>
      <c r="G127" s="1667">
        <f t="shared" si="14"/>
        <v>11391</v>
      </c>
      <c r="H127" s="1667">
        <f t="shared" si="14"/>
        <v>0</v>
      </c>
      <c r="I127" s="1667">
        <f t="shared" si="14"/>
        <v>0</v>
      </c>
      <c r="J127" s="1667">
        <f t="shared" si="14"/>
        <v>0</v>
      </c>
      <c r="K127" s="1667">
        <f t="shared" si="14"/>
        <v>116425</v>
      </c>
      <c r="L127" s="1667">
        <f t="shared" si="14"/>
        <v>142400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15748</v>
      </c>
      <c r="D129" s="1674">
        <f t="shared" ref="D129:L129" si="15">SUM(D120,D127,D128)</f>
        <v>0</v>
      </c>
      <c r="E129" s="1674">
        <f t="shared" si="15"/>
        <v>78711</v>
      </c>
      <c r="F129" s="1674">
        <f t="shared" si="15"/>
        <v>10575</v>
      </c>
      <c r="G129" s="1674">
        <f t="shared" si="15"/>
        <v>11391</v>
      </c>
      <c r="H129" s="1674">
        <f t="shared" si="15"/>
        <v>0</v>
      </c>
      <c r="I129" s="1674">
        <f t="shared" si="15"/>
        <v>0</v>
      </c>
      <c r="J129" s="1674">
        <f t="shared" si="15"/>
        <v>0</v>
      </c>
      <c r="K129" s="1674">
        <f t="shared" si="15"/>
        <v>116425</v>
      </c>
      <c r="L129" s="1674">
        <f t="shared" si="15"/>
        <v>142400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91" t="s">
        <v>620</v>
      </c>
      <c r="B151" s="2171"/>
      <c r="C151" s="1667">
        <f>SUM(C129,C130,C139,C149,C150)</f>
        <v>15748</v>
      </c>
      <c r="D151" s="1667">
        <f t="shared" ref="D151:K151" si="16">SUM(D129,D130,D139,D149,D150)</f>
        <v>0</v>
      </c>
      <c r="E151" s="1667">
        <f t="shared" si="16"/>
        <v>78711</v>
      </c>
      <c r="F151" s="1667">
        <f t="shared" si="16"/>
        <v>10575</v>
      </c>
      <c r="G151" s="1667">
        <f t="shared" si="16"/>
        <v>11391</v>
      </c>
      <c r="H151" s="1667">
        <f t="shared" si="16"/>
        <v>0</v>
      </c>
      <c r="I151" s="1667">
        <f t="shared" si="16"/>
        <v>0</v>
      </c>
      <c r="J151" s="1667">
        <f t="shared" si="16"/>
        <v>0</v>
      </c>
      <c r="K151" s="1667">
        <f t="shared" si="16"/>
        <v>116425</v>
      </c>
      <c r="L151" s="1667">
        <f>SUM(L129,L130,L139,L149,L150)</f>
        <v>142400</v>
      </c>
    </row>
    <row r="152" spans="1:14" ht="12.75" customHeight="1" thickTop="1" x14ac:dyDescent="0.2">
      <c r="A152" s="2194" t="s">
        <v>1178</v>
      </c>
      <c r="B152" s="2195"/>
      <c r="C152" s="615"/>
      <c r="D152" s="615"/>
      <c r="E152" s="615"/>
      <c r="F152" s="615"/>
      <c r="G152" s="615"/>
      <c r="H152" s="615"/>
      <c r="I152" s="615"/>
      <c r="J152" s="613"/>
      <c r="K152" s="1681">
        <f>'Revenues 9-14'!D268-'Expenditures 15-22'!K151</f>
        <v>21168</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9" t="s">
        <v>621</v>
      </c>
      <c r="B154" s="2181"/>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174" t="s">
        <v>996</v>
      </c>
      <c r="B175" s="2175"/>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947</v>
      </c>
      <c r="D182" s="466">
        <v>262</v>
      </c>
      <c r="E182" s="466">
        <v>130254</v>
      </c>
      <c r="F182" s="466">
        <v>0</v>
      </c>
      <c r="G182" s="466">
        <v>0</v>
      </c>
      <c r="H182" s="466">
        <v>0</v>
      </c>
      <c r="I182" s="467">
        <v>0</v>
      </c>
      <c r="J182" s="467">
        <v>0</v>
      </c>
      <c r="K182" s="1668">
        <f>SUM(C182:J182)</f>
        <v>131463</v>
      </c>
      <c r="L182" s="466">
        <v>105172</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48855</v>
      </c>
    </row>
    <row r="184" spans="1:14" ht="12.75" customHeight="1" thickTop="1" thickBot="1" x14ac:dyDescent="0.25">
      <c r="A184" s="1688" t="s">
        <v>811</v>
      </c>
      <c r="B184" s="1666" t="s">
        <v>569</v>
      </c>
      <c r="C184" s="1674">
        <f>SUM(C180,C182,C183)</f>
        <v>947</v>
      </c>
      <c r="D184" s="1674">
        <f t="shared" ref="D184:J184" si="17">SUM(D180,D182,D183)</f>
        <v>262</v>
      </c>
      <c r="E184" s="1674">
        <f t="shared" si="17"/>
        <v>130254</v>
      </c>
      <c r="F184" s="1674">
        <f t="shared" si="17"/>
        <v>0</v>
      </c>
      <c r="G184" s="1674">
        <f t="shared" si="17"/>
        <v>0</v>
      </c>
      <c r="H184" s="1674">
        <f t="shared" si="17"/>
        <v>0</v>
      </c>
      <c r="I184" s="1674">
        <f t="shared" si="17"/>
        <v>0</v>
      </c>
      <c r="J184" s="1674">
        <f t="shared" si="17"/>
        <v>0</v>
      </c>
      <c r="K184" s="1674">
        <f>SUM(K180,K182,K183)</f>
        <v>131463</v>
      </c>
      <c r="L184" s="1674">
        <f>SUM(L180, L182:L183)</f>
        <v>154027</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947</v>
      </c>
      <c r="D210" s="1667">
        <f>SUM(D184,D185)</f>
        <v>262</v>
      </c>
      <c r="E210" s="1667">
        <f>SUM(E184,E185,E196)</f>
        <v>130254</v>
      </c>
      <c r="F210" s="1667">
        <f>SUM(F184,F185)</f>
        <v>0</v>
      </c>
      <c r="G210" s="1667">
        <f>SUM(G184,G185)</f>
        <v>0</v>
      </c>
      <c r="H210" s="1667">
        <f>SUM(H184,H185,H196,H208,H209)</f>
        <v>0</v>
      </c>
      <c r="I210" s="1667">
        <f>SUM(I184,I185)</f>
        <v>0</v>
      </c>
      <c r="J210" s="1667">
        <f>SUM(J184,J185)</f>
        <v>0</v>
      </c>
      <c r="K210" s="1668">
        <f>SUM(K184,K185,K196,K208,K209)</f>
        <v>131463</v>
      </c>
      <c r="L210" s="1667">
        <f>SUM(L184,L185,L196,L208,L209)</f>
        <v>154027</v>
      </c>
    </row>
    <row r="211" spans="1:14" ht="13.5" thickTop="1" x14ac:dyDescent="0.2">
      <c r="A211" s="2174" t="s">
        <v>996</v>
      </c>
      <c r="B211" s="2175"/>
      <c r="C211" s="615"/>
      <c r="D211" s="615"/>
      <c r="E211" s="615"/>
      <c r="F211" s="615"/>
      <c r="G211" s="615"/>
      <c r="H211" s="615"/>
      <c r="I211" s="613"/>
      <c r="J211" s="613"/>
      <c r="K211" s="1681">
        <f>'Revenues 9-14'!F268-'Expenditures 15-22'!K210</f>
        <v>17243</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6" t="s">
        <v>965</v>
      </c>
      <c r="B213" s="2197"/>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15730</v>
      </c>
      <c r="E215" s="613"/>
      <c r="F215" s="613"/>
      <c r="G215" s="613"/>
      <c r="H215" s="613"/>
      <c r="I215" s="613"/>
      <c r="J215" s="613"/>
      <c r="K215" s="1668">
        <f>D215</f>
        <v>15730</v>
      </c>
      <c r="L215" s="466">
        <v>16909</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1472</v>
      </c>
      <c r="E217" s="613"/>
      <c r="F217" s="613"/>
      <c r="G217" s="613"/>
      <c r="H217" s="613"/>
      <c r="I217" s="613"/>
      <c r="J217" s="613"/>
      <c r="K217" s="1668">
        <f t="shared" si="19"/>
        <v>1472</v>
      </c>
      <c r="L217" s="466">
        <v>2132</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1470</v>
      </c>
      <c r="E223" s="613"/>
      <c r="F223" s="613"/>
      <c r="G223" s="613"/>
      <c r="H223" s="613"/>
      <c r="I223" s="613"/>
      <c r="J223" s="613"/>
      <c r="K223" s="1668">
        <f t="shared" si="19"/>
        <v>1470</v>
      </c>
      <c r="L223" s="466">
        <v>1458</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18672</v>
      </c>
      <c r="E229" s="613"/>
      <c r="F229" s="613"/>
      <c r="G229" s="613"/>
      <c r="H229" s="613"/>
      <c r="I229" s="613"/>
      <c r="J229" s="613"/>
      <c r="K229" s="1667">
        <f>SUM(K215:K228)</f>
        <v>18672</v>
      </c>
      <c r="L229" s="1667">
        <f>SUM(L215:L228)</f>
        <v>20499</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2898</v>
      </c>
      <c r="E241" s="613"/>
      <c r="F241" s="613"/>
      <c r="G241" s="613"/>
      <c r="H241" s="613"/>
      <c r="I241" s="613"/>
      <c r="J241" s="613"/>
      <c r="K241" s="1669">
        <f>D241</f>
        <v>2898</v>
      </c>
      <c r="L241" s="466">
        <v>3457</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2898</v>
      </c>
      <c r="E243" s="613"/>
      <c r="F243" s="613"/>
      <c r="G243" s="613"/>
      <c r="H243" s="613"/>
      <c r="I243" s="613"/>
      <c r="J243" s="613"/>
      <c r="K243" s="1667">
        <f>SUM(K240:K242)</f>
        <v>2898</v>
      </c>
      <c r="L243" s="1667">
        <f>SUM(L240:L242)</f>
        <v>3457</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532</v>
      </c>
      <c r="E245" s="613"/>
      <c r="F245" s="613"/>
      <c r="G245" s="613"/>
      <c r="H245" s="613"/>
      <c r="I245" s="613"/>
      <c r="J245" s="613"/>
      <c r="K245" s="1669">
        <f>D245</f>
        <v>532</v>
      </c>
      <c r="L245" s="479">
        <v>536</v>
      </c>
    </row>
    <row r="246" spans="1:12" x14ac:dyDescent="0.2">
      <c r="A246" s="1501" t="s">
        <v>818</v>
      </c>
      <c r="B246" s="611">
        <v>2320</v>
      </c>
      <c r="C246" s="613"/>
      <c r="D246" s="466">
        <v>1575</v>
      </c>
      <c r="E246" s="613"/>
      <c r="F246" s="613"/>
      <c r="G246" s="613"/>
      <c r="H246" s="613"/>
      <c r="I246" s="613"/>
      <c r="J246" s="613"/>
      <c r="K246" s="1669">
        <f t="shared" ref="K246:K256" si="21">D246</f>
        <v>1575</v>
      </c>
      <c r="L246" s="466">
        <v>1580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2107</v>
      </c>
      <c r="E257" s="613"/>
      <c r="F257" s="613"/>
      <c r="G257" s="613"/>
      <c r="H257" s="613"/>
      <c r="I257" s="613"/>
      <c r="J257" s="613"/>
      <c r="K257" s="1667">
        <f>SUM(K245:K256)</f>
        <v>2107</v>
      </c>
      <c r="L257" s="1667">
        <f>SUM(L245:L256)</f>
        <v>2116</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15238</v>
      </c>
      <c r="E264" s="613"/>
      <c r="F264" s="613"/>
      <c r="G264" s="613"/>
      <c r="H264" s="613"/>
      <c r="I264" s="613"/>
      <c r="J264" s="613"/>
      <c r="K264" s="1669">
        <f t="shared" ref="K264:K269" si="22">D264</f>
        <v>15238</v>
      </c>
      <c r="L264" s="466">
        <v>16166</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1205</v>
      </c>
      <c r="E266" s="613"/>
      <c r="F266" s="613"/>
      <c r="G266" s="613"/>
      <c r="H266" s="613"/>
      <c r="I266" s="613"/>
      <c r="J266" s="613"/>
      <c r="K266" s="1669">
        <f t="shared" si="22"/>
        <v>1205</v>
      </c>
      <c r="L266" s="466">
        <v>1360</v>
      </c>
    </row>
    <row r="267" spans="1:14" x14ac:dyDescent="0.2">
      <c r="A267" s="1501" t="s">
        <v>953</v>
      </c>
      <c r="B267" s="611">
        <v>2550</v>
      </c>
      <c r="C267" s="613"/>
      <c r="D267" s="466">
        <v>13</v>
      </c>
      <c r="E267" s="613"/>
      <c r="F267" s="613"/>
      <c r="G267" s="613"/>
      <c r="H267" s="613"/>
      <c r="I267" s="613"/>
      <c r="J267" s="613"/>
      <c r="K267" s="1669">
        <f t="shared" si="22"/>
        <v>13</v>
      </c>
      <c r="L267" s="466">
        <v>14</v>
      </c>
    </row>
    <row r="268" spans="1:14" x14ac:dyDescent="0.2">
      <c r="A268" s="1501" t="s">
        <v>100</v>
      </c>
      <c r="B268" s="611">
        <v>2560</v>
      </c>
      <c r="C268" s="613"/>
      <c r="D268" s="466">
        <v>3670</v>
      </c>
      <c r="E268" s="613"/>
      <c r="F268" s="613"/>
      <c r="G268" s="613"/>
      <c r="H268" s="613"/>
      <c r="I268" s="613"/>
      <c r="J268" s="613"/>
      <c r="K268" s="1669">
        <f t="shared" si="22"/>
        <v>3670</v>
      </c>
      <c r="L268" s="466">
        <v>3927</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20126</v>
      </c>
      <c r="E270" s="613"/>
      <c r="F270" s="613"/>
      <c r="G270" s="613"/>
      <c r="H270" s="613"/>
      <c r="I270" s="613"/>
      <c r="J270" s="613"/>
      <c r="K270" s="1667">
        <f>SUM(K263:K269)</f>
        <v>20126</v>
      </c>
      <c r="L270" s="1667">
        <f>SUM(L263:L269)</f>
        <v>21467</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25131</v>
      </c>
      <c r="E279" s="613"/>
      <c r="F279" s="613"/>
      <c r="G279" s="613"/>
      <c r="H279" s="613"/>
      <c r="I279" s="613"/>
      <c r="J279" s="613"/>
      <c r="K279" s="1674">
        <f>SUM(K238,K243,K257,K261,K270,K277,K278)</f>
        <v>25131</v>
      </c>
      <c r="L279" s="1674">
        <f>SUM(L238,L243,L257,L261,L270,L277,L278)</f>
        <v>27040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4008</v>
      </c>
      <c r="E283" s="613"/>
      <c r="F283" s="613"/>
      <c r="G283" s="613"/>
      <c r="H283" s="613"/>
      <c r="I283" s="613"/>
      <c r="J283" s="613"/>
      <c r="K283" s="1668">
        <f>D283</f>
        <v>4008</v>
      </c>
      <c r="L283" s="466">
        <v>2880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4008</v>
      </c>
      <c r="E285" s="613"/>
      <c r="F285" s="613"/>
      <c r="G285" s="613"/>
      <c r="H285" s="613"/>
      <c r="I285" s="613"/>
      <c r="J285" s="613"/>
      <c r="K285" s="1667">
        <f>SUM(K282:K284)</f>
        <v>4008</v>
      </c>
      <c r="L285" s="1667">
        <f>SUM(L282:L284)</f>
        <v>2880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2" t="s">
        <v>505</v>
      </c>
      <c r="B295" s="2193"/>
      <c r="C295" s="613"/>
      <c r="D295" s="1667">
        <f>SUM(D229,D279,D280,D285)</f>
        <v>47811</v>
      </c>
      <c r="E295" s="613"/>
      <c r="F295" s="613"/>
      <c r="G295" s="613"/>
      <c r="H295" s="1667">
        <f>H293</f>
        <v>0</v>
      </c>
      <c r="I295" s="613"/>
      <c r="J295" s="613"/>
      <c r="K295" s="1667">
        <f>SUM(K229,K279,K280,K285,K293,K294)</f>
        <v>47811</v>
      </c>
      <c r="L295" s="1667">
        <f>SUM(L229,L279,L280,L285,L293,L294)</f>
        <v>50419</v>
      </c>
    </row>
    <row r="296" spans="1:14" ht="13.5" thickTop="1" x14ac:dyDescent="0.2">
      <c r="A296" s="2174" t="s">
        <v>996</v>
      </c>
      <c r="B296" s="2175"/>
      <c r="C296" s="613"/>
      <c r="D296" s="615"/>
      <c r="E296" s="613"/>
      <c r="F296" s="613"/>
      <c r="G296" s="613"/>
      <c r="H296" s="684"/>
      <c r="I296" s="613"/>
      <c r="J296" s="613"/>
      <c r="K296" s="1681">
        <f>'Revenues 9-14'!G268-'Expenditures 15-22'!K295</f>
        <v>-13283</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4" t="s">
        <v>143</v>
      </c>
      <c r="B298" s="2178"/>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50300</v>
      </c>
      <c r="H301" s="466">
        <v>0</v>
      </c>
      <c r="I301" s="467">
        <v>0</v>
      </c>
      <c r="J301" s="467">
        <v>0</v>
      </c>
      <c r="K301" s="1668">
        <f>SUM(C301:J301)</f>
        <v>50300</v>
      </c>
      <c r="L301" s="467">
        <v>55000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50300</v>
      </c>
      <c r="H303" s="1674">
        <f t="shared" si="23"/>
        <v>0</v>
      </c>
      <c r="I303" s="1674">
        <f t="shared" si="23"/>
        <v>0</v>
      </c>
      <c r="J303" s="1674">
        <f t="shared" si="23"/>
        <v>0</v>
      </c>
      <c r="K303" s="1674">
        <f t="shared" si="23"/>
        <v>50300</v>
      </c>
      <c r="L303" s="1674">
        <f t="shared" si="23"/>
        <v>55000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9" t="s">
        <v>277</v>
      </c>
      <c r="B312" s="2190"/>
      <c r="C312" s="1667">
        <f>SUM(C303)</f>
        <v>0</v>
      </c>
      <c r="D312" s="1667">
        <f>SUM(D303)</f>
        <v>0</v>
      </c>
      <c r="E312" s="1667">
        <f>SUM(E303,E310)</f>
        <v>0</v>
      </c>
      <c r="F312" s="1667">
        <f>SUM(F303)</f>
        <v>0</v>
      </c>
      <c r="G312" s="1667">
        <f>SUM(G303)</f>
        <v>50300</v>
      </c>
      <c r="H312" s="1667">
        <f>SUM(H303,H310)</f>
        <v>0</v>
      </c>
      <c r="I312" s="1667">
        <f>SUM(I303)</f>
        <v>0</v>
      </c>
      <c r="J312" s="1667">
        <f>SUM(J303)</f>
        <v>0</v>
      </c>
      <c r="K312" s="1667">
        <f>SUM(K303,K310,K311)</f>
        <v>50300</v>
      </c>
      <c r="L312" s="1667">
        <f>SUM(L303,L310,L311)</f>
        <v>55000</v>
      </c>
      <c r="M312" s="662"/>
      <c r="N312" s="662"/>
    </row>
    <row r="313" spans="1:14" ht="13.5" thickTop="1" x14ac:dyDescent="0.2">
      <c r="A313" s="2185" t="s">
        <v>996</v>
      </c>
      <c r="B313" s="2186"/>
      <c r="C313" s="623"/>
      <c r="D313" s="623"/>
      <c r="E313" s="623"/>
      <c r="F313" s="623"/>
      <c r="G313" s="623"/>
      <c r="H313" s="623"/>
      <c r="I313" s="623"/>
      <c r="J313" s="623"/>
      <c r="K313" s="1682">
        <f>'Revenues 9-14'!H268-'Expenditures 15-22'!K312</f>
        <v>12629</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8" t="s">
        <v>149</v>
      </c>
      <c r="B315" s="2199"/>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0" t="s">
        <v>898</v>
      </c>
      <c r="B317" s="2199"/>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5333</v>
      </c>
      <c r="F320" s="467">
        <v>0</v>
      </c>
      <c r="G320" s="467">
        <v>0</v>
      </c>
      <c r="H320" s="467">
        <v>0</v>
      </c>
      <c r="I320" s="467">
        <v>0</v>
      </c>
      <c r="J320" s="467">
        <v>0</v>
      </c>
      <c r="K320" s="1668">
        <f t="shared" ref="K320:K327" si="24">SUM(C320:J320)</f>
        <v>5333</v>
      </c>
      <c r="L320" s="467">
        <v>5700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29975</v>
      </c>
      <c r="F322" s="467">
        <v>0</v>
      </c>
      <c r="G322" s="467">
        <v>0</v>
      </c>
      <c r="H322" s="467">
        <v>0</v>
      </c>
      <c r="I322" s="467">
        <v>0</v>
      </c>
      <c r="J322" s="467">
        <v>0</v>
      </c>
      <c r="K322" s="1668">
        <f t="shared" si="24"/>
        <v>29975</v>
      </c>
      <c r="L322" s="467">
        <v>30000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425</v>
      </c>
      <c r="F327" s="467">
        <v>0</v>
      </c>
      <c r="G327" s="467">
        <v>0</v>
      </c>
      <c r="H327" s="467">
        <v>0</v>
      </c>
      <c r="I327" s="467">
        <v>0</v>
      </c>
      <c r="J327" s="467">
        <v>0</v>
      </c>
      <c r="K327" s="1668">
        <f t="shared" si="24"/>
        <v>425</v>
      </c>
      <c r="L327" s="467">
        <v>2750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35733</v>
      </c>
      <c r="F330" s="1667">
        <f t="shared" si="25"/>
        <v>0</v>
      </c>
      <c r="G330" s="1667">
        <f t="shared" si="25"/>
        <v>0</v>
      </c>
      <c r="H330" s="1667">
        <f t="shared" si="25"/>
        <v>0</v>
      </c>
      <c r="I330" s="1667">
        <f t="shared" si="25"/>
        <v>0</v>
      </c>
      <c r="J330" s="1667">
        <f t="shared" si="25"/>
        <v>0</v>
      </c>
      <c r="K330" s="1667">
        <f>SUM(K319:K329)</f>
        <v>35733</v>
      </c>
      <c r="L330" s="1667">
        <f>SUM(L319:L329)</f>
        <v>38450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35733</v>
      </c>
      <c r="F342" s="1667">
        <f>SUM(F330)</f>
        <v>0</v>
      </c>
      <c r="G342" s="1667">
        <f>SUM(G330)</f>
        <v>0</v>
      </c>
      <c r="H342" s="1667">
        <f>SUM(H330,H334,H340)</f>
        <v>0</v>
      </c>
      <c r="I342" s="1667">
        <f>SUM(I330)</f>
        <v>0</v>
      </c>
      <c r="J342" s="1667">
        <f>SUM(J330)</f>
        <v>0</v>
      </c>
      <c r="K342" s="1667">
        <f>SUM(K330,K334,K340)</f>
        <v>35733</v>
      </c>
      <c r="L342" s="1674">
        <f>SUM(L330,L340,L341)</f>
        <v>38450</v>
      </c>
    </row>
    <row r="343" spans="1:14" ht="12.75" customHeight="1" thickTop="1" x14ac:dyDescent="0.2">
      <c r="A343" s="2187" t="s">
        <v>996</v>
      </c>
      <c r="B343" s="2188"/>
      <c r="C343" s="613"/>
      <c r="D343" s="613"/>
      <c r="E343" s="613"/>
      <c r="F343" s="613"/>
      <c r="G343" s="613"/>
      <c r="H343" s="613"/>
      <c r="I343" s="613"/>
      <c r="J343" s="613"/>
      <c r="K343" s="1681">
        <f>'Revenues 9-14'!J268-'Expenditures 15-22'!K342</f>
        <v>4947</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7" t="s">
        <v>966</v>
      </c>
      <c r="B345" s="2178"/>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74" t="s">
        <v>996</v>
      </c>
      <c r="B368" s="2175"/>
      <c r="C368" s="651"/>
      <c r="D368" s="651"/>
      <c r="E368" s="623"/>
      <c r="F368" s="623"/>
      <c r="G368" s="623"/>
      <c r="H368" s="623"/>
      <c r="I368" s="623"/>
      <c r="J368" s="620"/>
      <c r="K368" s="1668">
        <f>'Revenues 9-14'!K268-'Expenditures 15-22'!K367</f>
        <v>502</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2"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purl.org/dc/terms/"/>
    <ds:schemaRef ds:uri="http://purl.org/dc/elements/1.1/"/>
    <ds:schemaRef ds:uri="http://schemas.microsoft.com/office/infopath/2007/PartnerControls"/>
    <ds:schemaRef ds:uri="4d435f69-8686-490b-bd6d-b153bf22ab50"/>
    <ds:schemaRef ds:uri="http://schemas.microsoft.com/office/2006/documentManagement/types"/>
    <ds:schemaRef ds:uri="http://schemas.openxmlformats.org/package/2006/metadata/core-properties"/>
    <ds:schemaRef ds:uri="http://purl.org/dc/dcmitype/"/>
    <ds:schemaRef ds:uri="d21dc803-237d-4c68-8692-8d731fd29118"/>
    <ds:schemaRef ds:uri="http://schemas.microsoft.com/sharepoint/v3"/>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2019-09-20T21:15:47Z</cp:lastPrinted>
  <dcterms:created xsi:type="dcterms:W3CDTF">2003-10-29T19:06:34Z</dcterms:created>
  <dcterms:modified xsi:type="dcterms:W3CDTF">2019-11-19T15:28:46Z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