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591B24B-020F-4F20-89B3-8A97CEF3B20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19-001" sheetId="183" r:id="rId32"/>
    <sheet name="Finding 2019-002" sheetId="184" r:id="rId33"/>
    <sheet name="Finding 2019-003" sheetId="187" r:id="rId34"/>
    <sheet name="SF&amp;QC Sec-3" sheetId="176" r:id="rId35"/>
    <sheet name="SSPAF" sheetId="177" r:id="rId36"/>
    <sheet name="CAP 2019-001" sheetId="185" r:id="rId37"/>
    <sheet name="CAP 2019-002" sheetId="186" r:id="rId38"/>
    <sheet name="CAP 2019-003" sheetId="188" r:id="rId39"/>
  </sheets>
  <definedNames>
    <definedName name="goof" localSheetId="37">#REF!</definedName>
    <definedName name="goof" localSheetId="38">#REF!</definedName>
    <definedName name="goof" localSheetId="32">#REF!</definedName>
    <definedName name="goof" localSheetId="33">#REF!</definedName>
    <definedName name="goof">#REF!</definedName>
    <definedName name="oops" localSheetId="37">#REF!</definedName>
    <definedName name="oops" localSheetId="38">#REF!</definedName>
    <definedName name="oops" localSheetId="32">#REF!</definedName>
    <definedName name="oops" localSheetId="33">#REF!</definedName>
    <definedName name="oops">#REF!</definedName>
    <definedName name="pass" localSheetId="37">#REF!</definedName>
    <definedName name="pass" localSheetId="38">#REF!</definedName>
    <definedName name="pass" localSheetId="33">#REF!</definedName>
    <definedName name="pass">#REF!</definedName>
    <definedName name="pass1" localSheetId="37">#REF!</definedName>
    <definedName name="pass1" localSheetId="38">#REF!</definedName>
    <definedName name="pass1" localSheetId="33">#REF!</definedName>
    <definedName name="pass1">#REF!</definedName>
    <definedName name="pass2" localSheetId="37">#REF!</definedName>
    <definedName name="pass2" localSheetId="38">#REF!</definedName>
    <definedName name="pass2" localSheetId="33">#REF!</definedName>
    <definedName name="pass2">#REF!</definedName>
    <definedName name="pass3" localSheetId="37">#REF!</definedName>
    <definedName name="pass3" localSheetId="38">#REF!</definedName>
    <definedName name="pass3" localSheetId="33">#REF!</definedName>
    <definedName name="pass3">#REF!</definedName>
    <definedName name="pass4" localSheetId="37">#REF!</definedName>
    <definedName name="pass4" localSheetId="38">#REF!</definedName>
    <definedName name="pass4" localSheetId="3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6">#REF!</definedName>
    <definedName name="SCHADDRS" localSheetId="37">#REF!</definedName>
    <definedName name="SCHADDRS" localSheetId="38">#REF!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28">#REF!</definedName>
    <definedName name="SCHADDRS" localSheetId="26">#REF!</definedName>
    <definedName name="SCHADDRS" localSheetId="29">#REF!</definedName>
    <definedName name="SCHADDRS" localSheetId="30">#REF!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36">#REF!</definedName>
    <definedName name="SCHCTY" localSheetId="37">#REF!</definedName>
    <definedName name="SCHCTY" localSheetId="38">#REF!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28">#REF!</definedName>
    <definedName name="SCHCTY" localSheetId="26">#REF!</definedName>
    <definedName name="SCHCTY" localSheetId="29">#REF!</definedName>
    <definedName name="SCHCTY" localSheetId="30">#REF!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36">#REF!</definedName>
    <definedName name="SCHNMBR" localSheetId="37">#REF!</definedName>
    <definedName name="SCHNMBR" localSheetId="38">#REF!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28">#REF!</definedName>
    <definedName name="SCHNMBR" localSheetId="26">#REF!</definedName>
    <definedName name="SCHNMBR" localSheetId="29">#REF!</definedName>
    <definedName name="SCHNMBR" localSheetId="30">#REF!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36">#REF!</definedName>
    <definedName name="SCHNME" localSheetId="37">#REF!</definedName>
    <definedName name="SCHNME" localSheetId="38">#REF!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28">#REF!</definedName>
    <definedName name="SCHNME" localSheetId="26">#REF!</definedName>
    <definedName name="SCHNME" localSheetId="29">#REF!</definedName>
    <definedName name="SCHNME" localSheetId="30">#REF!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36">#REF!</definedName>
    <definedName name="SUPT" localSheetId="37">#REF!</definedName>
    <definedName name="SUPT" localSheetId="38">#REF!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28">#REF!</definedName>
    <definedName name="SUPT" localSheetId="26">#REF!</definedName>
    <definedName name="SUPT" localSheetId="29">#REF!</definedName>
    <definedName name="SUPT" localSheetId="30">#REF!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8" l="1"/>
  <c r="E18" i="186"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4" i="187" l="1"/>
  <c r="B4" i="184"/>
  <c r="B4" i="183"/>
  <c r="B2" i="177"/>
  <c r="A2" i="170"/>
  <c r="B2" i="174"/>
  <c r="A2" i="173"/>
  <c r="A1" i="171"/>
  <c r="B1" i="179"/>
  <c r="B2" i="176"/>
  <c r="B1" i="175"/>
  <c r="B1" i="177"/>
  <c r="A1" i="170"/>
  <c r="A2" i="171"/>
  <c r="A1" i="173"/>
  <c r="B1" i="174"/>
  <c r="B2" i="175"/>
  <c r="B1" i="176"/>
  <c r="B2" i="188" l="1"/>
  <c r="B2" i="186"/>
  <c r="B2" i="185"/>
  <c r="B2" i="187"/>
  <c r="B2" i="183"/>
  <c r="B2" i="184"/>
  <c r="B1" i="187"/>
  <c r="B1" i="184"/>
  <c r="B1" i="183"/>
  <c r="B1" i="188"/>
  <c r="B1" i="185"/>
  <c r="B1" i="186"/>
  <c r="B7773" i="106"/>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H28" i="118" s="1"/>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J49" i="8" s="1"/>
  <c r="B4172" i="106" s="1"/>
  <c r="D4172" i="106"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J22" i="37"/>
  <c r="D24" i="37"/>
  <c r="B4270" i="106" s="1"/>
  <c r="D4270" i="106" s="1"/>
  <c r="L5" i="11"/>
  <c r="B2056" i="106" s="1"/>
  <c r="D2056" i="106" s="1"/>
  <c r="J23" i="12" l="1"/>
  <c r="D68" i="36"/>
  <c r="G33" i="108"/>
  <c r="F46" i="34"/>
  <c r="D69" i="36"/>
  <c r="F64" i="34"/>
  <c r="H76" i="4"/>
  <c r="B3298" i="106" s="1"/>
  <c r="D3298" i="106" s="1"/>
  <c r="F69" i="34"/>
  <c r="H33" i="118"/>
  <c r="F42" i="34"/>
  <c r="J210" i="29"/>
  <c r="B7072" i="106" s="1"/>
  <c r="D7072" i="106" s="1"/>
  <c r="I210" i="29"/>
  <c r="B7071" i="106" s="1"/>
  <c r="D7071" i="106" s="1"/>
  <c r="F50" i="34"/>
  <c r="F36" i="34"/>
  <c r="F49"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H77" i="4" l="1"/>
  <c r="B3299" i="106" s="1"/>
  <c r="D3299" i="106" s="1"/>
  <c r="B1328" i="106"/>
  <c r="D1328" i="106" s="1"/>
  <c r="D7252" i="106"/>
  <c r="C367" i="29"/>
  <c r="B3622" i="106" s="1"/>
  <c r="D3622" i="106" s="1"/>
  <c r="D7256"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80" i="106" l="1"/>
  <c r="D280" i="106" s="1"/>
  <c r="M41" i="3"/>
  <c r="B281" i="106" l="1"/>
  <c r="D281" i="106" s="1"/>
  <c r="D54" i="36"/>
  <c r="D59" i="36" l="1"/>
  <c r="B140" i="106"/>
  <c r="D140" i="106" s="1"/>
  <c r="E41" i="3"/>
  <c r="B6215" i="106"/>
  <c r="D6215" i="106" s="1"/>
  <c r="J41" i="3"/>
  <c r="D64" i="36"/>
  <c r="B2912" i="106"/>
  <c r="D2912" i="106" s="1"/>
  <c r="D63" i="36"/>
  <c r="I41" i="3"/>
  <c r="B6216" i="106" l="1"/>
  <c r="D6216" i="106" s="1"/>
  <c r="D51" i="36"/>
  <c r="B141" i="106"/>
  <c r="D141" i="106" s="1"/>
  <c r="D46" i="36"/>
  <c r="B189" i="106"/>
  <c r="D189" i="106" s="1"/>
  <c r="G41" i="3"/>
  <c r="D61" i="36"/>
  <c r="D50" i="36"/>
  <c r="B2913" i="106"/>
  <c r="D2913" i="106" s="1"/>
  <c r="B190" i="106" l="1"/>
  <c r="D190" i="106" s="1"/>
  <c r="D48" i="36"/>
  <c r="N23" i="3"/>
  <c r="B282" i="106"/>
  <c r="D282" i="106" s="1"/>
  <c r="B3567" i="106"/>
  <c r="D3567" i="106" s="1"/>
  <c r="K41" i="3"/>
  <c r="D65" i="36"/>
  <c r="B212" i="106"/>
  <c r="D212" i="106" s="1"/>
  <c r="D62" i="36"/>
  <c r="H41" i="3"/>
  <c r="B123" i="106"/>
  <c r="D123" i="106" s="1"/>
  <c r="D41" i="3"/>
  <c r="D58" i="36"/>
  <c r="B3568" i="106" l="1"/>
  <c r="D3568" i="106" s="1"/>
  <c r="D52" i="36"/>
  <c r="B92" i="106"/>
  <c r="D92" i="106" s="1"/>
  <c r="C41" i="3"/>
  <c r="D57" i="36"/>
  <c r="D76" i="36"/>
  <c r="B284" i="106"/>
  <c r="D284" i="106" s="1"/>
  <c r="D55" i="36"/>
  <c r="B124" i="106"/>
  <c r="D124" i="106" s="1"/>
  <c r="D45" i="36"/>
  <c r="D49" i="36"/>
  <c r="B213" i="106"/>
  <c r="D213" i="106" s="1"/>
  <c r="B170" i="106"/>
  <c r="D170" i="106" s="1"/>
  <c r="F41" i="3"/>
  <c r="D60" i="36"/>
  <c r="B93" i="106" l="1"/>
  <c r="D93" i="106" s="1"/>
  <c r="D44" i="36"/>
  <c r="B171" i="106"/>
  <c r="D171" i="106" s="1"/>
  <c r="D4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<sst xmlns="http://schemas.openxmlformats.org/spreadsheetml/2006/main" count="5219" uniqueCount="2149">
  <si>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</si>
  <si>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</si>
  <si>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</si>
  <si>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</si>
  <si>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</si>
  <si>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</si>
  <si>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</si>
  <si>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</si>
  <si>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</si>
  <si>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</si>
  <si>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</si>
  <si>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</si>
  <si>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</si>
  <si>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</si>
  <si>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</si>
  <si>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</si>
  <si>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</si>
  <si>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</si>
  <si>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</si>
  <si>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</si>
  <si>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</si>
  <si>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</si>
  <si>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</si>
  <si>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</si>
  <si>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</si>
  <si>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</si>
  <si>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</si>
  <si>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</si>
  <si>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</si>
  <si>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</si>
  <si>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</si>
  <si>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</si>
  <si>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</si>
  <si>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</si>
  <si>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</si>
  <si>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</si>
  <si>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</si>
  <si>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</si>
  <si>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</si>
  <si>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</si>
  <si>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</si>
  <si>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</si>
  <si>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</si>
  <si>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</si>
  <si>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</si>
  <si>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</si>
  <si>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</si>
  <si>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</si>
  <si>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</si>
  <si>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</si>
  <si>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</si>
  <si>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</si>
  <si>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</si>
  <si>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</si>
  <si>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</si>
  <si>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</si>
  <si>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</si>
  <si>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</si>
  <si>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</si>
  <si>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</si>
  <si>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</si>
  <si>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</si>
  <si>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</si>
  <si>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</si>
  <si>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</si>
  <si>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</si>
  <si>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</si>
  <si>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</si>
  <si>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</si>
  <si>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</si>
  <si>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</si>
  <si>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</si>
  <si>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</si>
  <si>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</si>
  <si>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</si>
  <si>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</si>
  <si>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</si>
  <si>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</si>
  <si>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</si>
  <si>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</si>
  <si>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</si>
  <si>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</si>
  <si>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</si>
  <si>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</si>
  <si>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</si>
  <si>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</si>
  <si>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</si>
  <si>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</si>
  <si>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</si>
  <si>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</si>
  <si>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</si>
  <si>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</si>
  <si>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</si>
  <si>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</si>
  <si>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</si>
  <si>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</si>
  <si>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</si>
  <si>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</si>
  <si>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</si>
  <si>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</si>
  <si>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</si>
  <si>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</si>
  <si>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</si>
  <si>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</si>
  <si>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</si>
  <si>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</si>
  <si>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</si>
  <si>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</si>
  <si>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</si>
  <si>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</si>
  <si>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</si>
  <si>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</si>
  <si>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</si>
  <si>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</si>
  <si>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</si>
  <si>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</si>
  <si>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</si>
  <si>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</si>
  <si>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</si>
  <si>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</si>
  <si>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</si>
  <si>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</si>
  <si>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</si>
  <si>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</si>
  <si>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</si>
  <si>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</si>
  <si>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</si>
  <si>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</si>
  <si>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</si>
  <si>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</si>
  <si>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</si>
  <si>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</si>
  <si>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</si>
  <si>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</si>
  <si>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</si>
  <si>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</si>
  <si>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</si>
  <si>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</si>
  <si>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</si>
  <si>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</si>
  <si>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</si>
  <si>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</si>
  <si>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</si>
  <si>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</si>
  <si>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</si>
  <si>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</si>
  <si>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</si>
  <si>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</si>
  <si>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</si>
  <si>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</si>
  <si>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</si>
  <si>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</si>
  <si>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</si>
  <si>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</si>
  <si>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</si>
  <si>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</si>
  <si>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</si>
  <si>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</si>
  <si>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</si>
  <si>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</si>
  <si>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</si>
  <si>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</si>
  <si>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</si>
  <si>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</si>
  <si>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</si>
  <si>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</si>
  <si>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</si>
  <si>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</si>
  <si>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</si>
  <si>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</si>
  <si>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</si>
  <si>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</si>
  <si>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</si>
  <si>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</si>
  <si>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</si>
  <si>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</si>
  <si>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</si>
  <si>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</si>
  <si>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</si>
  <si>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</si>
  <si>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</si>
  <si>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</si>
  <si>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</si>
  <si>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</si>
  <si>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</si>
  <si>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</si>
  <si>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</si>
  <si>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</si>
  <si>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</si>
  <si>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</si>
  <si>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</si>
  <si>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</si>
  <si>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</si>
  <si>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</si>
  <si>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</si>
  <si>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</si>
  <si>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</si>
  <si>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</si>
  <si>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</si>
  <si>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</si>
  <si>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</si>
  <si>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</si>
  <si>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</si>
  <si>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</si>
  <si>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</si>
  <si>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</si>
  <si>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</si>
  <si>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</si>
  <si>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</si>
  <si>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</si>
  <si>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</si>
  <si>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</si>
  <si>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</si>
  <si>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</si>
  <si>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</si>
  <si>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</si>
  <si>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</si>
  <si>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</si>
  <si>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</si>
  <si>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</si>
  <si>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</si>
  <si>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</si>
  <si>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</si>
  <si>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</si>
  <si>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</si>
  <si>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</si>
  <si>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</si>
  <si>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</si>
  <si>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</si>
  <si>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</si>
  <si>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</si>
  <si>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</si>
  <si>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</si>
  <si>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</si>
  <si>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</si>
  <si>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</si>
  <si>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</si>
  <si>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</si>
  <si>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</si>
  <si>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</si>
  <si>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</si>
  <si>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</si>
  <si>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</si>
  <si>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</si>
  <si>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</si>
  <si>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</si>
  <si>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</si>
  <si>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</si>
  <si>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</si>
  <si>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</si>
  <si>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</si>
  <si>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</si>
  <si>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</si>
  <si>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</si>
  <si>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</si>
  <si>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</si>
  <si>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</si>
  <si>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</si>
  <si>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</si>
  <si>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</si>
  <si>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</si>
  <si>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</si>
  <si>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</si>
  <si>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</si>
  <si>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</si>
  <si>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</si>
  <si>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</si>
  <si>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</si>
  <si>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</si>
  <si>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</si>
  <si>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</si>
  <si>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</si>
  <si>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</si>
  <si>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</si>
  <si>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</si>
  <si>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</si>
  <si>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</si>
  <si>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</si>
  <si>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</si>
  <si>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</si>
  <si>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</si>
  <si>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</si>
  <si>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</si>
  <si>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</si>
  <si>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</si>
  <si>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</si>
  <si>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</si>
  <si>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</si>
  <si>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</si>
  <si>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</si>
  <si>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</si>
  <si>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</si>
  <si>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</si>
  <si>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</si>
  <si>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</si>
  <si>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</si>
  <si>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</si>
  <si>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</si>
  <si>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</si>
  <si>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</si>
  <si>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</si>
  <si>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</si>
  <si>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</si>
  <si>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</si>
  <si>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</si>
  <si>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</si>
  <si>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</si>
  <si>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</si>
  <si>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</si>
  <si>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</si>
  <si>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</si>
  <si>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</si>
  <si>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</si>
  <si>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</si>
  <si>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</si>
  <si>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</si>
  <si>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</si>
  <si>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</si>
  <si>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</si>
  <si>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</si>
  <si>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</si>
  <si>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</si>
  <si>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</si>
  <si>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</si>
  <si>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</si>
  <si>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</si>
  <si>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</si>
  <si>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</si>
  <si>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</si>
  <si>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</si>
  <si>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</si>
  <si>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</si>
  <si>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</si>
  <si>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</si>
  <si>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</si>
  <si>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</si>
  <si>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</si>
  <si>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</si>
  <si>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</si>
  <si>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</si>
  <si>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</si>
  <si>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</si>
  <si>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</si>
  <si>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</si>
  <si>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</si>
  <si>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</si>
  <si>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</si>
  <si>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</si>
  <si>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</si>
  <si>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</si>
  <si>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</si>
  <si>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</si>
  <si>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</si>
  <si>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</si>
  <si>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</si>
  <si>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</si>
  <si>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</si>
  <si>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</si>
  <si>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</si>
  <si>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</si>
  <si>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</si>
  <si>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</si>
  <si>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</si>
  <si>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</si>
  <si>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</si>
  <si>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</si>
  <si>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</si>
  <si>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</si>
  <si>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</si>
  <si>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</si>
  <si>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</si>
  <si>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</si>
  <si>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</si>
  <si>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</si>
  <si>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</si>
  <si>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</si>
  <si>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</si>
  <si>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</si>
  <si>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</si>
  <si>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</si>
  <si>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</si>
  <si>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</si>
  <si>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</si>
  <si>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</si>
  <si>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</si>
  <si>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</si>
  <si>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</si>
  <si>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</si>
  <si>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</si>
  <si>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</si>
  <si>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</si>
  <si>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</si>
  <si>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</si>
  <si>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</si>
  <si>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</si>
  <si>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</si>
  <si>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</si>
  <si>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</si>
  <si>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</si>
  <si>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</si>
  <si>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</si>
  <si>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</si>
  <si>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</si>
  <si>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</si>
  <si>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</si>
  <si>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</si>
  <si>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</si>
  <si>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</si>
  <si>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</si>
  <si>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</si>
  <si>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</si>
  <si>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</si>
  <si>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</si>
  <si>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</si>
  <si>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</si>
  <si>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</si>
  <si>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</si>
  <si>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</si>
  <si>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</si>
  <si>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</si>
  <si>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</si>
  <si>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</si>
  <si>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</si>
  <si>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</si>
  <si>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</si>
  <si>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</si>
  <si>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</si>
  <si>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</si>
  <si>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</si>
  <si>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</si>
  <si>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</si>
  <si>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</si>
  <si>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</si>
  <si>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</si>
  <si>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</si>
  <si>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</si>
  <si>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</si>
  <si>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</si>
  <si>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</si>
  <si>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</si>
  <si>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</si>
  <si>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</si>
  <si>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</si>
  <si>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</si>
  <si>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</si>
  <si>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</si>
  <si>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</si>
  <si>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</si>
  <si>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</si>
  <si>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</si>
  <si>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</si>
  <si>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</si>
  <si>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</si>
  <si>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</si>
  <si>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</si>
  <si>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</si>
  <si>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</si>
  <si>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</si>
  <si>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</si>
  <si>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</si>
  <si>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</si>
  <si>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</si>
  <si>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</si>
  <si>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</si>
  <si>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</si>
  <si>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</si>
  <si>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</si>
  <si>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</si>
  <si>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</si>
  <si>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</si>
  <si>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</si>
  <si>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</si>
  <si>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</si>
  <si>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</si>
  <si>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</si>
  <si>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</si>
  <si>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</si>
  <si>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</si>
  <si>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</si>
  <si>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</si>
  <si>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</si>
  <si>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</si>
  <si>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</si>
  <si>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</si>
  <si>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</si>
  <si>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</si>
  <si>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</si>
  <si>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</si>
  <si>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</si>
  <si>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</si>
  <si>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</si>
  <si>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</si>
  <si>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</si>
  <si>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</si>
  <si>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</si>
  <si>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</si>
  <si>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</si>
  <si>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</si>
  <si>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</si>
  <si>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</si>
  <si>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</si>
  <si>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</si>
  <si>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</si>
  <si>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</si>
  <si>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</si>
  <si>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</si>
  <si>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</si>
  <si>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</si>
  <si>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</si>
  <si>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</si>
  <si>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</si>
  <si>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</si>
  <si>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</si>
  <si>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</si>
  <si>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</si>
  <si>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</si>
  <si>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</si>
  <si>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</si>
  <si>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</si>
  <si>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</si>
  <si>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</si>
  <si>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</si>
  <si>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</si>
  <si>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</si>
  <si>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</si>
  <si>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</si>
  <si>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</si>
  <si>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</si>
  <si>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</si>
  <si>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</si>
  <si>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</si>
  <si>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</si>
  <si>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</si>
  <si>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</si>
  <si>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</si>
  <si>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</si>
  <si>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</si>
  <si>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</si>
  <si>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</si>
  <si>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</si>
  <si>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</si>
  <si>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</si>
  <si>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</si>
  <si>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</si>
  <si>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</si>
  <si>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</si>
  <si>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</si>
  <si>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</si>
  <si>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</si>
  <si>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</si>
  <si>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</si>
  <si>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</si>
  <si>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</si>
  <si>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</si>
  <si>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</si>
  <si>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</si>
  <si>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</si>
  <si>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</si>
  <si>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</si>
  <si>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</si>
  <si>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</si>
  <si>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</si>
  <si>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</si>
  <si>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</si>
  <si>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</si>
  <si>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</si>
  <si>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</si>
  <si>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</si>
  <si>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</si>
  <si>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</si>
  <si>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</si>
  <si>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</si>
  <si>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</si>
  <si>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</si>
  <si>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</si>
  <si>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</si>
  <si>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</si>
  <si>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</si>
  <si>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</si>
  <si>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</si>
  <si>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</si>
  <si>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</si>
  <si>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</si>
  <si>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</si>
  <si>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</si>
  <si>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</si>
  <si>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</si>
  <si>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</si>
  <si>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</si>
  <si>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</si>
  <si>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</si>
  <si>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</si>
  <si>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</si>
  <si>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</si>
  <si>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</si>
  <si>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</si>
  <si>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</si>
  <si>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</si>
  <si>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</si>
  <si>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</si>
  <si>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</si>
  <si>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</si>
  <si>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</si>
  <si>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</si>
  <si>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</si>
  <si>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</si>
  <si>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</si>
  <si>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</si>
  <si>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</si>
  <si>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</si>
  <si>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</si>
  <si>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</si>
  <si>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</si>
  <si>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</si>
  <si>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</si>
  <si>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</si>
  <si>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</si>
  <si>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</si>
  <si>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</si>
  <si>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</si>
  <si>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</si>
  <si>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</si>
  <si>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</si>
  <si>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</si>
  <si>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</si>
  <si>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</si>
  <si>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</si>
  <si>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</si>
  <si>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</si>
  <si>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</si>
  <si>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</si>
  <si>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</si>
  <si>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</si>
  <si>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</si>
  <si>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</si>
  <si>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</si>
  <si>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</si>
  <si>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</si>
  <si>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</si>
  <si>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</si>
  <si>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</si>
  <si>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</si>
  <si>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</si>
  <si>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</si>
  <si>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</si>
  <si>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</si>
  <si>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</si>
  <si>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</si>
  <si>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</si>
  <si>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</si>
  <si>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</si>
  <si>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</si>
  <si>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</si>
  <si>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</si>
  <si>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</si>
  <si>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</si>
  <si>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</si>
  <si>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</si>
  <si>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</si>
  <si>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</si>
  <si>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</si>
  <si>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</si>
  <si>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</si>
  <si>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</si>
  <si>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</si>
  <si>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</si>
  <si>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</si>
  <si>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</si>
  <si>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</si>
  <si>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</si>
  <si>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</si>
  <si>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</si>
  <si>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</si>
  <si>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</si>
  <si>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</si>
  <si>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</si>
  <si>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</si>
  <si>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</si>
  <si>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</si>
  <si>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</si>
  <si>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</si>
  <si>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</si>
  <si>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</si>
  <si>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</si>
  <si>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</si>
  <si>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</si>
  <si>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</si>
  <si>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</si>
  <si>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</si>
  <si>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</si>
  <si>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</si>
  <si>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</si>
  <si>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</si>
  <si>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</si>
  <si>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</si>
  <si>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</si>
  <si>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</si>
  <si>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</si>
  <si>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</si>
  <si>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</si>
  <si>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</si>
  <si>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</si>
  <si>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</si>
  <si>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</si>
  <si>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</si>
  <si>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</si>
  <si>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</si>
  <si>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</si>
  <si>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</si>
  <si>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</si>
  <si>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</si>
  <si>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</si>
  <si>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</si>
  <si>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</si>
  <si>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</si>
  <si>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</si>
  <si>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</si>
  <si>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</si>
  <si>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</si>
  <si>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</si>
  <si>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</si>
  <si>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</si>
  <si>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</si>
  <si>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</si>
  <si>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</si>
  <si>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</si>
  <si>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</si>
  <si>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</si>
  <si>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</si>
  <si>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</si>
  <si>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</si>
  <si>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</si>
  <si>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</si>
  <si>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</si>
  <si>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</si>
  <si>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</si>
  <si>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</si>
  <si>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</si>
  <si>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</si>
  <si>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</si>
  <si>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</si>
  <si>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</si>
  <si>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</si>
  <si>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</si>
  <si>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</si>
  <si>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</si>
  <si>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</si>
  <si>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</si>
  <si>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</si>
  <si>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</si>
  <si>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</si>
  <si>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</si>
  <si>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</si>
  <si>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</si>
  <si>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</si>
  <si>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</si>
  <si>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</si>
  <si>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</si>
  <si>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</si>
  <si>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</si>
  <si>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</si>
  <si>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</si>
  <si>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</si>
  <si>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</si>
  <si>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</si>
  <si>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</si>
  <si>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</si>
  <si>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</si>
  <si>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</si>
  <si>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</si>
  <si>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</si>
  <si>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</si>
  <si>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</si>
  <si>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</si>
  <si>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</si>
  <si>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</si>
  <si>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</si>
  <si>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</si>
  <si>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</si>
  <si>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</si>
  <si>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</si>
  <si>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</si>
  <si>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</si>
  <si>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</si>
  <si>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</si>
  <si>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</si>
  <si>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</si>
  <si>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</si>
  <si>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</si>
  <si>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</si>
  <si>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</si>
  <si>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</si>
  <si>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</si>
  <si>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</si>
  <si>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</si>
  <si>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</si>
  <si>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</si>
  <si>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</si>
  <si>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</si>
  <si>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</si>
  <si>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</si>
  <si>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</si>
  <si>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</si>
  <si>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</si>
  <si>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</si>
  <si>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</si>
  <si>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</si>
  <si>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</si>
  <si>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</si>
  <si>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</si>
  <si>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</si>
  <si>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</si>
  <si>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</si>
  <si>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</si>
  <si>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</si>
  <si>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</si>
  <si>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</si>
  <si>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</si>
  <si>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</si>
  <si>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</si>
  <si>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</si>
  <si>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</si>
  <si>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</si>
  <si>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</si>
  <si>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</si>
  <si>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</si>
  <si>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</si>
  <si>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</si>
  <si>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</si>
  <si>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</si>
  <si>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</si>
  <si>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</si>
  <si>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</si>
  <si>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</si>
  <si>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</si>
  <si>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</si>
  <si>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</si>
  <si>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</si>
  <si>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</si>
  <si>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</si>
  <si>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</si>
  <si>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</si>
  <si>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</si>
  <si>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</si>
  <si>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</si>
  <si>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</si>
  <si>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</si>
  <si>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</si>
  <si>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</si>
  <si>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</si>
  <si>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</si>
  <si>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</si>
  <si>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</si>
  <si>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</si>
  <si>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</si>
  <si>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</si>
  <si>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</si>
  <si>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</si>
  <si>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</si>
  <si>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</si>
  <si>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</si>
  <si>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</si>
  <si>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</si>
  <si>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</si>
  <si>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</si>
  <si>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</si>
  <si>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</si>
  <si>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</si>
  <si>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</si>
  <si>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</si>
  <si>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</si>
  <si>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</si>
  <si>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</si>
  <si>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</si>
  <si>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</si>
  <si>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</si>
  <si>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</si>
  <si>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</si>
  <si>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</si>
  <si>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</si>
  <si>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</si>
  <si>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</si>
  <si>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</si>
  <si>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</si>
  <si>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</si>
  <si>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</si>
  <si>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</si>
  <si>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</si>
  <si>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</si>
  <si>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</si>
  <si>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</si>
  <si>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</si>
  <si>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</si>
  <si>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</si>
  <si>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</si>
  <si>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</si>
  <si>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</si>
  <si>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</si>
  <si>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</si>
  <si>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</si>
  <si>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</si>
  <si>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</si>
  <si>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</si>
  <si>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</si>
  <si>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</si>
  <si>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</si>
  <si>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</si>
  <si>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</si>
  <si>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</si>
  <si>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</si>
  <si>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</si>
  <si>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</si>
  <si>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</si>
  <si>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</si>
  <si>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</si>
  <si>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</si>
  <si>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</si>
  <si>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</si>
  <si>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</si>
  <si>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</si>
  <si>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</si>
  <si>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</si>
  <si>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</si>
  <si>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</si>
  <si>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</si>
  <si>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</si>
  <si>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</si>
  <si>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</si>
  <si>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</si>
  <si>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</si>
  <si>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</si>
  <si>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</si>
  <si>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</si>
  <si>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</si>
  <si>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</si>
  <si>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</si>
  <si>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</si>
  <si>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</si>
  <si>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</si>
  <si>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</si>
  <si>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</si>
  <si>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</si>
  <si>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</si>
  <si>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</si>
  <si>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</si>
  <si>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</si>
  <si>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</si>
  <si>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</si>
  <si>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</si>
  <si>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</si>
  <si>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</si>
  <si>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</si>
  <si>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</si>
  <si>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</si>
  <si>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</si>
  <si>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</si>
  <si>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</si>
  <si>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</si>
  <si>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</si>
  <si>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</si>
  <si>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</si>
  <si>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</si>
  <si>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</si>
  <si>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</si>
  <si>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</si>
  <si>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</si>
  <si>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</si>
  <si>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</si>
  <si>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</si>
  <si>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</si>
  <si>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</si>
  <si>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</si>
  <si>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</si>
  <si>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</si>
  <si>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</si>
  <si>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</si>
  <si>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</si>
  <si>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</si>
  <si>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</si>
  <si>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</si>
  <si>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</si>
  <si>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</si>
  <si>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</si>
  <si>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</si>
  <si>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</si>
  <si>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</si>
  <si>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</si>
  <si>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</si>
  <si>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</si>
  <si>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</si>
  <si>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</si>
  <si>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</si>
  <si>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</si>
  <si>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</si>
  <si>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</si>
  <si>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</si>
  <si>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</si>
  <si>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</si>
  <si>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</si>
  <si>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</si>
  <si>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</si>
  <si>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</si>
  <si>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</si>
  <si>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</si>
  <si>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</si>
  <si>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</si>
  <si>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</si>
  <si>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</si>
  <si>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</si>
  <si>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</si>
  <si>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</si>
  <si>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</si>
  <si>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</si>
  <si>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</si>
  <si>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</si>
  <si>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</si>
  <si>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</si>
  <si>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</si>
  <si>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</si>
  <si>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</si>
  <si>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</si>
  <si>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</si>
  <si>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</si>
  <si>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</si>
  <si>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</si>
  <si>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</si>
  <si>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</si>
  <si>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</si>
  <si>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</si>
  <si>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</si>
  <si>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</si>
  <si>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</si>
  <si>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</si>
  <si>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</si>
  <si>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</si>
  <si>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</si>
  <si>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</si>
  <si>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</si>
  <si>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</si>
  <si>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</si>
  <si>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</si>
  <si>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</si>
  <si>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</si>
  <si>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</si>
  <si>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</si>
  <si>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</si>
  <si>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</si>
  <si>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</si>
  <si>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</si>
  <si>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</si>
  <si>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</si>
  <si>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</si>
  <si>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</si>
  <si>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</si>
  <si>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</si>
  <si>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</si>
  <si>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</si>
  <si>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</si>
  <si>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</si>
  <si>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</si>
  <si>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</si>
  <si>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</si>
  <si>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</si>
  <si>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</si>
  <si>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</si>
  <si>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</si>
  <si>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</si>
  <si>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</si>
  <si>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</si>
  <si>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</si>
  <si>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</si>
  <si>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</si>
  <si>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</si>
  <si>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</si>
  <si>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</si>
  <si>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</si>
  <si>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</si>
  <si>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</si>
  <si>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</si>
  <si>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</si>
  <si>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</si>
  <si>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</si>
  <si>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</si>
  <si>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</si>
  <si>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</si>
  <si>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</si>
  <si>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</si>
  <si>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</si>
  <si>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</si>
  <si>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</si>
  <si>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</si>
  <si>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</si>
  <si>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</si>
  <si>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</si>
  <si>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</si>
  <si>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</si>
  <si>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</si>
  <si>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</si>
  <si>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</si>
  <si>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</si>
  <si>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</si>
  <si>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</si>
  <si>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</si>
  <si>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</si>
  <si>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</si>
  <si>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</si>
  <si>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</si>
  <si>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</si>
  <si>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</si>
  <si>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</si>
  <si>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</si>
  <si>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</si>
  <si>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</si>
  <si>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</si>
  <si>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</si>
  <si>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</si>
  <si>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</si>
  <si>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</si>
  <si>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</si>
  <si>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</si>
  <si>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</si>
  <si>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</si>
  <si>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</si>
  <si>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</si>
  <si>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</si>
  <si>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</si>
  <si>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</si>
  <si>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</si>
  <si>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</si>
  <si>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</si>
  <si>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</si>
  <si>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</si>
  <si>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</si>
  <si>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</si>
  <si>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</si>
  <si>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</si>
  <si>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</si>
  <si>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</si>
  <si>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</si>
  <si>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</si>
  <si>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</si>
  <si>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</si>
  <si>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</si>
  <si>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</si>
  <si>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</si>
  <si>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</si>
  <si>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</si>
  <si>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</si>
  <si>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</si>
  <si>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</si>
  <si>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</si>
  <si>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</si>
  <si>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</si>
  <si>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</si>
  <si>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</si>
  <si>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</si>
  <si>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</si>
  <si>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</si>
  <si>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</si>
  <si>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</si>
  <si>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</si>
  <si>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</si>
  <si>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</si>
  <si>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</si>
  <si>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</si>
  <si>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</si>
  <si>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</si>
  <si>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</si>
  <si>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</si>
  <si>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</si>
  <si>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</si>
  <si>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</si>
  <si>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</si>
  <si>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</si>
  <si>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</si>
  <si>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</si>
  <si>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</si>
  <si>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</si>
  <si>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</si>
  <si>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</si>
  <si>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</si>
  <si>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</si>
  <si>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</si>
  <si>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</si>
  <si>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</si>
  <si>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</si>
  <si>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</si>
  <si>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</si>
  <si>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</si>
  <si>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</si>
  <si>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</si>
  <si>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</si>
  <si>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</si>
  <si>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</si>
  <si>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</si>
  <si>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</si>
  <si>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</si>
  <si>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</si>
  <si>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</si>
  <si>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</si>
  <si>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</si>
  <si>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</si>
  <si>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</si>
  <si>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</si>
  <si>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</si>
  <si>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</si>
  <si>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</si>
  <si>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</si>
  <si>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</si>
  <si>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</si>
  <si>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</si>
  <si>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</si>
  <si>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</si>
  <si>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</si>
  <si>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</si>
  <si>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</si>
  <si>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</si>
  <si>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</si>
  <si>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</si>
  <si>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</si>
  <si>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</si>
  <si>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</si>
  <si>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</si>
  <si>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</si>
  <si>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</si>
  <si>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</si>
  <si>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</si>
  <si>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</si>
  <si>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</si>
  <si>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</si>
  <si>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</si>
  <si>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</si>
  <si>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</si>
  <si>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</si>
  <si>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</si>
  <si>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</si>
  <si>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</si>
  <si>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</si>
  <si>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</si>
  <si>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</si>
  <si>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</si>
  <si>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</si>
  <si>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</si>
  <si>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</si>
  <si>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</si>
  <si>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</si>
  <si>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</si>
  <si>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</si>
  <si>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</si>
  <si>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</si>
  <si>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</si>
  <si>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</si>
  <si>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</si>
  <si>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</si>
  <si>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</si>
  <si>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</si>
  <si>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</si>
  <si>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</si>
  <si>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</si>
  <si>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</si>
  <si>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</si>
  <si>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</si>
  <si>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</si>
  <si>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</si>
  <si>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</si>
  <si>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</si>
  <si>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</si>
  <si>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</si>
  <si>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</si>
  <si>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</si>
  <si>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</si>
  <si>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</si>
  <si>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</si>
  <si>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</si>
  <si>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</si>
  <si>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</si>
  <si>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</si>
  <si>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</si>
  <si>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</si>
  <si>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</si>
  <si>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</si>
  <si>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</si>
  <si>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</si>
  <si>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</si>
  <si>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</si>
  <si>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</si>
  <si>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</si>
  <si>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</si>
  <si>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</si>
  <si>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</si>
  <si>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</si>
  <si>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</si>
  <si>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</si>
  <si>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</si>
  <si>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</si>
  <si>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</si>
  <si>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</si>
  <si>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</si>
  <si>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</si>
  <si>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</si>
  <si>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</si>
  <si>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</si>
  <si>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</si>
  <si>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</si>
  <si>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</si>
  <si>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</si>
  <si>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</si>
  <si>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</si>
  <si>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</si>
  <si>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</si>
  <si>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</si>
  <si>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</si>
  <si>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</si>
  <si>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</si>
  <si>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</si>
  <si>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</si>
  <si>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</si>
  <si>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</si>
  <si>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</si>
  <si>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</si>
  <si>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</si>
  <si>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</si>
  <si>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</si>
  <si>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</si>
  <si>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</si>
  <si>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</si>
  <si>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</si>
  <si>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</si>
  <si>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</si>
  <si>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</si>
  <si>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</si>
  <si>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</si>
  <si>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</si>
  <si>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</si>
  <si>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</si>
  <si>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</si>
  <si>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</si>
  <si>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</si>
  <si>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</si>
  <si>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</si>
  <si>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</si>
  <si>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</si>
  <si>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</si>
  <si>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</si>
  <si>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</si>
  <si>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</si>
  <si>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</si>
  <si>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</si>
  <si>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</si>
  <si>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</si>
  <si>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</si>
  <si>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</si>
  <si>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</si>
  <si>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</si>
  <si>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</si>
  <si>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</si>
  <si>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</si>
  <si>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</si>
  <si>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</si>
  <si>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</si>
  <si>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</si>
  <si>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</si>
  <si>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</si>
  <si>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</si>
  <si>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</si>
  <si>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</si>
  <si>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</si>
  <si>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</si>
  <si>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</si>
  <si>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</si>
  <si>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</si>
  <si>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</si>
  <si>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</si>
  <si>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</si>
  <si>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</si>
  <si>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</si>
  <si>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</si>
  <si>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</si>
  <si>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</si>
  <si>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</si>
  <si>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</si>
  <si>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</si>
  <si>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</si>
  <si>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</si>
  <si>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</si>
  <si>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</si>
  <si>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</si>
  <si>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</si>
  <si>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</si>
  <si>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</si>
  <si>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</si>
  <si>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</si>
  <si>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</si>
  <si>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</si>
  <si>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</si>
  <si>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</si>
  <si>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</si>
  <si>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</si>
  <si>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</si>
  <si>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</si>
  <si>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</si>
  <si>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</si>
  <si>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</si>
  <si>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</si>
  <si>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</si>
  <si>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</si>
  <si>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</si>
  <si>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</si>
  <si>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</si>
  <si>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</si>
  <si>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</si>
  <si>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</si>
  <si>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</si>
  <si>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</si>
  <si>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</si>
  <si>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</si>
  <si>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</si>
  <si>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</si>
  <si>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</si>
  <si>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</si>
  <si>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</si>
  <si>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</si>
  <si>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</si>
  <si>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</si>
  <si>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</si>
  <si>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</si>
  <si>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</si>
  <si>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</si>
  <si>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</si>
  <si>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</si>
  <si>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</si>
  <si>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</si>
  <si>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</si>
  <si>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</si>
  <si>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</si>
  <si>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</si>
  <si>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</si>
  <si>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</si>
  <si>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</si>
  <si>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</si>
  <si>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</si>
  <si>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</si>
  <si>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</si>
  <si>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</si>
  <si>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</si>
  <si>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</si>
  <si>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</si>
  <si>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</si>
  <si>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</si>
  <si>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</si>
  <si>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</si>
  <si>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</si>
  <si>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</si>
  <si>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</si>
  <si>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</si>
  <si>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</si>
  <si>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</si>
  <si>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</si>
  <si>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</si>
  <si>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</si>
  <si>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</si>
  <si>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</si>
  <si>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</si>
  <si>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</si>
  <si>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</si>
  <si>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</si>
  <si>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</si>
  <si>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</si>
  <si>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</si>
  <si>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</si>
  <si>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</si>
  <si>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</si>
  <si>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</si>
  <si>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</si>
  <si>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</si>
  <si>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</si>
  <si>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</si>
  <si>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</si>
  <si>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</si>
  <si>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</si>
  <si>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</si>
  <si>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</si>
  <si>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</si>
  <si>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</si>
  <si>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</si>
  <si>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</si>
  <si>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</si>
  <si>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</si>
  <si>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</si>
  <si>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</si>
  <si>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</si>
  <si>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</si>
  <si>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</si>
  <si>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</si>
  <si>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</si>
  <si>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</si>
  <si>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</si>
  <si>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</si>
  <si>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</si>
  <si>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</si>
  <si>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</si>
  <si>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</si>
  <si>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</si>
  <si>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</si>
  <si>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</si>
  <si>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</si>
  <si>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</si>
  <si>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</si>
  <si>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</si>
  <si>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</si>
  <si>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</si>
  <si>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</si>
  <si>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</si>
  <si>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</si>
  <si>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</si>
  <si>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</si>
  <si>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</si>
  <si>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</si>
  <si>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</si>
  <si>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</si>
  <si>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</si>
  <si>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</si>
  <si>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</si>
  <si>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</si>
  <si>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</si>
  <si>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</si>
  <si>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</si>
  <si>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</si>
  <si>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</si>
  <si>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</si>
  <si>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</si>
  <si>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</si>
  <si>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</si>
  <si>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</si>
  <si>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</si>
  <si>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</si>
  <si>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</si>
  <si>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</si>
  <si>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</si>
  <si>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</si>
  <si>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</si>
  <si>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</si>
  <si>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</si>
  <si>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</si>
  <si>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</si>
  <si>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</si>
  <si>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</si>
  <si>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</si>
  <si>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</si>
  <si>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</si>
  <si>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</si>
  <si>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</si>
  <si>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</si>
  <si>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</si>
  <si>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</si>
  <si>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</si>
  <si>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</si>
  <si>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</si>
  <si>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</si>
  <si>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</si>
  <si>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</si>
  <si>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</si>
  <si>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</si>
  <si>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</si>
  <si>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</si>
  <si>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</si>
  <si>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</si>
  <si>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</si>
  <si>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</si>
  <si>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</si>
  <si>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</si>
  <si>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</si>
  <si>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</si>
  <si>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</si>
  <si>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</si>
  <si>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</si>
  <si>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</si>
  <si>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</si>
  <si>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</si>
  <si>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</si>
  <si>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</si>
  <si>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</si>
  <si>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</si>
  <si>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</si>
  <si>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</si>
  <si>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</si>
  <si>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</si>
  <si>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</si>
  <si>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</si>
  <si>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</si>
  <si>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</si>
  <si>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</si>
  <si>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</si>
  <si>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</si>
  <si>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</si>
  <si>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</si>
  <si>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</si>
  <si>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</si>
  <si>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</si>
  <si>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</si>
  <si>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</si>
  <si>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</si>
  <si>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</si>
  <si>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</si>
  <si>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</si>
  <si>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</si>
  <si>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</si>
  <si>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</si>
  <si>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</si>
  <si>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</si>
  <si>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</si>
  <si>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</si>
  <si>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</si>
  <si>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</si>
  <si>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</si>
  <si>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</si>
  <si>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</si>
  <si>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</si>
  <si>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</si>
  <si>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</si>
  <si>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</si>
  <si>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</si>
  <si>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</si>
  <si>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</si>
  <si>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</si>
  <si>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</si>
  <si>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</si>
  <si>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</si>
  <si>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</si>
  <si>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</si>
  <si>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</si>
  <si>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</si>
  <si>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</si>
  <si>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</si>
  <si>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</si>
  <si>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</si>
  <si>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</si>
  <si>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</si>
  <si>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</si>
  <si>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</si>
  <si>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</si>
  <si>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</si>
  <si>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</si>
  <si>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</si>
  <si>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</si>
  <si>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</si>
  <si>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</si>
  <si>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</si>
  <si>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</si>
  <si>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</si>
  <si>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</si>
  <si>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</si>
  <si>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</si>
  <si>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</si>
  <si>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</si>
  <si>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</si>
  <si>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</si>
  <si>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</si>
  <si>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</si>
  <si>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</si>
  <si>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</si>
  <si>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</si>
  <si>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</si>
  <si>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</si>
  <si>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</si>
  <si>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</si>
  <si>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</si>
  <si>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</si>
  <si>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</si>
  <si>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</si>
  <si>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</si>
  <si>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</si>
  <si>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</si>
  <si>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</si>
  <si>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</si>
  <si>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</si>
  <si>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</si>
  <si>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</si>
  <si>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</si>
  <si>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</si>
  <si>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</si>
  <si>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</si>
  <si>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</si>
  <si>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</si>
  <si>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</si>
  <si>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</si>
  <si>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</si>
  <si>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</si>
  <si>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</si>
  <si>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</si>
  <si>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</si>
  <si>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</si>
  <si>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</si>
  <si>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</si>
  <si>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</si>
  <si>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</si>
  <si>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</si>
  <si>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</si>
  <si>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</si>
  <si>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</si>
  <si>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</si>
  <si>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</si>
  <si>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</si>
  <si>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</si>
  <si>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</si>
  <si>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</si>
  <si>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</si>
  <si>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</si>
  <si>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</si>
  <si>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</si>
  <si>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</si>
  <si>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</si>
  <si>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</si>
  <si>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</si>
  <si>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</si>
  <si>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</si>
  <si>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</si>
  <si>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</si>
  <si>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</si>
  <si>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</si>
  <si>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</si>
  <si>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</si>
  <si>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</si>
  <si>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</si>
  <si>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</si>
  <si>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</si>
  <si>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</si>
  <si>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</si>
  <si>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</si>
  <si>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</si>
  <si>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</si>
  <si>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</si>
  <si>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</si>
  <si>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</si>
  <si>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</si>
  <si>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</si>
  <si>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</si>
  <si>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</si>
  <si>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</si>
  <si>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</si>
  <si>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</si>
  <si>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</si>
  <si>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</si>
  <si>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</si>
  <si>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</si>
  <si>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</si>
  <si>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</si>
  <si>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</si>
  <si>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</si>
  <si>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</si>
  <si>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</si>
  <si>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</si>
  <si>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</si>
  <si>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</si>
  <si>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</si>
  <si>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</si>
  <si>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</si>
  <si>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</si>
  <si>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</si>
  <si>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</si>
  <si>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</si>
  <si>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</si>
  <si>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</si>
  <si>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</si>
  <si>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</si>
  <si>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</si>
  <si>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</si>
  <si>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</si>
  <si>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</si>
  <si>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</si>
  <si>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</si>
  <si>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</si>
  <si>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</si>
  <si>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</si>
  <si>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</si>
  <si>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</si>
  <si>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</si>
  <si>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</si>
  <si>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</si>
  <si>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</si>
  <si>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</si>
  <si>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</si>
  <si>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</si>
  <si>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</si>
  <si>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</si>
  <si>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</si>
  <si>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</si>
  <si>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</si>
  <si>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</si>
  <si>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</si>
  <si>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</si>
  <si>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</si>
  <si>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</si>
  <si>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</si>
  <si>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</si>
  <si>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</si>
  <si>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</si>
  <si>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</si>
  <si>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</si>
  <si>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</si>
  <si>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</si>
  <si>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</si>
  <si>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</si>
  <si>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</si>
  <si>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</si>
  <si>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</si>
  <si>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</si>
  <si>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</si>
  <si>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</si>
  <si>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</si>
  <si>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</si>
  <si>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</si>
  <si>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</si>
  <si>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</si>
  <si>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</si>
  <si>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</si>
  <si>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</si>
  <si>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</si>
  <si>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</si>
  <si>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</si>
  <si>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</si>
  <si>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</si>
  <si>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</si>
  <si>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</si>
  <si>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</si>
  <si>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</si>
  <si>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</si>
  <si>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</si>
  <si>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</si>
  <si>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</si>
  <si>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</si>
  <si>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</si>
  <si>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</si>
  <si>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</si>
  <si>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</si>
  <si>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</si>
  <si>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</si>
  <si>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</si>
  <si>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</si>
  <si>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</si>
  <si>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</si>
  <si>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</si>
  <si>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</si>
  <si>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</si>
  <si>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</si>
  <si>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</si>
  <si>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</si>
  <si>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</si>
  <si>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</si>
  <si>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</si>
  <si>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</si>
  <si>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</si>
  <si>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</si>
  <si>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</si>
  <si>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</si>
  <si>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</si>
  <si>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</si>
  <si>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</si>
  <si>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</si>
  <si>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</si>
  <si>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</si>
  <si>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</si>
  <si>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</si>
  <si>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</si>
  <si>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</si>
  <si>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</si>
  <si>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</si>
  <si>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</si>
  <si>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</si>
  <si>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</si>
  <si>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</si>
  <si>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</si>
  <si>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</si>
  <si>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</si>
  <si>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</si>
  <si>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</si>
  <si>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</si>
  <si>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</si>
  <si>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</si>
  <si>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</si>
  <si>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</si>
  <si>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</si>
  <si>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</si>
  <si>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</si>
  <si>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</si>
  <si>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</si>
  <si>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</si>
  <si>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</si>
  <si>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</si>
  <si>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</si>
  <si>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</si>
  <si>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</si>
  <si>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</si>
  <si>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</si>
  <si>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</si>
  <si>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</si>
  <si>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</si>
  <si>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</si>
  <si>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</si>
  <si>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</si>
  <si>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</si>
  <si>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</si>
  <si>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</si>
  <si>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</si>
  <si>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</si>
  <si>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</si>
  <si>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</si>
  <si>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</si>
  <si>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</si>
  <si>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</si>
  <si>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</si>
  <si>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</si>
  <si>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</si>
  <si>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</si>
  <si>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</si>
  <si>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</si>
  <si>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</si>
  <si>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</si>
  <si>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</si>
  <si>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</si>
  <si>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</si>
  <si>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</si>
  <si>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</si>
  <si>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</si>
  <si>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</si>
  <si>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</si>
  <si>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</si>
  <si>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</si>
  <si>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</si>
  <si>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</si>
  <si>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</si>
  <si>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</si>
  <si>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</si>
  <si>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</si>
  <si>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</si>
  <si>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</si>
  <si>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</si>
  <si>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</si>
  <si>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</si>
  <si>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</si>
  <si>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</si>
  <si>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</si>
  <si>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</si>
  <si>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</si>
  <si>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</si>
  <si>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</si>
  <si>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</si>
  <si>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</si>
  <si>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</si>
  <si>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</si>
  <si>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</si>
  <si>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</si>
  <si>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</si>
  <si>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</si>
  <si>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</si>
  <si>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</si>
  <si>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</si>
  <si>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</si>
  <si>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</si>
  <si>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</si>
  <si>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</si>
  <si>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</si>
  <si>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</si>
  <si>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</si>
  <si>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</si>
  <si>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</si>
  <si>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</si>
  <si>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</si>
  <si>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</si>
  <si>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</si>
  <si>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</si>
  <si>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</si>
  <si>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</si>
  <si>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</si>
  <si>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</si>
  <si>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</si>
  <si>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</si>
  <si>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</si>
  <si>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</si>
  <si>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</si>
  <si>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</si>
  <si>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</si>
  <si>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</si>
  <si>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</si>
  <si>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</si>
  <si>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</si>
  <si>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</si>
  <si>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</si>
  <si>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</si>
  <si>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</si>
  <si>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</si>
  <si>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</si>
  <si>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</si>
  <si>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</si>
  <si>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</si>
  <si>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</si>
  <si>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</si>
  <si>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</si>
  <si>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</si>
  <si>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</si>
  <si>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</si>
  <si>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</si>
  <si>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</si>
  <si>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</si>
  <si>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</si>
  <si>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</si>
  <si>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</si>
  <si>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</si>
  <si>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</si>
  <si>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</si>
  <si>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</si>
  <si>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</si>
  <si>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</si>
  <si>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</si>
  <si>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</si>
  <si>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</si>
  <si>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</si>
  <si>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</si>
  <si>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</si>
  <si>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</si>
  <si>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</si>
  <si>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</si>
  <si>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</si>
  <si>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</si>
  <si>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</si>
  <si>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</si>
  <si>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</si>
  <si>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</si>
  <si>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</si>
  <si>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</si>
  <si>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</si>
  <si>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</si>
  <si>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</si>
  <si>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</si>
  <si>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</si>
  <si>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</si>
  <si>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</si>
  <si>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</si>
  <si>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</si>
  <si>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</si>
  <si>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</si>
  <si>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</si>
  <si>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</si>
  <si>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</si>
  <si>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</si>
  <si>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</si>
  <si>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</si>
  <si>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</si>
  <si>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</si>
  <si>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</si>
  <si>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</si>
  <si>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</si>
  <si>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</si>
  <si>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</si>
  <si>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</si>
  <si>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</si>
  <si>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</si>
  <si>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</si>
  <si>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</si>
  <si>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</si>
  <si>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</si>
  <si>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</si>
  <si>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</si>
  <si>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</si>
  <si>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</si>
  <si>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</si>
  <si>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</si>
  <si>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</si>
  <si>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</si>
  <si>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</si>
  <si>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</si>
  <si>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</si>
  <si>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</si>
  <si>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Fulton,Knox, Peoria</t>
  </si>
  <si>
    <t>212 N. Lightfoot</t>
  </si>
  <si>
    <t>Farmington</t>
  </si>
  <si>
    <t>zchatterton@dist265.com</t>
  </si>
  <si>
    <t>Jason A. Hohulin, CPA</t>
  </si>
  <si>
    <t>jhohulin@gorenzcpa.com</t>
  </si>
  <si>
    <t>Dr. Zachary Chatterton</t>
  </si>
  <si>
    <t>309-245-1000</t>
  </si>
  <si>
    <t>309-245-9161</t>
  </si>
  <si>
    <t>Site and Construction Bonds</t>
  </si>
  <si>
    <t>Refunding Bonds - 2012 Issue</t>
  </si>
  <si>
    <t>Working Cash Bonds - 2014 Issue</t>
  </si>
  <si>
    <t>PERFECT</t>
  </si>
  <si>
    <t>Special Education Association of Peoria County</t>
  </si>
  <si>
    <t>Vanguard, MidAmerican Energy Services, LLC</t>
  </si>
  <si>
    <t>TR-Pupil Transportation Services-Purchased Services</t>
  </si>
  <si>
    <t>40-2550-300</t>
  </si>
  <si>
    <t>Illinois Central School Bus</t>
  </si>
  <si>
    <t>There were no findings in the prior year ending June 30, 2018.</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</si>
  <si>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</si>
  <si>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</si>
  <si>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</si>
  <si>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</si>
  <si>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</si>
  <si>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</si>
  <si>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</si>
  <si>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</si>
  <si>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</si>
  <si>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 xml:space="preserve">Segregation of duties among accounting personnel is an integral part of an internal control structure. </t>
  </si>
  <si>
    <t xml:space="preserve">A limited number of individuals have the primary responsibility for performing most of the accounting and financial duties including key functions of reconciling and reporting cash transactions. This structure reduces certain aspects of the internal control system which rely on adequate segregation of duties. </t>
  </si>
  <si>
    <t xml:space="preserve">Most District accounting and financial records are maintained by a limited number of individuals. </t>
  </si>
  <si>
    <t xml:space="preserve">Inadequate segregation of duties increases the risk of misstatements in the financial statements. </t>
  </si>
  <si>
    <t xml:space="preserve">A limited number of individuals have the ability to complete and record accounting functions which ideally would be segregated. </t>
  </si>
  <si>
    <t xml:space="preserve">The Board of Directors should perform an assessment of internal controls, at least annually. </t>
  </si>
  <si>
    <t xml:space="preserve">The Board of Directors' most recent assessment has determined that the current integral control system is acceptable. The internal control system will continue to be monitored. </t>
  </si>
  <si>
    <t>x</t>
  </si>
  <si>
    <t xml:space="preserve">In accordance with prescribed definitions in AU-C 265, it is a strong indication of a material weakness in internal control in an entity lack sufficient controls over a significant account or process. The District had not reconciled the accounting records to supporting documents. </t>
  </si>
  <si>
    <t xml:space="preserve">The District's bank account was not reconciled to the accounting records. </t>
  </si>
  <si>
    <t xml:space="preserve">A limited number of individuals have the primary responsibility for performing most of the accounting and financial duties including key functions of recording and reporting cash transactions. This structure reduces certain aspects of the internal control system which rely on adequate segregation of duties. </t>
  </si>
  <si>
    <t xml:space="preserve">The District will continue to monitor their internal control system. Management oversight and other mitigating controls have lowered risks associated with inadequate segregation of duties. Assessment of internal controls will be performed annually. </t>
  </si>
  <si>
    <t xml:space="preserve">The Board of Education has determined that the current internal control system is </t>
  </si>
  <si>
    <t xml:space="preserve">acceptable, providing a tolerable amount of risk. </t>
  </si>
  <si>
    <t>Zachary Chatterton, Superintendent</t>
  </si>
  <si>
    <t xml:space="preserve">cash to the monthly bank statements on a timely basis. </t>
  </si>
  <si>
    <t>The District will review the procedures for reconciling the accounting records for</t>
  </si>
  <si>
    <t xml:space="preserve">The District relies on the Treasurer to perform the bank reconciliation. The Treasurer reconciles to a running balance that does not agree with the District accounting records. The reconciliations are not always provided to the District on a timely basis. </t>
  </si>
  <si>
    <t xml:space="preserve">There is an increased risk that cash is misstated in the financial statements. </t>
  </si>
  <si>
    <t xml:space="preserve">The District does not internally reconcile accounting records to the bank statements. </t>
  </si>
  <si>
    <t xml:space="preserve">The District should reconcile their accounting records to the bank statements on a monthly basis. This reconciliation should be prepared timely and available for approval each month. The District should not place reliance on the Treasurer to complete the reconciliation. The Treasurer's Report should be an independent verification. </t>
  </si>
  <si>
    <t xml:space="preserve">The District will review the procedures for reconciling the accounting records and will take the Auditor's recommendations under consideration. </t>
  </si>
  <si>
    <t xml:space="preserve">The accounting records should reflect all of the financial assets of the District. </t>
  </si>
  <si>
    <t xml:space="preserve">A bank account was not recorded in the books. </t>
  </si>
  <si>
    <t xml:space="preserve">The District deposited the proceeds from the premium on the 2019 bond issue into a separate bank account within the Debt Services Fund. The account was intended to be used to pay for future bond interest payments. That bank account was never recorded on the books of the District. </t>
  </si>
  <si>
    <t xml:space="preserve">The activity on the account was not being tracked, which resulted in a bond payment being made twice. </t>
  </si>
  <si>
    <t xml:space="preserve">The District was unaware of the requirements to record the trust account. </t>
  </si>
  <si>
    <t xml:space="preserve">It is recommended that the District record the trust account in the Debt Services Fund, as well as the activity in the account. This account should also be added to bank reconciliations that should be performed by the District monthly. </t>
  </si>
  <si>
    <t xml:space="preserve">The District will take steps to ensure that the account is reflected in the accounting records and reconciled on a regular basis. </t>
  </si>
  <si>
    <t xml:space="preserve">A review of the procedures for reconciling the accounting records for cash to the monthly bank statements will be conducted. Existing procedures will be updated, or new procedures will potentially be added. </t>
  </si>
  <si>
    <t xml:space="preserve">The bank account and corresponding activity will need to be recorded in the Debt Services Fund. </t>
  </si>
  <si>
    <t>Management will take steps to ensure that the bank account is recorded</t>
  </si>
  <si>
    <t xml:space="preserve">in the books and is tracked going forward. </t>
  </si>
  <si>
    <t>Part C, Number 20 - See Findings 2019-001, 2019-002, and 2019-003.</t>
  </si>
  <si>
    <t>G.O Bonds - 2019</t>
  </si>
  <si>
    <t>Page 10, Line 72 - Diabetic supplies, YMCA, Latchkey</t>
  </si>
  <si>
    <t xml:space="preserve">Page 11, Line 107 - </t>
  </si>
  <si>
    <t>Education - Parking Fees-$445 and Reimbursements-$19,935</t>
  </si>
  <si>
    <t>Operations and Maintenance - E-Rate Reimbursement</t>
  </si>
  <si>
    <t>Transportation - Reimbursements</t>
  </si>
  <si>
    <t>Page 12, Line 168 - PSAT-$1,296 and Library Grant-$959</t>
  </si>
  <si>
    <t>Page 13, Line 220 - PERFECT Subs</t>
  </si>
  <si>
    <t>Page 18, Line 171 - Bank Fees</t>
  </si>
  <si>
    <t>GORENZ AND ASSOCIATES, LTD.</t>
  </si>
  <si>
    <t xml:space="preserve">Page 10, Line 74 - Customer agreement rebate, Boosters, Diabetic Snacks, Staff breakfast/turkey meal. Snacks       </t>
  </si>
  <si>
    <t xml:space="preserve">Page 24, Line 34 - Net issuance costs of G.O. Bond       </t>
  </si>
  <si>
    <t>see PDF version</t>
  </si>
  <si>
    <t>Farmington Central CUSD 265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</si>
</sst>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450273</xdr:colOff>
          <xdr:row>3</xdr:row>
          <xdr:rowOff>1</xdr:rowOff>
        </xdr:from>
        <xdr:to>
          <xdr:col>1</xdr:col>
          <xdr:colOff>1364673</xdr:colOff>
          <xdr:row>7</xdr:row>
          <xdr:rowOff>38101</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1575955</xdr:colOff>
          <xdr:row>3</xdr:row>
          <xdr:rowOff>25978</xdr:rowOff>
        </xdr:from>
        <xdr:to>
          <xdr:col>1</xdr:col>
          <xdr:colOff>2486891</xdr:colOff>
          <xdr:row>7</xdr:row>
          <xdr:rowOff>64078</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384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052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384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052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384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052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3" t="s">
        <v>405</v>
      </c>
      <c r="J1" s="2004"/>
      <c r="K1" s="2004"/>
      <c r="L1" s="2004"/>
      <c r="M1" s="2004"/>
      <c r="N1" s="2004"/>
      <c r="O1" s="2004"/>
      <c r="P1" s="2004"/>
      <c r="Q1" s="2004"/>
      <c r="R1" s="2004"/>
      <c r="S1" s="2004"/>
    </row>
    <row r="2" spans="1:28" ht="12" customHeight="1" x14ac:dyDescent="0.2">
      <c r="A2" s="47" t="s">
        <v>1993</v>
      </c>
      <c r="D2" s="48"/>
      <c r="I2" s="2005" t="s">
        <v>979</v>
      </c>
      <c r="J2" s="2004"/>
      <c r="K2" s="2004"/>
      <c r="L2" s="2004"/>
      <c r="M2" s="2004"/>
      <c r="N2" s="2004"/>
      <c r="O2" s="2004"/>
      <c r="P2" s="2004"/>
      <c r="Q2" s="2004"/>
      <c r="R2" s="2004"/>
      <c r="S2" s="2004"/>
    </row>
    <row r="3" spans="1:28" ht="12" customHeight="1" x14ac:dyDescent="0.2">
      <c r="A3" s="155" t="s">
        <v>1945</v>
      </c>
      <c r="B3" s="156"/>
      <c r="C3" s="156"/>
      <c r="D3" s="157"/>
      <c r="I3" s="2005" t="s">
        <v>52</v>
      </c>
      <c r="J3" s="2004"/>
      <c r="K3" s="2004"/>
      <c r="L3" s="2004"/>
      <c r="M3" s="2004"/>
      <c r="N3" s="2004"/>
      <c r="O3" s="2004"/>
      <c r="P3" s="2004"/>
      <c r="Q3" s="2004"/>
      <c r="R3" s="2004"/>
      <c r="S3" s="2004"/>
    </row>
    <row r="4" spans="1:28" ht="12" customHeight="1" x14ac:dyDescent="0.2">
      <c r="A4" s="37"/>
      <c r="I4" s="2005" t="s">
        <v>524</v>
      </c>
      <c r="J4" s="2004"/>
      <c r="K4" s="2004"/>
      <c r="L4" s="2004"/>
      <c r="M4" s="2004"/>
      <c r="N4" s="2004"/>
      <c r="O4" s="2004"/>
      <c r="P4" s="2004"/>
      <c r="Q4" s="2004"/>
      <c r="R4" s="2004"/>
      <c r="S4" s="2004"/>
    </row>
    <row r="5" spans="1:28" ht="14.1" customHeight="1" x14ac:dyDescent="0.2">
      <c r="B5" s="104" t="s">
        <v>2070</v>
      </c>
      <c r="C5" s="26" t="s">
        <v>910</v>
      </c>
      <c r="D5" s="84"/>
      <c r="E5" s="84"/>
      <c r="H5" s="38"/>
      <c r="I5" s="2013" t="s">
        <v>680</v>
      </c>
      <c r="J5" s="2012"/>
      <c r="K5" s="2012"/>
      <c r="L5" s="2012"/>
      <c r="M5" s="2012"/>
      <c r="N5" s="2012"/>
      <c r="O5" s="2012"/>
      <c r="P5" s="2012"/>
      <c r="Q5" s="2012"/>
      <c r="R5" s="2012"/>
      <c r="S5" s="2012"/>
    </row>
    <row r="6" spans="1:28" ht="14.1" customHeight="1" x14ac:dyDescent="0.2">
      <c r="B6" s="104"/>
      <c r="C6" s="26" t="s">
        <v>911</v>
      </c>
      <c r="D6" s="84"/>
      <c r="E6" s="84"/>
      <c r="I6" s="2011" t="s">
        <v>883</v>
      </c>
      <c r="J6" s="2012"/>
      <c r="K6" s="2012"/>
      <c r="L6" s="2012"/>
      <c r="M6" s="2012"/>
      <c r="N6" s="2012"/>
      <c r="O6" s="2012"/>
      <c r="P6" s="2012"/>
      <c r="Q6" s="2012"/>
      <c r="R6" s="2012"/>
      <c r="S6" s="2012"/>
    </row>
    <row r="7" spans="1:28" ht="12.2" customHeight="1" x14ac:dyDescent="0.2">
      <c r="I7" s="2006">
        <v>43646</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674</v>
      </c>
      <c r="J9" s="2009"/>
      <c r="K9" s="2009"/>
      <c r="L9" s="2009"/>
      <c r="M9" s="2009"/>
      <c r="N9" s="2009"/>
      <c r="O9" s="2009"/>
      <c r="P9" s="2009"/>
      <c r="Q9" s="2009"/>
      <c r="R9" s="2009"/>
      <c r="S9" s="2010"/>
      <c r="T9" s="2024" t="s">
        <v>533</v>
      </c>
      <c r="U9" s="2025"/>
      <c r="V9" s="2025"/>
      <c r="W9" s="2025"/>
      <c r="X9" s="2025"/>
      <c r="Y9" s="2025"/>
      <c r="Z9" s="2025"/>
      <c r="AA9" s="2026"/>
    </row>
    <row r="10" spans="1:28" ht="13.5" customHeight="1" x14ac:dyDescent="0.2">
      <c r="A10" s="2031" t="s">
        <v>675</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955</v>
      </c>
      <c r="B11" s="2035"/>
      <c r="C11" s="2035"/>
      <c r="D11" s="2035"/>
      <c r="E11" s="2035"/>
      <c r="F11" s="2035"/>
      <c r="G11" s="2035"/>
      <c r="H11" s="2036"/>
      <c r="I11" s="27"/>
      <c r="J11" s="74"/>
      <c r="K11" s="27"/>
      <c r="O11" s="148" t="s">
        <v>2070</v>
      </c>
      <c r="P11" s="100" t="s">
        <v>201</v>
      </c>
      <c r="Q11" s="30"/>
      <c r="R11" s="28"/>
      <c r="S11" s="27"/>
      <c r="T11" s="2028"/>
      <c r="U11" s="2029"/>
      <c r="V11" s="2029"/>
      <c r="W11" s="2029"/>
      <c r="X11" s="2029"/>
      <c r="Y11" s="2029"/>
      <c r="Z11" s="2029"/>
      <c r="AA11" s="203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8">
        <v>48072265026</v>
      </c>
      <c r="B13" s="2039"/>
      <c r="C13" s="2039"/>
      <c r="D13" s="2039"/>
      <c r="E13" s="2039"/>
      <c r="F13" s="2039"/>
      <c r="G13" s="2039"/>
      <c r="H13" s="2040"/>
      <c r="I13" s="31"/>
      <c r="J13" s="30"/>
      <c r="K13" s="28"/>
      <c r="L13" s="30"/>
      <c r="M13" s="30"/>
      <c r="N13" s="30"/>
      <c r="O13" s="30"/>
      <c r="P13" s="30"/>
      <c r="Q13" s="30"/>
      <c r="R13" s="30"/>
      <c r="S13" s="30"/>
      <c r="T13" s="2043" t="s">
        <v>2072</v>
      </c>
      <c r="U13" s="2044"/>
      <c r="V13" s="2044"/>
      <c r="W13" s="2044"/>
      <c r="X13" s="2044"/>
      <c r="Y13" s="2045"/>
      <c r="Z13" s="2045"/>
      <c r="AA13" s="204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7" t="s">
        <v>2073</v>
      </c>
      <c r="B15" s="2041"/>
      <c r="C15" s="2041"/>
      <c r="D15" s="2041"/>
      <c r="E15" s="2041"/>
      <c r="F15" s="2041"/>
      <c r="G15" s="2041"/>
      <c r="H15" s="2042"/>
      <c r="T15" s="2047" t="s">
        <v>2077</v>
      </c>
      <c r="U15" s="1991"/>
      <c r="V15" s="1991"/>
      <c r="W15" s="1991"/>
      <c r="X15" s="1991"/>
      <c r="Y15" s="2048"/>
      <c r="Z15" s="2048"/>
      <c r="AA15" s="204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7" t="s">
        <v>2148</v>
      </c>
      <c r="B17" s="1998"/>
      <c r="C17" s="1998"/>
      <c r="D17" s="1998"/>
      <c r="E17" s="1998"/>
      <c r="F17" s="1998"/>
      <c r="G17" s="1998"/>
      <c r="H17" s="2023"/>
      <c r="T17" s="2054" t="s">
        <v>2064</v>
      </c>
      <c r="U17" s="2055"/>
      <c r="V17" s="2055"/>
      <c r="W17" s="2055"/>
      <c r="X17" s="2055"/>
      <c r="Y17" s="2055"/>
      <c r="Z17" s="2055"/>
      <c r="AA17" s="2056"/>
    </row>
    <row r="18" spans="1:27" ht="13.5" customHeight="1" x14ac:dyDescent="0.2">
      <c r="A18" s="85" t="s">
        <v>530</v>
      </c>
      <c r="B18" s="76"/>
      <c r="C18" s="72"/>
      <c r="D18" s="76"/>
      <c r="E18" s="76"/>
      <c r="F18" s="76"/>
      <c r="G18" s="76"/>
      <c r="H18" s="56"/>
      <c r="I18" s="2022" t="s">
        <v>676</v>
      </c>
      <c r="J18" s="1973"/>
      <c r="K18" s="1973"/>
      <c r="L18" s="1973"/>
      <c r="M18" s="1973"/>
      <c r="N18" s="1973"/>
      <c r="O18" s="1973"/>
      <c r="P18" s="1973"/>
      <c r="Q18" s="1973"/>
      <c r="R18" s="1973"/>
      <c r="S18" s="1974"/>
      <c r="T18" s="85" t="s">
        <v>711</v>
      </c>
      <c r="U18" s="51"/>
      <c r="V18" s="72"/>
      <c r="W18" s="50"/>
      <c r="X18" s="85" t="s">
        <v>266</v>
      </c>
      <c r="Y18" s="81"/>
      <c r="Z18" s="159" t="s">
        <v>677</v>
      </c>
      <c r="AA18" s="46"/>
    </row>
    <row r="19" spans="1:27" ht="13.5" customHeight="1" x14ac:dyDescent="0.2">
      <c r="A19" s="2037" t="s">
        <v>2074</v>
      </c>
      <c r="B19" s="1983"/>
      <c r="C19" s="1983"/>
      <c r="D19" s="1983"/>
      <c r="E19" s="1983"/>
      <c r="F19" s="1983"/>
      <c r="G19" s="1983"/>
      <c r="H19" s="1963"/>
      <c r="I19" s="30"/>
      <c r="J19" s="99"/>
      <c r="K19" s="40"/>
      <c r="L19" s="38"/>
      <c r="M19" s="112" t="s">
        <v>315</v>
      </c>
      <c r="P19" s="27"/>
      <c r="Q19" s="27"/>
      <c r="R19" s="27"/>
      <c r="S19" s="31"/>
      <c r="T19" s="2037" t="s">
        <v>2065</v>
      </c>
      <c r="U19" s="1962"/>
      <c r="V19" s="1962"/>
      <c r="W19" s="1963"/>
      <c r="X19" s="2052" t="s">
        <v>2066</v>
      </c>
      <c r="Y19" s="2053"/>
      <c r="Z19" s="2050">
        <v>61614</v>
      </c>
      <c r="AA19" s="205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1" t="s">
        <v>2075</v>
      </c>
      <c r="B21" s="1962"/>
      <c r="C21" s="1962"/>
      <c r="D21" s="1962"/>
      <c r="E21" s="1962"/>
      <c r="F21" s="1962"/>
      <c r="G21" s="1962"/>
      <c r="H21" s="1963"/>
      <c r="I21" s="2017" t="s">
        <v>678</v>
      </c>
      <c r="J21" s="2012"/>
      <c r="K21" s="2012"/>
      <c r="L21" s="2012"/>
      <c r="M21" s="2012"/>
      <c r="N21" s="2012"/>
      <c r="O21" s="2012"/>
      <c r="P21" s="2012"/>
      <c r="Q21" s="2012"/>
      <c r="R21" s="2012"/>
      <c r="S21" s="2018"/>
      <c r="T21" s="2061" t="s">
        <v>2067</v>
      </c>
      <c r="U21" s="2062"/>
      <c r="V21" s="2062"/>
      <c r="W21" s="2062"/>
      <c r="X21" s="2067" t="s">
        <v>2068</v>
      </c>
      <c r="Y21" s="2068"/>
      <c r="Z21" s="2068"/>
      <c r="AA21" s="2069"/>
    </row>
    <row r="22" spans="1:27" ht="13.5" customHeight="1" x14ac:dyDescent="0.2">
      <c r="A22" s="87" t="s">
        <v>531</v>
      </c>
      <c r="B22" s="59"/>
      <c r="C22" s="59"/>
      <c r="D22" s="59"/>
      <c r="E22" s="59"/>
      <c r="F22" s="59"/>
      <c r="G22" s="59"/>
      <c r="H22" s="60"/>
      <c r="I22" s="2019" t="s">
        <v>1429</v>
      </c>
      <c r="J22" s="2020"/>
      <c r="K22" s="2020"/>
      <c r="L22" s="2020"/>
      <c r="M22" s="2020"/>
      <c r="N22" s="2020"/>
      <c r="O22" s="2020"/>
      <c r="P22" s="2020"/>
      <c r="Q22" s="2020"/>
      <c r="R22" s="2020"/>
      <c r="S22" s="2021"/>
      <c r="T22" s="85" t="s">
        <v>1516</v>
      </c>
      <c r="U22" s="51"/>
      <c r="V22" s="72"/>
      <c r="W22" s="51"/>
      <c r="X22" s="160" t="s">
        <v>1318</v>
      </c>
      <c r="Z22" s="45"/>
      <c r="AA22" s="46"/>
    </row>
    <row r="23" spans="1:27" ht="13.5" customHeight="1" x14ac:dyDescent="0.2">
      <c r="A23" s="2014" t="s">
        <v>2076</v>
      </c>
      <c r="B23" s="2015"/>
      <c r="C23" s="2015"/>
      <c r="D23" s="2015"/>
      <c r="E23" s="2015"/>
      <c r="F23" s="2015"/>
      <c r="G23" s="2015"/>
      <c r="H23" s="2016"/>
      <c r="T23" s="1997" t="s">
        <v>2069</v>
      </c>
      <c r="U23" s="2060"/>
      <c r="V23" s="2060"/>
      <c r="W23" s="2060"/>
      <c r="X23" s="2064">
        <v>44530</v>
      </c>
      <c r="Y23" s="2065"/>
      <c r="Z23" s="2065"/>
      <c r="AA23" s="2066"/>
    </row>
    <row r="24" spans="1:27" ht="14.1" customHeight="1" x14ac:dyDescent="0.2">
      <c r="A24" s="88" t="s">
        <v>677</v>
      </c>
      <c r="B24" s="49"/>
      <c r="C24" s="49"/>
      <c r="D24" s="49"/>
      <c r="E24" s="49"/>
      <c r="F24" s="49"/>
      <c r="G24" s="49"/>
      <c r="H24" s="61"/>
      <c r="J24" s="1984">
        <f>IF(B5="x",IF(AUDITCHECK!D29="AFR form Incomplete.","",IF(AUDITCHECK!D29="Deficit reduction plan is required.","School District must complete a deficit reduction plan in the 2019-2020 Budget",)),"")</f>
        <v>0</v>
      </c>
      <c r="K24" s="1984"/>
      <c r="L24" s="1984"/>
      <c r="M24" s="1984"/>
      <c r="N24" s="1984"/>
      <c r="O24" s="1984"/>
      <c r="P24" s="1984"/>
      <c r="Q24" s="1984"/>
      <c r="R24" s="1984"/>
      <c r="S24" s="1985"/>
      <c r="T24" s="105" t="s">
        <v>531</v>
      </c>
      <c r="U24" s="106"/>
      <c r="V24" s="106"/>
      <c r="W24" s="106"/>
      <c r="X24" s="107"/>
      <c r="Y24" s="107"/>
      <c r="Z24" s="107"/>
      <c r="AA24" s="108"/>
    </row>
    <row r="25" spans="1:27" ht="14.1" customHeight="1" x14ac:dyDescent="0.2">
      <c r="A25" s="1961">
        <v>61531</v>
      </c>
      <c r="B25" s="1962"/>
      <c r="C25" s="1962"/>
      <c r="D25" s="1962"/>
      <c r="E25" s="1962"/>
      <c r="F25" s="1962"/>
      <c r="G25" s="1962"/>
      <c r="H25" s="1963"/>
      <c r="I25" s="113"/>
      <c r="J25" s="1986"/>
      <c r="K25" s="1986"/>
      <c r="L25" s="1986"/>
      <c r="M25" s="1986"/>
      <c r="N25" s="1986"/>
      <c r="O25" s="1986"/>
      <c r="P25" s="1986"/>
      <c r="Q25" s="1986"/>
      <c r="R25" s="1986"/>
      <c r="S25" s="1987"/>
      <c r="T25" s="2057" t="s">
        <v>2078</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2" t="s">
        <v>1511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7" t="s">
        <v>2079</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531</v>
      </c>
      <c r="B39" s="1968"/>
      <c r="C39" s="72"/>
      <c r="D39" s="69"/>
      <c r="E39" s="69"/>
      <c r="F39" s="79"/>
      <c r="G39" s="69"/>
      <c r="H39" s="56"/>
      <c r="I39" s="1967" t="s">
        <v>531</v>
      </c>
      <c r="J39" s="1968"/>
      <c r="K39" s="1968"/>
      <c r="L39" s="1968"/>
      <c r="M39" s="1968"/>
      <c r="N39" s="67"/>
      <c r="O39" s="72"/>
      <c r="P39" s="72"/>
      <c r="Q39" s="78"/>
      <c r="R39" s="72"/>
      <c r="S39" s="56"/>
      <c r="T39" s="72" t="s">
        <v>531</v>
      </c>
      <c r="U39" s="51"/>
      <c r="V39" s="72"/>
      <c r="W39" s="50"/>
      <c r="X39" s="78"/>
      <c r="Y39" s="45"/>
      <c r="Z39" s="45"/>
      <c r="AA39" s="46"/>
    </row>
    <row r="40" spans="1:27" ht="13.5" customHeight="1" x14ac:dyDescent="0.2">
      <c r="A40" s="1975" t="s">
        <v>2076</v>
      </c>
      <c r="B40" s="1976"/>
      <c r="C40" s="1977"/>
      <c r="D40" s="1977"/>
      <c r="E40" s="1977"/>
      <c r="F40" s="1978"/>
      <c r="G40" s="1978"/>
      <c r="H40" s="1979"/>
      <c r="I40" s="2000"/>
      <c r="J40" s="2001"/>
      <c r="K40" s="2001"/>
      <c r="L40" s="2001"/>
      <c r="M40" s="2001"/>
      <c r="N40" s="2001"/>
      <c r="O40" s="2001"/>
      <c r="P40" s="2001"/>
      <c r="Q40" s="2001"/>
      <c r="R40" s="2001"/>
      <c r="S40" s="2002"/>
      <c r="T40" s="2000"/>
      <c r="U40" s="2063"/>
      <c r="V40" s="2001"/>
      <c r="W40" s="2001"/>
      <c r="X40" s="2001"/>
      <c r="Y40" s="2001"/>
      <c r="Z40" s="2001"/>
      <c r="AA40" s="200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9" t="s">
        <v>2080</v>
      </c>
      <c r="B42" s="1981"/>
      <c r="C42" s="1982"/>
      <c r="D42" s="1980" t="s">
        <v>2081</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3" t="s">
        <v>1802</v>
      </c>
      <c r="B2" s="1525" t="s">
        <v>1951</v>
      </c>
      <c r="C2" s="711" t="s">
        <v>1952</v>
      </c>
      <c r="D2" s="711" t="s">
        <v>1953</v>
      </c>
      <c r="E2" s="711" t="s">
        <v>1954</v>
      </c>
      <c r="F2" s="711" t="s">
        <v>1955</v>
      </c>
    </row>
    <row r="3" spans="1:6" ht="12" customHeight="1" x14ac:dyDescent="0.2">
      <c r="A3" s="2204"/>
      <c r="B3" s="1522"/>
      <c r="C3" s="1523"/>
      <c r="D3" s="1524" t="s">
        <v>256</v>
      </c>
      <c r="E3" s="1523"/>
      <c r="F3" s="1524" t="s">
        <v>257</v>
      </c>
    </row>
    <row r="4" spans="1:6" ht="13.7" customHeight="1" x14ac:dyDescent="0.2">
      <c r="A4" s="712" t="s">
        <v>1155</v>
      </c>
      <c r="B4" s="1746">
        <f>'Revenues 9-14'!C5</f>
        <v>3669943</v>
      </c>
      <c r="C4" s="1521">
        <v>1057180</v>
      </c>
      <c r="D4" s="1749">
        <f>B4-C4</f>
        <v>2612763</v>
      </c>
      <c r="E4" s="1521">
        <v>4212820</v>
      </c>
      <c r="F4" s="1749">
        <f>E4-C4</f>
        <v>3155640</v>
      </c>
    </row>
    <row r="5" spans="1:6" ht="13.7" customHeight="1" x14ac:dyDescent="0.2">
      <c r="A5" s="712" t="s">
        <v>870</v>
      </c>
      <c r="B5" s="1747">
        <f>'Revenues 9-14'!D5</f>
        <v>695147</v>
      </c>
      <c r="C5" s="582">
        <v>200622</v>
      </c>
      <c r="D5" s="1750">
        <f t="shared" ref="D5:D18" si="0">B5-C5</f>
        <v>494525</v>
      </c>
      <c r="E5" s="582">
        <v>799394</v>
      </c>
      <c r="F5" s="1750">
        <f>E5-C5</f>
        <v>598772</v>
      </c>
    </row>
    <row r="6" spans="1:6" ht="13.7" customHeight="1" x14ac:dyDescent="0.2">
      <c r="A6" s="712" t="s">
        <v>411</v>
      </c>
      <c r="B6" s="1747">
        <f>'Revenues 9-14'!E5</f>
        <v>1363918</v>
      </c>
      <c r="C6" s="582">
        <v>388822</v>
      </c>
      <c r="D6" s="1750">
        <f t="shared" si="0"/>
        <v>975096</v>
      </c>
      <c r="E6" s="582">
        <v>1546854</v>
      </c>
      <c r="F6" s="1750">
        <f t="shared" ref="F6:F18" si="1">E6-C6</f>
        <v>1158032</v>
      </c>
    </row>
    <row r="7" spans="1:6" ht="13.7" customHeight="1" x14ac:dyDescent="0.2">
      <c r="A7" s="712" t="s">
        <v>155</v>
      </c>
      <c r="B7" s="1747">
        <f>'Revenues 9-14'!F5</f>
        <v>278059</v>
      </c>
      <c r="C7" s="582">
        <v>80249</v>
      </c>
      <c r="D7" s="1750">
        <f t="shared" si="0"/>
        <v>197810</v>
      </c>
      <c r="E7" s="582">
        <v>319757</v>
      </c>
      <c r="F7" s="1750">
        <f t="shared" si="1"/>
        <v>239508</v>
      </c>
    </row>
    <row r="8" spans="1:6" ht="13.7" customHeight="1" x14ac:dyDescent="0.2">
      <c r="A8" s="712" t="s">
        <v>1179</v>
      </c>
      <c r="B8" s="1747">
        <f>'Revenues 9-14'!G5</f>
        <v>188606</v>
      </c>
      <c r="C8" s="582">
        <v>40319</v>
      </c>
      <c r="D8" s="1750">
        <f t="shared" si="0"/>
        <v>148287</v>
      </c>
      <c r="E8" s="582">
        <v>160722</v>
      </c>
      <c r="F8" s="1750">
        <f t="shared" si="1"/>
        <v>120403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69514</v>
      </c>
      <c r="C10" s="582">
        <v>20061</v>
      </c>
      <c r="D10" s="1750">
        <f t="shared" si="0"/>
        <v>49453</v>
      </c>
      <c r="E10" s="582">
        <v>79939</v>
      </c>
      <c r="F10" s="1750">
        <f t="shared" si="1"/>
        <v>59878</v>
      </c>
    </row>
    <row r="11" spans="1:6" x14ac:dyDescent="0.2">
      <c r="A11" s="712" t="s">
        <v>409</v>
      </c>
      <c r="B11" s="1747">
        <f>'Revenues 9-14'!J5</f>
        <v>465957</v>
      </c>
      <c r="C11" s="582">
        <v>146438</v>
      </c>
      <c r="D11" s="1750">
        <f t="shared" si="0"/>
        <v>319519</v>
      </c>
      <c r="E11" s="582">
        <v>582566</v>
      </c>
      <c r="F11" s="1750">
        <f t="shared" si="1"/>
        <v>436128</v>
      </c>
    </row>
    <row r="12" spans="1:6" ht="13.7" customHeight="1" x14ac:dyDescent="0.2">
      <c r="A12" s="712" t="s">
        <v>157</v>
      </c>
      <c r="B12" s="1747">
        <f>'Revenues 9-14'!K5</f>
        <v>0</v>
      </c>
      <c r="C12" s="582">
        <v>0</v>
      </c>
      <c r="D12" s="1750">
        <f t="shared" si="0"/>
        <v>0</v>
      </c>
      <c r="E12" s="582">
        <v>0</v>
      </c>
      <c r="F12" s="1750">
        <f t="shared" si="1"/>
        <v>0</v>
      </c>
    </row>
    <row r="13" spans="1:6" ht="13.7" customHeight="1" x14ac:dyDescent="0.2">
      <c r="A13" s="712" t="s">
        <v>936</v>
      </c>
      <c r="B13" s="1747">
        <f>SUM('Revenues 9-14'!C6:D6)</f>
        <v>69514</v>
      </c>
      <c r="C13" s="582">
        <v>20061</v>
      </c>
      <c r="D13" s="1750">
        <f t="shared" si="0"/>
        <v>49453</v>
      </c>
      <c r="E13" s="582">
        <v>79939</v>
      </c>
      <c r="F13" s="1750">
        <f t="shared" si="1"/>
        <v>59878</v>
      </c>
    </row>
    <row r="14" spans="1:6" ht="13.7" customHeight="1" x14ac:dyDescent="0.2">
      <c r="A14" s="712" t="s">
        <v>410</v>
      </c>
      <c r="B14" s="1747">
        <f>SUM('Revenues 9-14'!C7:D7,'Revenues 9-14'!F7:H7)</f>
        <v>55612</v>
      </c>
      <c r="C14" s="582">
        <v>16050</v>
      </c>
      <c r="D14" s="1750">
        <f t="shared" si="0"/>
        <v>39562</v>
      </c>
      <c r="E14" s="582">
        <v>63951</v>
      </c>
      <c r="F14" s="1750">
        <f t="shared" si="1"/>
        <v>47901</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174632</v>
      </c>
      <c r="C16" s="582">
        <v>48020</v>
      </c>
      <c r="D16" s="1750">
        <f t="shared" si="0"/>
        <v>126612</v>
      </c>
      <c r="E16" s="582">
        <v>190867</v>
      </c>
      <c r="F16" s="1750">
        <f t="shared" si="1"/>
        <v>142847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7030902</v>
      </c>
      <c r="C19" s="1748">
        <f>SUM(C4:C18)</f>
        <v>2017822</v>
      </c>
      <c r="D19" s="1748">
        <f>SUM(D4:D18)</f>
        <v>5013080</v>
      </c>
      <c r="E19" s="1748">
        <f>SUM(E4:E18)</f>
        <v>8036809</v>
      </c>
      <c r="F19" s="1748">
        <f>SUM(F4:F18)</f>
        <v>6018987</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629</v>
      </c>
      <c r="B1" s="2223"/>
      <c r="C1" s="718"/>
    </row>
    <row r="2" spans="1:7" ht="33.75" x14ac:dyDescent="0.2">
      <c r="A2" s="2230" t="s">
        <v>1802</v>
      </c>
      <c r="B2" s="2231"/>
      <c r="C2" s="1881" t="s">
        <v>1956</v>
      </c>
      <c r="D2" s="720" t="s">
        <v>1957</v>
      </c>
      <c r="E2" s="720" t="s">
        <v>1958</v>
      </c>
      <c r="F2" s="1881" t="s">
        <v>1959</v>
      </c>
    </row>
    <row r="3" spans="1:7" ht="15.75" customHeight="1" x14ac:dyDescent="0.2">
      <c r="A3" s="2232" t="s">
        <v>1114</v>
      </c>
      <c r="B3" s="2233"/>
      <c r="C3" s="2226"/>
      <c r="D3" s="2227"/>
      <c r="E3" s="2227"/>
      <c r="F3" s="2228"/>
    </row>
    <row r="4" spans="1:7" ht="12.75" customHeight="1" thickBot="1" x14ac:dyDescent="0.25">
      <c r="A4" s="2220" t="s">
        <v>630</v>
      </c>
      <c r="B4" s="2221"/>
      <c r="C4" s="578"/>
      <c r="D4" s="578"/>
      <c r="E4" s="578"/>
      <c r="F4" s="1752">
        <f>SUM(C4+D4)-E4</f>
        <v>0</v>
      </c>
    </row>
    <row r="5" spans="1:7" ht="15.75" customHeight="1" thickTop="1" x14ac:dyDescent="0.2">
      <c r="A5" s="2224" t="s">
        <v>1110</v>
      </c>
      <c r="B5" s="2219"/>
      <c r="C5" s="2213"/>
      <c r="D5" s="2214"/>
      <c r="E5" s="2214"/>
      <c r="F5" s="2215"/>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6" t="s">
        <v>631</v>
      </c>
      <c r="B15" s="2217"/>
      <c r="C15" s="1752">
        <f>SUM(C6:C14)</f>
        <v>0</v>
      </c>
      <c r="D15" s="1752">
        <f>SUM(D6:D14)</f>
        <v>0</v>
      </c>
      <c r="E15" s="1752">
        <f>SUM(E6:E14)</f>
        <v>0</v>
      </c>
      <c r="F15" s="1752">
        <f>SUM(F6:F14)</f>
        <v>0</v>
      </c>
      <c r="G15" s="549"/>
    </row>
    <row r="16" spans="1:7" s="202" customFormat="1" ht="15.75" customHeight="1" thickTop="1" x14ac:dyDescent="0.2">
      <c r="A16" s="2229" t="s">
        <v>1111</v>
      </c>
      <c r="B16" s="2219"/>
      <c r="C16" s="2213"/>
      <c r="D16" s="2214"/>
      <c r="E16" s="2214"/>
      <c r="F16" s="2215"/>
    </row>
    <row r="17" spans="1:11" ht="12.75" customHeight="1" thickBot="1" x14ac:dyDescent="0.25">
      <c r="A17" s="2211" t="s">
        <v>64</v>
      </c>
      <c r="B17" s="2212"/>
      <c r="C17" s="723"/>
      <c r="D17" s="582"/>
      <c r="E17" s="723"/>
      <c r="F17" s="1752">
        <f>SUM(C17+D17)-E17</f>
        <v>0</v>
      </c>
    </row>
    <row r="18" spans="1:11" ht="12.75" customHeight="1" thickTop="1" thickBot="1" x14ac:dyDescent="0.25">
      <c r="A18" s="2211" t="s">
        <v>6</v>
      </c>
      <c r="B18" s="2212"/>
      <c r="C18" s="723"/>
      <c r="D18" s="582"/>
      <c r="E18" s="723"/>
      <c r="F18" s="1752">
        <f>SUM(C18+D18)-E18</f>
        <v>0</v>
      </c>
    </row>
    <row r="19" spans="1:11" ht="12.75" customHeight="1" thickTop="1" thickBot="1" x14ac:dyDescent="0.25">
      <c r="A19" s="2211" t="s">
        <v>388</v>
      </c>
      <c r="B19" s="2212"/>
      <c r="C19" s="723"/>
      <c r="D19" s="582"/>
      <c r="E19" s="723"/>
      <c r="F19" s="1752">
        <f>SUM(C19+D19)-E19</f>
        <v>0</v>
      </c>
    </row>
    <row r="20" spans="1:11" ht="12.75" customHeight="1" thickTop="1" thickBot="1" x14ac:dyDescent="0.25">
      <c r="A20" s="2211" t="s">
        <v>448</v>
      </c>
      <c r="B20" s="2212"/>
      <c r="C20" s="723"/>
      <c r="D20" s="582"/>
      <c r="E20" s="723"/>
      <c r="F20" s="1752">
        <f>SUM(C20+D20)-E20</f>
        <v>0</v>
      </c>
    </row>
    <row r="21" spans="1:11" ht="14.25" thickTop="1" thickBot="1" x14ac:dyDescent="0.25">
      <c r="A21" s="2216" t="s">
        <v>632</v>
      </c>
      <c r="B21" s="2217"/>
      <c r="C21" s="1752">
        <f>SUM(C17:C20)</f>
        <v>0</v>
      </c>
      <c r="D21" s="1752">
        <f>SUM(D17:D20)</f>
        <v>0</v>
      </c>
      <c r="E21" s="1752">
        <f>SUM(E17:E20)</f>
        <v>0</v>
      </c>
      <c r="F21" s="1752">
        <f>SUM(F17:F20)</f>
        <v>0</v>
      </c>
      <c r="G21" s="549"/>
    </row>
    <row r="22" spans="1:11" ht="15.75" customHeight="1" thickTop="1" x14ac:dyDescent="0.2">
      <c r="A22" s="2218" t="s">
        <v>1112</v>
      </c>
      <c r="B22" s="2219"/>
      <c r="C22" s="2213"/>
      <c r="D22" s="2214"/>
      <c r="E22" s="2214"/>
      <c r="F22" s="2215"/>
    </row>
    <row r="23" spans="1:11" ht="13.5" thickBot="1" x14ac:dyDescent="0.25">
      <c r="A23" s="2220" t="s">
        <v>633</v>
      </c>
      <c r="B23" s="2221"/>
      <c r="C23" s="578"/>
      <c r="D23" s="578"/>
      <c r="E23" s="578"/>
      <c r="F23" s="1752">
        <f>SUM(C23+D23)-E23</f>
        <v>0</v>
      </c>
      <c r="G23" s="549"/>
    </row>
    <row r="24" spans="1:11" ht="15.75" customHeight="1" thickTop="1" x14ac:dyDescent="0.2">
      <c r="A24" s="2218" t="s">
        <v>1113</v>
      </c>
      <c r="B24" s="2219"/>
      <c r="C24" s="2213"/>
      <c r="D24" s="2214"/>
      <c r="E24" s="2214"/>
      <c r="F24" s="2215"/>
    </row>
    <row r="25" spans="1:11" ht="13.5" thickBot="1" x14ac:dyDescent="0.25">
      <c r="A25" s="2220" t="s">
        <v>634</v>
      </c>
      <c r="B25" s="2221"/>
      <c r="C25" s="578"/>
      <c r="D25" s="578"/>
      <c r="E25" s="578"/>
      <c r="F25" s="1752">
        <f>SUM(C25+D25)-E25</f>
        <v>0</v>
      </c>
      <c r="G25" s="549"/>
    </row>
    <row r="26" spans="1:11" ht="15.75" customHeight="1" thickTop="1" x14ac:dyDescent="0.2">
      <c r="A26" s="2224" t="s">
        <v>657</v>
      </c>
      <c r="B26" s="2219"/>
      <c r="C26" s="724"/>
      <c r="D26" s="724"/>
      <c r="E26" s="724"/>
      <c r="F26" s="725"/>
    </row>
    <row r="27" spans="1:11" ht="13.5" thickBot="1" x14ac:dyDescent="0.25">
      <c r="A27" s="2216" t="s">
        <v>1070</v>
      </c>
      <c r="B27" s="2217"/>
      <c r="C27" s="582"/>
      <c r="D27" s="582"/>
      <c r="E27" s="582"/>
      <c r="F27" s="1752">
        <f>SUM(C27+D27)-E27</f>
        <v>0</v>
      </c>
      <c r="G27" s="549"/>
    </row>
    <row r="28" spans="1:11" ht="7.5" customHeight="1" thickTop="1" x14ac:dyDescent="0.2">
      <c r="A28" s="590"/>
    </row>
    <row r="29" spans="1:11" ht="23.25" customHeight="1" x14ac:dyDescent="0.2">
      <c r="A29" s="2222" t="s">
        <v>582</v>
      </c>
      <c r="B29" s="2223"/>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37072</v>
      </c>
      <c r="C31" s="731">
        <v>13999643</v>
      </c>
      <c r="D31" s="732">
        <v>6</v>
      </c>
      <c r="E31" s="731">
        <v>1426725</v>
      </c>
      <c r="F31" s="731"/>
      <c r="G31" s="731"/>
      <c r="H31" s="731">
        <v>505009</v>
      </c>
      <c r="I31" s="1753">
        <f>((E31+F31)-H31)+G31</f>
        <v>921716</v>
      </c>
      <c r="J31" s="731">
        <f>I31-493258</f>
        <v>428458</v>
      </c>
      <c r="K31" s="733"/>
    </row>
    <row r="32" spans="1:11" ht="12" customHeight="1" x14ac:dyDescent="0.2">
      <c r="A32" s="729" t="s">
        <v>2083</v>
      </c>
      <c r="B32" s="730">
        <v>41153</v>
      </c>
      <c r="C32" s="731">
        <v>880000</v>
      </c>
      <c r="D32" s="732">
        <v>3</v>
      </c>
      <c r="E32" s="731">
        <v>355000</v>
      </c>
      <c r="F32" s="731"/>
      <c r="G32" s="731"/>
      <c r="H32" s="731">
        <v>130000</v>
      </c>
      <c r="I32" s="1753">
        <f>((E32+F32)-H32)+G32</f>
        <v>225000</v>
      </c>
      <c r="J32" s="731">
        <f>I32-38737</f>
        <v>186263</v>
      </c>
      <c r="K32" s="733"/>
    </row>
    <row r="33" spans="1:11" ht="12" customHeight="1" x14ac:dyDescent="0.2">
      <c r="A33" s="729" t="s">
        <v>2084</v>
      </c>
      <c r="B33" s="730">
        <v>41883</v>
      </c>
      <c r="C33" s="731">
        <v>800000</v>
      </c>
      <c r="D33" s="732">
        <v>1</v>
      </c>
      <c r="E33" s="731">
        <v>800000</v>
      </c>
      <c r="F33" s="731"/>
      <c r="G33" s="731"/>
      <c r="H33" s="731"/>
      <c r="I33" s="1753">
        <f t="shared" ref="I33:I48" si="1">((E33+F33)-H33)+G33</f>
        <v>800000</v>
      </c>
      <c r="J33" s="731">
        <f>I33-6303</f>
        <v>793697</v>
      </c>
      <c r="K33" s="733"/>
    </row>
    <row r="34" spans="1:11" ht="12" customHeight="1" x14ac:dyDescent="0.2">
      <c r="A34" s="729" t="s">
        <v>2135</v>
      </c>
      <c r="B34" s="730">
        <v>43510</v>
      </c>
      <c r="C34" s="731">
        <v>4475000</v>
      </c>
      <c r="D34" s="732">
        <v>2</v>
      </c>
      <c r="E34" s="731"/>
      <c r="F34" s="731">
        <v>4451703</v>
      </c>
      <c r="G34" s="731">
        <v>23297</v>
      </c>
      <c r="H34" s="731"/>
      <c r="I34" s="1753">
        <f t="shared" si="1"/>
        <v>4475000</v>
      </c>
      <c r="J34" s="731">
        <f>I34-320819</f>
        <v>4154181</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20154643</v>
      </c>
      <c r="D49" s="742"/>
      <c r="E49" s="1753">
        <f t="shared" ref="E49:J49" si="2">SUM(E31:E48)</f>
        <v>2581725</v>
      </c>
      <c r="F49" s="1753">
        <f t="shared" si="2"/>
        <v>4451703</v>
      </c>
      <c r="G49" s="1753">
        <f t="shared" si="2"/>
        <v>23297</v>
      </c>
      <c r="H49" s="1753">
        <f t="shared" si="2"/>
        <v>635009</v>
      </c>
      <c r="I49" s="1753">
        <f t="shared" si="2"/>
        <v>6421716</v>
      </c>
      <c r="J49" s="1753">
        <f t="shared" si="2"/>
        <v>5562599</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5" t="s">
        <v>584</v>
      </c>
      <c r="C52" s="2206"/>
      <c r="D52" s="2206"/>
      <c r="E52" s="746" t="s">
        <v>845</v>
      </c>
      <c r="F52" s="2207"/>
      <c r="G52" s="2208"/>
      <c r="H52" s="733"/>
      <c r="I52" s="733"/>
      <c r="J52" s="743"/>
    </row>
    <row r="53" spans="1:11" ht="11.25" customHeight="1" x14ac:dyDescent="0.2">
      <c r="A53" s="747" t="s">
        <v>913</v>
      </c>
      <c r="B53" s="748" t="s">
        <v>951</v>
      </c>
      <c r="C53" s="743"/>
      <c r="D53" s="734"/>
      <c r="E53" s="746" t="s">
        <v>497</v>
      </c>
      <c r="F53" s="2209"/>
      <c r="G53" s="2210"/>
      <c r="H53" s="733"/>
      <c r="I53" s="733"/>
      <c r="J53" s="743"/>
    </row>
    <row r="54" spans="1:11" ht="11.25" customHeight="1" x14ac:dyDescent="0.2">
      <c r="A54" s="749" t="s">
        <v>914</v>
      </c>
      <c r="B54" s="744" t="s">
        <v>952</v>
      </c>
      <c r="C54" s="743"/>
      <c r="D54" s="734"/>
      <c r="E54" s="746" t="s">
        <v>498</v>
      </c>
      <c r="F54" s="2209"/>
      <c r="G54" s="221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856</v>
      </c>
      <c r="B1" s="2235"/>
      <c r="C1" s="2235"/>
      <c r="D1" s="2235"/>
      <c r="E1" s="2235"/>
      <c r="F1" s="2235"/>
      <c r="G1" s="2236"/>
      <c r="H1" s="1527"/>
      <c r="I1" s="757"/>
      <c r="J1" s="433"/>
    </row>
    <row r="2" spans="1:11" ht="26.25" x14ac:dyDescent="0.2">
      <c r="A2" s="2253" t="s">
        <v>1677</v>
      </c>
      <c r="B2" s="2254"/>
      <c r="C2" s="2254"/>
      <c r="D2" s="2254"/>
      <c r="E2" s="2255"/>
      <c r="F2" s="758" t="s">
        <v>904</v>
      </c>
      <c r="G2" s="759" t="s">
        <v>1674</v>
      </c>
      <c r="H2" s="759" t="s">
        <v>410</v>
      </c>
      <c r="I2" s="759" t="s">
        <v>1158</v>
      </c>
      <c r="J2" s="759" t="s">
        <v>1812</v>
      </c>
      <c r="K2" s="759" t="s">
        <v>138</v>
      </c>
    </row>
    <row r="3" spans="1:11" x14ac:dyDescent="0.2">
      <c r="A3" s="2256" t="s">
        <v>1964</v>
      </c>
      <c r="B3" s="2257"/>
      <c r="C3" s="2257"/>
      <c r="D3" s="2257"/>
      <c r="E3" s="2258"/>
      <c r="F3" s="760"/>
      <c r="G3" s="761"/>
      <c r="H3" s="761"/>
      <c r="I3" s="761"/>
      <c r="J3" s="762">
        <v>345428</v>
      </c>
      <c r="K3" s="762"/>
    </row>
    <row r="4" spans="1:11" x14ac:dyDescent="0.2">
      <c r="A4" s="2259" t="s">
        <v>369</v>
      </c>
      <c r="B4" s="2260"/>
      <c r="C4" s="2260"/>
      <c r="D4" s="2260"/>
      <c r="E4" s="2206"/>
      <c r="F4" s="763"/>
      <c r="G4" s="764"/>
      <c r="H4" s="765"/>
      <c r="I4" s="764"/>
      <c r="J4" s="766"/>
      <c r="K4" s="766"/>
    </row>
    <row r="5" spans="1:11" x14ac:dyDescent="0.2">
      <c r="A5" s="2237" t="s">
        <v>1069</v>
      </c>
      <c r="B5" s="2238"/>
      <c r="C5" s="2238"/>
      <c r="D5" s="2238"/>
      <c r="E5" s="2239"/>
      <c r="F5" s="767" t="s">
        <v>848</v>
      </c>
      <c r="G5" s="768"/>
      <c r="H5" s="761">
        <v>55612</v>
      </c>
      <c r="I5" s="769"/>
      <c r="J5" s="770"/>
      <c r="K5" s="770"/>
    </row>
    <row r="6" spans="1:11" x14ac:dyDescent="0.2">
      <c r="A6" s="771" t="s">
        <v>720</v>
      </c>
      <c r="B6" s="772"/>
      <c r="C6" s="772"/>
      <c r="D6" s="772"/>
      <c r="E6" s="773"/>
      <c r="F6" s="774" t="s">
        <v>849</v>
      </c>
      <c r="G6" s="761"/>
      <c r="H6" s="761">
        <v>55</v>
      </c>
      <c r="I6" s="761"/>
      <c r="J6" s="762">
        <v>3159</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515394</v>
      </c>
      <c r="K8" s="766"/>
    </row>
    <row r="9" spans="1:11" x14ac:dyDescent="0.2">
      <c r="A9" s="775" t="s">
        <v>138</v>
      </c>
      <c r="B9" s="776"/>
      <c r="C9" s="776"/>
      <c r="D9" s="776"/>
      <c r="E9" s="777"/>
      <c r="F9" s="774" t="s">
        <v>853</v>
      </c>
      <c r="G9" s="779"/>
      <c r="H9" s="768"/>
      <c r="I9" s="768"/>
      <c r="J9" s="778"/>
      <c r="K9" s="762">
        <v>23969</v>
      </c>
    </row>
    <row r="10" spans="1:11" x14ac:dyDescent="0.2">
      <c r="A10" s="2237" t="s">
        <v>1813</v>
      </c>
      <c r="B10" s="2238"/>
      <c r="C10" s="2238"/>
      <c r="D10" s="2238"/>
      <c r="E10" s="2240"/>
      <c r="F10" s="780" t="s">
        <v>862</v>
      </c>
      <c r="G10" s="779"/>
      <c r="H10" s="781"/>
      <c r="I10" s="761"/>
      <c r="J10" s="762"/>
      <c r="K10" s="762"/>
    </row>
    <row r="11" spans="1:11" x14ac:dyDescent="0.2">
      <c r="A11" s="2237" t="s">
        <v>160</v>
      </c>
      <c r="B11" s="2238"/>
      <c r="C11" s="2238"/>
      <c r="D11" s="2238"/>
      <c r="E11" s="2239"/>
      <c r="F11" s="767" t="s">
        <v>852</v>
      </c>
      <c r="G11" s="768"/>
      <c r="H11" s="761"/>
      <c r="I11" s="761"/>
      <c r="J11" s="762"/>
      <c r="K11" s="770"/>
    </row>
    <row r="12" spans="1:11" ht="13.5" thickBot="1" x14ac:dyDescent="0.25">
      <c r="A12" s="2264" t="s">
        <v>905</v>
      </c>
      <c r="B12" s="2265"/>
      <c r="C12" s="2265"/>
      <c r="D12" s="2265"/>
      <c r="E12" s="2266"/>
      <c r="F12" s="1754"/>
      <c r="G12" s="1755">
        <f>SUM(G5:G11)</f>
        <v>0</v>
      </c>
      <c r="H12" s="1755">
        <f>SUM(H5:H11)</f>
        <v>55667</v>
      </c>
      <c r="I12" s="1755">
        <f>SUM(I5:I11)</f>
        <v>0</v>
      </c>
      <c r="J12" s="1755">
        <f>SUM(J5:J11)</f>
        <v>518553</v>
      </c>
      <c r="K12" s="1755">
        <f>SUM(K5:K11)</f>
        <v>23969</v>
      </c>
    </row>
    <row r="13" spans="1:11" ht="13.5" thickTop="1" x14ac:dyDescent="0.2">
      <c r="A13" s="2261" t="s">
        <v>370</v>
      </c>
      <c r="B13" s="2262"/>
      <c r="C13" s="2262"/>
      <c r="D13" s="2262"/>
      <c r="E13" s="2263"/>
      <c r="F13" s="782"/>
      <c r="G13" s="783"/>
      <c r="H13" s="784"/>
      <c r="I13" s="785"/>
      <c r="J13" s="785"/>
      <c r="K13" s="785"/>
    </row>
    <row r="14" spans="1:11" x14ac:dyDescent="0.2">
      <c r="A14" s="2244" t="s">
        <v>456</v>
      </c>
      <c r="B14" s="2244"/>
      <c r="C14" s="2244"/>
      <c r="D14" s="2244"/>
      <c r="E14" s="2245"/>
      <c r="F14" s="786" t="s">
        <v>854</v>
      </c>
      <c r="G14" s="779"/>
      <c r="H14" s="761">
        <v>55667</v>
      </c>
      <c r="I14" s="768"/>
      <c r="J14" s="770"/>
      <c r="K14" s="762">
        <v>23969</v>
      </c>
    </row>
    <row r="15" spans="1:11" x14ac:dyDescent="0.2">
      <c r="A15" s="2238" t="s">
        <v>4</v>
      </c>
      <c r="B15" s="2238"/>
      <c r="C15" s="2238"/>
      <c r="D15" s="2238"/>
      <c r="E15" s="2239"/>
      <c r="F15" s="786" t="s">
        <v>855</v>
      </c>
      <c r="G15" s="768"/>
      <c r="H15" s="761"/>
      <c r="I15" s="761"/>
      <c r="J15" s="762">
        <v>709196</v>
      </c>
      <c r="K15" s="762"/>
    </row>
    <row r="16" spans="1:11" x14ac:dyDescent="0.2">
      <c r="A16" s="2238" t="s">
        <v>298</v>
      </c>
      <c r="B16" s="2238"/>
      <c r="C16" s="2238"/>
      <c r="D16" s="2238"/>
      <c r="E16" s="2239"/>
      <c r="F16" s="786" t="s">
        <v>923</v>
      </c>
      <c r="G16" s="769"/>
      <c r="H16" s="764"/>
      <c r="I16" s="764"/>
      <c r="J16" s="766"/>
      <c r="K16" s="766"/>
    </row>
    <row r="17" spans="1:11" x14ac:dyDescent="0.2">
      <c r="A17" s="2269" t="s">
        <v>935</v>
      </c>
      <c r="B17" s="2269"/>
      <c r="C17" s="2269"/>
      <c r="D17" s="2269"/>
      <c r="E17" s="2270"/>
      <c r="F17" s="787"/>
      <c r="G17" s="788"/>
      <c r="H17" s="789"/>
      <c r="I17" s="789"/>
      <c r="J17" s="790"/>
      <c r="K17" s="791"/>
    </row>
    <row r="18" spans="1:11" x14ac:dyDescent="0.2">
      <c r="A18" s="2248" t="s">
        <v>368</v>
      </c>
      <c r="B18" s="2249"/>
      <c r="C18" s="2249"/>
      <c r="D18" s="2249"/>
      <c r="E18" s="2250"/>
      <c r="F18" s="786" t="s">
        <v>932</v>
      </c>
      <c r="G18" s="779"/>
      <c r="H18" s="779"/>
      <c r="I18" s="779"/>
      <c r="J18" s="762"/>
      <c r="K18" s="792"/>
    </row>
    <row r="19" spans="1:11" ht="21.75" customHeight="1" x14ac:dyDescent="0.2">
      <c r="A19" s="2246" t="s">
        <v>1809</v>
      </c>
      <c r="B19" s="2246"/>
      <c r="C19" s="2246"/>
      <c r="D19" s="2246"/>
      <c r="E19" s="2247"/>
      <c r="F19" s="786" t="s">
        <v>933</v>
      </c>
      <c r="G19" s="779"/>
      <c r="H19" s="779"/>
      <c r="I19" s="779"/>
      <c r="J19" s="762"/>
      <c r="K19" s="792"/>
    </row>
    <row r="20" spans="1:11" x14ac:dyDescent="0.2">
      <c r="A20" s="2248" t="s">
        <v>1814</v>
      </c>
      <c r="B20" s="2249"/>
      <c r="C20" s="2249"/>
      <c r="D20" s="2249"/>
      <c r="E20" s="2250"/>
      <c r="F20" s="786" t="s">
        <v>934</v>
      </c>
      <c r="G20" s="779"/>
      <c r="H20" s="779"/>
      <c r="I20" s="779"/>
      <c r="J20" s="762"/>
      <c r="K20" s="792"/>
    </row>
    <row r="21" spans="1:11" ht="13.5" thickBot="1" x14ac:dyDescent="0.25">
      <c r="A21" s="2267" t="s">
        <v>638</v>
      </c>
      <c r="B21" s="2267"/>
      <c r="C21" s="2267"/>
      <c r="D21" s="2267"/>
      <c r="E21" s="2267"/>
      <c r="F21" s="1756"/>
      <c r="G21" s="789"/>
      <c r="H21" s="793"/>
      <c r="I21" s="793"/>
      <c r="J21" s="1757">
        <f>SUM(J18:J20)</f>
        <v>0</v>
      </c>
      <c r="K21" s="790"/>
    </row>
    <row r="22" spans="1:11" ht="13.5" thickTop="1" x14ac:dyDescent="0.2">
      <c r="A22" s="2238" t="s">
        <v>1815</v>
      </c>
      <c r="B22" s="2238"/>
      <c r="C22" s="2238"/>
      <c r="D22" s="2238"/>
      <c r="E22" s="2239"/>
      <c r="F22" s="786" t="s">
        <v>862</v>
      </c>
      <c r="G22" s="779"/>
      <c r="H22" s="761"/>
      <c r="I22" s="761"/>
      <c r="J22" s="794"/>
      <c r="K22" s="762"/>
    </row>
    <row r="23" spans="1:11" ht="13.5" thickBot="1" x14ac:dyDescent="0.25">
      <c r="A23" s="2268" t="s">
        <v>906</v>
      </c>
      <c r="B23" s="2267"/>
      <c r="C23" s="2267"/>
      <c r="D23" s="2267"/>
      <c r="E23" s="2267"/>
      <c r="F23" s="1758"/>
      <c r="G23" s="1755">
        <f>SUM(G14:G16,G21,G22)</f>
        <v>0</v>
      </c>
      <c r="H23" s="1755">
        <f>SUM(H14:H16,H21,H22)</f>
        <v>55667</v>
      </c>
      <c r="I23" s="1755">
        <f>SUM(I14:I16,I21,I22)</f>
        <v>0</v>
      </c>
      <c r="J23" s="1755">
        <f>SUM(J14:J16,J21,J22)</f>
        <v>709196</v>
      </c>
      <c r="K23" s="1755">
        <f>SUM(K14:K16,K21,K22)</f>
        <v>23969</v>
      </c>
    </row>
    <row r="24" spans="1:11" ht="14.25" thickTop="1" thickBot="1" x14ac:dyDescent="0.25">
      <c r="A24" s="2268" t="s">
        <v>1965</v>
      </c>
      <c r="B24" s="2267"/>
      <c r="C24" s="2267"/>
      <c r="D24" s="2267"/>
      <c r="E24" s="2267"/>
      <c r="F24" s="1759"/>
      <c r="G24" s="1760">
        <f>SUM(G3,G12)-G23</f>
        <v>0</v>
      </c>
      <c r="H24" s="1760">
        <f>SUM(H3,H12)-H23</f>
        <v>0</v>
      </c>
      <c r="I24" s="1760">
        <f>SUM(I3,I12)-I23</f>
        <v>0</v>
      </c>
      <c r="J24" s="1760">
        <f>SUM(J3,J12)-J23</f>
        <v>154785</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154785</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41"/>
      <c r="I31" s="2242"/>
      <c r="J31" s="2242"/>
      <c r="K31" s="2242"/>
    </row>
    <row r="32" spans="1:11" x14ac:dyDescent="0.2">
      <c r="A32" s="806"/>
      <c r="B32" s="237"/>
      <c r="C32" s="237"/>
      <c r="D32" s="237"/>
      <c r="E32" s="802"/>
      <c r="F32" s="808" t="s">
        <v>540</v>
      </c>
      <c r="G32" s="761"/>
      <c r="H32" s="2243"/>
      <c r="I32" s="2242"/>
      <c r="J32" s="2242"/>
      <c r="K32" s="2242"/>
    </row>
    <row r="33" spans="1:11" ht="1.5" customHeight="1" x14ac:dyDescent="0.2">
      <c r="A33" s="809" t="s">
        <v>1169</v>
      </c>
      <c r="B33" s="364"/>
      <c r="C33" s="364"/>
      <c r="D33" s="364"/>
      <c r="E33" s="364"/>
      <c r="F33" s="364"/>
      <c r="G33" s="810"/>
      <c r="H33" s="2243"/>
      <c r="I33" s="2242"/>
      <c r="J33" s="2242"/>
      <c r="K33" s="224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8" t="s">
        <v>541</v>
      </c>
      <c r="B41" s="2251"/>
      <c r="C41" s="2251"/>
      <c r="D41" s="2251"/>
      <c r="E41" s="2251"/>
      <c r="F41" s="225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1909</v>
      </c>
      <c r="B1" s="2274"/>
      <c r="C1" s="2275"/>
      <c r="D1" s="823"/>
      <c r="E1" s="824"/>
      <c r="F1" s="824"/>
      <c r="G1" s="825"/>
      <c r="H1" s="826"/>
      <c r="I1" s="827"/>
      <c r="J1" s="2271"/>
      <c r="K1" s="2272"/>
      <c r="L1" s="227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537074</v>
      </c>
      <c r="D5" s="838"/>
      <c r="E5" s="838"/>
      <c r="F5" s="1757">
        <f>(C5+D5)-E5</f>
        <v>537074</v>
      </c>
      <c r="G5" s="834"/>
      <c r="H5" s="839"/>
      <c r="I5" s="839"/>
      <c r="J5" s="839"/>
      <c r="K5" s="790"/>
      <c r="L5" s="1766">
        <f>F5-K5</f>
        <v>537074</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29188067</v>
      </c>
      <c r="D8" s="841">
        <v>51797</v>
      </c>
      <c r="E8" s="841"/>
      <c r="F8" s="1757">
        <f>(C8+D8)-E8</f>
        <v>29239864</v>
      </c>
      <c r="G8" s="840">
        <v>50</v>
      </c>
      <c r="H8" s="762">
        <v>7511101</v>
      </c>
      <c r="I8" s="762">
        <v>584798</v>
      </c>
      <c r="J8" s="762"/>
      <c r="K8" s="1766">
        <f>(H8+I8)-J8</f>
        <v>8095899</v>
      </c>
      <c r="L8" s="1766">
        <f>F8-K8</f>
        <v>21143965</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1670122</v>
      </c>
      <c r="D12" s="841">
        <v>129439</v>
      </c>
      <c r="E12" s="841">
        <v>171559</v>
      </c>
      <c r="F12" s="1757">
        <f>(C12+D12)-E12</f>
        <v>1628002</v>
      </c>
      <c r="G12" s="840">
        <v>10</v>
      </c>
      <c r="H12" s="762">
        <v>836078</v>
      </c>
      <c r="I12" s="762">
        <v>171747</v>
      </c>
      <c r="J12" s="762">
        <v>171559</v>
      </c>
      <c r="K12" s="1766">
        <f>(H12+I12)-J12</f>
        <v>836266</v>
      </c>
      <c r="L12" s="1766">
        <f>F12-K12</f>
        <v>791736</v>
      </c>
    </row>
    <row r="13" spans="1:14" ht="14.25" thickTop="1" thickBot="1" x14ac:dyDescent="0.25">
      <c r="A13" s="845" t="s">
        <v>1122</v>
      </c>
      <c r="B13" s="837">
        <v>252</v>
      </c>
      <c r="C13" s="841">
        <v>50705</v>
      </c>
      <c r="D13" s="841">
        <v>16003</v>
      </c>
      <c r="E13" s="841">
        <v>17098</v>
      </c>
      <c r="F13" s="1757">
        <f>(C13+D13)-E13</f>
        <v>49610</v>
      </c>
      <c r="G13" s="840">
        <v>5</v>
      </c>
      <c r="H13" s="762">
        <v>30423</v>
      </c>
      <c r="I13" s="762">
        <v>9922</v>
      </c>
      <c r="J13" s="762">
        <v>10259</v>
      </c>
      <c r="K13" s="1766">
        <f>(H13+I13)-J13</f>
        <v>30086</v>
      </c>
      <c r="L13" s="1766">
        <f>F13-K13</f>
        <v>19524</v>
      </c>
    </row>
    <row r="14" spans="1:14" ht="14.25" thickTop="1" thickBot="1" x14ac:dyDescent="0.25">
      <c r="A14" s="845" t="s">
        <v>1123</v>
      </c>
      <c r="B14" s="837">
        <v>253</v>
      </c>
      <c r="C14" s="762">
        <v>24456</v>
      </c>
      <c r="D14" s="762"/>
      <c r="E14" s="762"/>
      <c r="F14" s="1757">
        <f>(C14+D14)-E14</f>
        <v>24456</v>
      </c>
      <c r="G14" s="840">
        <v>3</v>
      </c>
      <c r="H14" s="762">
        <v>16304</v>
      </c>
      <c r="I14" s="762">
        <v>8152</v>
      </c>
      <c r="J14" s="762"/>
      <c r="K14" s="1766">
        <f>(H14+I14)-J14</f>
        <v>24456</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31470424</v>
      </c>
      <c r="D16" s="1757">
        <f>SUM(D3,D5:D6,D8:D10,D12:D15)</f>
        <v>197239</v>
      </c>
      <c r="E16" s="1757">
        <f>SUM(E3,E5:E6,E8:E10,E12:E15)</f>
        <v>188657</v>
      </c>
      <c r="F16" s="1757">
        <f>SUM(F3,F5:F6,F8:F10,F12:F15)</f>
        <v>31479006</v>
      </c>
      <c r="G16" s="840"/>
      <c r="H16" s="1757">
        <f>SUM(H3,H6,H8:H10,H12:H14,)</f>
        <v>8393906</v>
      </c>
      <c r="I16" s="1757">
        <f>SUM(I3,I6,I8:I10,I12:I14,)</f>
        <v>774619</v>
      </c>
      <c r="J16" s="1757">
        <f>SUM(J3,J6,J8:J10,J12:J14,)</f>
        <v>181818</v>
      </c>
      <c r="K16" s="1757">
        <f>(H16+I16)-J16</f>
        <v>8986707</v>
      </c>
      <c r="L16" s="1757">
        <f>F16-K16</f>
        <v>22492299</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774619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14" sqref="F1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9" t="s">
        <v>1975</v>
      </c>
      <c r="B1" s="2280"/>
      <c r="C1" s="2280"/>
      <c r="D1" s="2280"/>
      <c r="E1" s="2280"/>
      <c r="F1" s="2281"/>
      <c r="G1" s="852"/>
    </row>
    <row r="2" spans="1:7" ht="15" customHeight="1" thickBot="1" x14ac:dyDescent="0.25">
      <c r="A2" s="2282" t="s">
        <v>477</v>
      </c>
      <c r="B2" s="2283"/>
      <c r="C2" s="2283"/>
      <c r="D2" s="2283"/>
      <c r="E2" s="2283"/>
      <c r="F2" s="228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10806237</v>
      </c>
      <c r="G8" s="862"/>
    </row>
    <row r="9" spans="1:7" x14ac:dyDescent="0.2">
      <c r="A9" s="866" t="s">
        <v>460</v>
      </c>
      <c r="B9" s="867" t="s">
        <v>1877</v>
      </c>
      <c r="C9" s="868"/>
      <c r="D9" s="866" t="s">
        <v>501</v>
      </c>
      <c r="E9" s="865"/>
      <c r="F9" s="1906">
        <f>'Expenditures 15-22'!K151</f>
        <v>642842</v>
      </c>
      <c r="G9" s="869"/>
    </row>
    <row r="10" spans="1:7" x14ac:dyDescent="0.2">
      <c r="A10" s="866" t="s">
        <v>499</v>
      </c>
      <c r="B10" s="867" t="s">
        <v>1878</v>
      </c>
      <c r="C10" s="868"/>
      <c r="D10" s="866" t="s">
        <v>501</v>
      </c>
      <c r="E10" s="865"/>
      <c r="F10" s="1906">
        <f>'Expenditures 15-22'!K174</f>
        <v>1593206</v>
      </c>
      <c r="G10" s="869"/>
    </row>
    <row r="11" spans="1:7" x14ac:dyDescent="0.2">
      <c r="A11" s="866" t="s">
        <v>461</v>
      </c>
      <c r="B11" s="867" t="s">
        <v>1879</v>
      </c>
      <c r="C11" s="868"/>
      <c r="D11" s="866" t="s">
        <v>501</v>
      </c>
      <c r="E11" s="865"/>
      <c r="F11" s="1906">
        <f>'Expenditures 15-22'!K210</f>
        <v>1466171</v>
      </c>
      <c r="G11" s="869"/>
    </row>
    <row r="12" spans="1:7" x14ac:dyDescent="0.2">
      <c r="A12" s="866" t="s">
        <v>462</v>
      </c>
      <c r="B12" s="867" t="s">
        <v>1880</v>
      </c>
      <c r="C12" s="868"/>
      <c r="D12" s="866" t="s">
        <v>501</v>
      </c>
      <c r="E12" s="865"/>
      <c r="F12" s="1906">
        <f>'Expenditures 15-22'!K295</f>
        <v>410099</v>
      </c>
      <c r="G12" s="869"/>
    </row>
    <row r="13" spans="1:7" x14ac:dyDescent="0.2">
      <c r="A13" s="866" t="s">
        <v>106</v>
      </c>
      <c r="B13" s="867" t="s">
        <v>1881</v>
      </c>
      <c r="C13" s="868"/>
      <c r="D13" s="866" t="s">
        <v>501</v>
      </c>
      <c r="E13" s="865"/>
      <c r="F13" s="1906">
        <f>'Expenditures 15-22'!K342</f>
        <v>498236</v>
      </c>
      <c r="G13" s="870"/>
    </row>
    <row r="14" spans="1:7" ht="12" customHeight="1" thickBot="1" x14ac:dyDescent="0.25">
      <c r="A14" s="1767"/>
      <c r="B14" s="1768"/>
      <c r="C14" s="1769"/>
      <c r="D14" s="1770" t="s">
        <v>501</v>
      </c>
      <c r="E14" s="1771" t="s">
        <v>958</v>
      </c>
      <c r="F14" s="1772">
        <f>SUM(F8:F13)</f>
        <v>15416791</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105250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150114</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1000114</v>
      </c>
      <c r="G53" s="862"/>
    </row>
    <row r="54" spans="1:7" x14ac:dyDescent="0.2">
      <c r="A54" s="866" t="s">
        <v>459</v>
      </c>
      <c r="B54" s="866" t="s">
        <v>1476</v>
      </c>
      <c r="C54" s="886" t="s">
        <v>982</v>
      </c>
      <c r="D54" s="882" t="s">
        <v>1095</v>
      </c>
      <c r="E54" s="865"/>
      <c r="F54" s="1910">
        <f>'Expenditures 15-22'!G114</f>
        <v>104693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16449</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635009</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6026</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2017655</v>
      </c>
      <c r="G76" s="862"/>
    </row>
    <row r="77" spans="1:8" s="890" customFormat="1" ht="12" customHeight="1" thickTop="1" thickBot="1" x14ac:dyDescent="0.25">
      <c r="A77" s="1776"/>
      <c r="B77" s="1773"/>
      <c r="C77" s="1769"/>
      <c r="D77" s="1774" t="s">
        <v>1900</v>
      </c>
      <c r="E77" s="1771"/>
      <c r="F77" s="1777">
        <f>(F14-F76)</f>
        <v>13399136</v>
      </c>
      <c r="G77" s="866"/>
    </row>
    <row r="78" spans="1:8" s="890" customFormat="1" ht="12" customHeight="1" thickTop="1" x14ac:dyDescent="0.2">
      <c r="A78" s="1778"/>
      <c r="B78" s="1773"/>
      <c r="C78" s="1769"/>
      <c r="D78" s="1774" t="s">
        <v>2062</v>
      </c>
      <c r="E78" s="1771"/>
      <c r="F78" s="895">
        <v>1222.2</v>
      </c>
      <c r="G78" s="896"/>
      <c r="H78" s="866"/>
    </row>
    <row r="79" spans="1:8" s="890" customFormat="1" ht="12" customHeight="1" thickBot="1" x14ac:dyDescent="0.25">
      <c r="A79" s="1779"/>
      <c r="B79" s="1773"/>
      <c r="C79" s="1769"/>
      <c r="D79" s="1774" t="s">
        <v>1901</v>
      </c>
      <c r="E79" s="1771" t="s">
        <v>958</v>
      </c>
      <c r="F79" s="1780">
        <f>IF(F78&gt;0,F77/F78," Complete Line 78")</f>
        <v>10963.128784159711</v>
      </c>
      <c r="G79" s="866"/>
    </row>
    <row r="80" spans="1:8" s="890" customFormat="1" ht="8.25" customHeight="1" thickTop="1" x14ac:dyDescent="0.2">
      <c r="A80" s="897"/>
      <c r="B80" s="866"/>
      <c r="C80" s="868"/>
      <c r="D80" s="898"/>
      <c r="E80" s="865"/>
      <c r="F80" s="899"/>
      <c r="G80" s="866"/>
    </row>
    <row r="81" spans="1:7" s="890" customFormat="1" ht="12" thickBot="1" x14ac:dyDescent="0.25">
      <c r="A81" s="2276" t="s">
        <v>1105</v>
      </c>
      <c r="B81" s="2277"/>
      <c r="C81" s="2277"/>
      <c r="D81" s="2277"/>
      <c r="E81" s="2277"/>
      <c r="F81" s="227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302739</v>
      </c>
      <c r="G94" s="909"/>
    </row>
    <row r="95" spans="1:7" x14ac:dyDescent="0.2">
      <c r="A95" s="905" t="s">
        <v>140</v>
      </c>
      <c r="B95" s="905" t="s">
        <v>175</v>
      </c>
      <c r="C95" s="907">
        <v>1700</v>
      </c>
      <c r="D95" s="915" t="str">
        <f>'Revenues 9-14'!A82</f>
        <v>Total District/School Activity Income</v>
      </c>
      <c r="E95" s="903"/>
      <c r="F95" s="1786">
        <f>SUM('Revenues 9-14'!C82,'Revenues 9-14'!D82)</f>
        <v>49545</v>
      </c>
      <c r="G95" s="909"/>
    </row>
    <row r="96" spans="1:7" x14ac:dyDescent="0.2">
      <c r="A96" s="905" t="s">
        <v>459</v>
      </c>
      <c r="B96" s="905" t="s">
        <v>176</v>
      </c>
      <c r="C96" s="907">
        <f>'Revenues 9-14'!B84</f>
        <v>1811</v>
      </c>
      <c r="D96" s="908" t="str">
        <f>'Revenues 9-14'!A84</f>
        <v>Rentals - Regular Textbooks</v>
      </c>
      <c r="E96" s="903"/>
      <c r="F96" s="1786">
        <f>'Revenues 9-14'!C84</f>
        <v>68381</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135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101879</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27131</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5260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19649</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868857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2255</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306146</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232617</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17852</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398</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550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42791</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22293</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339892.92</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2408370.92</v>
      </c>
    </row>
    <row r="175" spans="1:7" ht="12" customHeight="1" x14ac:dyDescent="0.2">
      <c r="A175" s="1767"/>
      <c r="B175" s="1781"/>
      <c r="C175" s="1782"/>
      <c r="D175" s="1783" t="s">
        <v>2057</v>
      </c>
      <c r="E175" s="1784"/>
      <c r="F175" s="1786">
        <f>'PCTC-OEPP 27-28'!F77-F174</f>
        <v>10990765.08</v>
      </c>
    </row>
    <row r="176" spans="1:7" ht="12" customHeight="1" x14ac:dyDescent="0.2">
      <c r="A176" s="1767"/>
      <c r="B176" s="1781"/>
      <c r="C176" s="1782"/>
      <c r="D176" s="1783" t="s">
        <v>1817</v>
      </c>
      <c r="E176" s="1784"/>
      <c r="F176" s="1786">
        <f>'Cap Outlay Deprec 26'!I18</f>
        <v>774619</v>
      </c>
    </row>
    <row r="177" spans="1:7" ht="12" customHeight="1" x14ac:dyDescent="0.2">
      <c r="A177" s="1767"/>
      <c r="B177" s="1781"/>
      <c r="C177" s="1782"/>
      <c r="D177" s="1783" t="s">
        <v>2058</v>
      </c>
      <c r="E177" s="1784"/>
      <c r="F177" s="1786">
        <f>F175+F176</f>
        <v>11765384.08</v>
      </c>
    </row>
    <row r="178" spans="1:7" ht="12" customHeight="1" x14ac:dyDescent="0.2">
      <c r="A178" s="1767"/>
      <c r="B178" s="1787"/>
      <c r="C178" s="1782"/>
      <c r="D178" s="1783" t="str">
        <f>D78</f>
        <v>9 Month ADA from District Average Daily Attendance/Prior General State Aid Inquiry 2018-2019</v>
      </c>
      <c r="E178" s="1784"/>
      <c r="F178" s="1788">
        <f>'PCTC-OEPP 27-28'!F78</f>
        <v>1222.2</v>
      </c>
      <c r="G178" s="927"/>
    </row>
    <row r="179" spans="1:7" ht="12" customHeight="1" thickBot="1" x14ac:dyDescent="0.25">
      <c r="A179" s="1767"/>
      <c r="B179" s="1787"/>
      <c r="C179" s="1782"/>
      <c r="D179" s="1783" t="s">
        <v>2059</v>
      </c>
      <c r="E179" s="1784" t="s">
        <v>1545</v>
      </c>
      <c r="F179" s="1789">
        <f>F177/F178</f>
        <v>9626.3983636066114</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F14" sqref="F14"/>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90" t="s">
        <v>1818</v>
      </c>
      <c r="B4" s="2291"/>
      <c r="C4" s="2291"/>
      <c r="D4" s="2291"/>
      <c r="E4" s="2291"/>
      <c r="F4" s="2291"/>
      <c r="G4" s="2292"/>
    </row>
    <row r="5" spans="1:7" x14ac:dyDescent="0.25">
      <c r="A5" s="2293"/>
      <c r="B5" s="2294"/>
      <c r="C5" s="2294"/>
      <c r="D5" s="2294"/>
      <c r="E5" s="2294"/>
      <c r="F5" s="2294"/>
      <c r="G5" s="2295"/>
    </row>
    <row r="6" spans="1:7" ht="18.75" x14ac:dyDescent="0.25">
      <c r="A6" s="1531" t="s">
        <v>1819</v>
      </c>
      <c r="B6" s="1532"/>
      <c r="C6" s="1532"/>
      <c r="D6" s="1532"/>
      <c r="E6" s="1532"/>
      <c r="F6" s="1532"/>
      <c r="G6" s="1533"/>
    </row>
    <row r="7" spans="1:7" ht="30.75" customHeight="1" x14ac:dyDescent="0.25">
      <c r="A7" s="2296" t="s">
        <v>1932</v>
      </c>
      <c r="B7" s="2297"/>
      <c r="C7" s="2297"/>
      <c r="D7" s="2297"/>
      <c r="E7" s="2297"/>
      <c r="F7" s="2297"/>
      <c r="G7" s="2298"/>
    </row>
    <row r="8" spans="1:7" ht="15.75" customHeight="1" x14ac:dyDescent="0.25">
      <c r="A8" s="2299" t="s">
        <v>1907</v>
      </c>
      <c r="B8" s="2300"/>
      <c r="C8" s="2300"/>
      <c r="D8" s="2300"/>
      <c r="E8" s="2300"/>
      <c r="F8" s="2300"/>
      <c r="G8" s="2301"/>
    </row>
    <row r="9" spans="1:7" ht="35.25" customHeight="1" x14ac:dyDescent="0.25">
      <c r="A9" s="2296" t="s">
        <v>1935</v>
      </c>
      <c r="B9" s="2297"/>
      <c r="C9" s="2297"/>
      <c r="D9" s="2297"/>
      <c r="E9" s="2297"/>
      <c r="F9" s="2297"/>
      <c r="G9" s="2298"/>
    </row>
    <row r="10" spans="1:7" ht="15" customHeight="1" x14ac:dyDescent="0.25">
      <c r="A10" s="1534" t="s">
        <v>1820</v>
      </c>
      <c r="B10" s="1535"/>
      <c r="C10" s="1535"/>
      <c r="D10" s="1535"/>
      <c r="E10" s="1535"/>
      <c r="F10" s="1535"/>
      <c r="G10" s="1536"/>
    </row>
    <row r="11" spans="1:7" ht="17.25" customHeight="1" x14ac:dyDescent="0.25">
      <c r="A11" s="2296" t="s">
        <v>1934</v>
      </c>
      <c r="B11" s="2297"/>
      <c r="C11" s="2297"/>
      <c r="D11" s="2297"/>
      <c r="E11" s="2297"/>
      <c r="F11" s="2297"/>
      <c r="G11" s="2298"/>
    </row>
    <row r="12" spans="1:7" ht="15" customHeight="1" x14ac:dyDescent="0.25">
      <c r="A12" s="1534" t="s">
        <v>1825</v>
      </c>
      <c r="B12" s="1535"/>
      <c r="C12" s="1535"/>
      <c r="D12" s="1535"/>
      <c r="E12" s="1535"/>
      <c r="F12" s="1535"/>
      <c r="G12" s="1536"/>
    </row>
    <row r="13" spans="1:7" ht="32.25" customHeight="1" x14ac:dyDescent="0.25">
      <c r="A13" s="2287" t="s">
        <v>1976</v>
      </c>
      <c r="B13" s="2288"/>
      <c r="C13" s="2288"/>
      <c r="D13" s="2288"/>
      <c r="E13" s="2288"/>
      <c r="F13" s="2288"/>
      <c r="G13" s="2289"/>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2088</v>
      </c>
      <c r="B17" s="1935" t="s">
        <v>2089</v>
      </c>
      <c r="C17" s="1936" t="s">
        <v>2090</v>
      </c>
      <c r="D17" s="1841">
        <v>971050.43</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946050.43</v>
      </c>
      <c r="H17" s="1644"/>
    </row>
    <row r="18" spans="1:8" x14ac:dyDescent="0.25">
      <c r="A18" s="1934"/>
      <c r="B18" s="1935"/>
      <c r="C18" s="1936"/>
      <c r="D18" s="1841"/>
      <c r="E18" s="1537">
        <f t="shared" ref="E18:E140" si="2">IF(D18&lt;=25000,D18,IF(D18&gt;25000,25000,0))</f>
        <v>0</v>
      </c>
      <c r="F18" s="1929">
        <f t="shared" si="1"/>
        <v>0</v>
      </c>
      <c r="G18" s="1790">
        <f t="shared" ref="G18:G140" si="3">IF(F18=0,0,D18-F18)</f>
        <v>0</v>
      </c>
    </row>
    <row r="19" spans="1:8" x14ac:dyDescent="0.25">
      <c r="A19" s="1934"/>
      <c r="B19" s="1935"/>
      <c r="C19" s="1936"/>
      <c r="D19" s="1841"/>
      <c r="E19" s="1537">
        <f t="shared" si="2"/>
        <v>0</v>
      </c>
      <c r="F19" s="1929">
        <f t="shared" si="1"/>
        <v>0</v>
      </c>
      <c r="G19" s="1790">
        <f t="shared" si="3"/>
        <v>0</v>
      </c>
    </row>
    <row r="20" spans="1:8" x14ac:dyDescent="0.25">
      <c r="A20" s="1934"/>
      <c r="B20" s="1935"/>
      <c r="C20" s="1936"/>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971050.43</v>
      </c>
      <c r="E141" s="1538">
        <f t="shared" si="0"/>
        <v>25000</v>
      </c>
      <c r="F141" s="1930">
        <f>SUM(F17:F140)</f>
        <v>25000</v>
      </c>
      <c r="G141" s="1792">
        <f>SUM(G17:G140)</f>
        <v>946050.43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2" t="s">
        <v>1679</v>
      </c>
      <c r="B5" s="2303"/>
      <c r="C5" s="2303"/>
      <c r="D5" s="2303"/>
      <c r="E5" s="2303"/>
      <c r="F5" s="2303"/>
      <c r="G5" s="2304"/>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209717</v>
      </c>
      <c r="F10" s="971"/>
      <c r="G10" s="972"/>
      <c r="H10" s="162"/>
      <c r="I10" s="162"/>
    </row>
    <row r="11" spans="1:9" s="665" customFormat="1" ht="22.5" customHeight="1" x14ac:dyDescent="0.2">
      <c r="A11" s="2307" t="s">
        <v>1977</v>
      </c>
      <c r="B11" s="2308"/>
      <c r="C11" s="2308"/>
      <c r="D11" s="2309"/>
      <c r="E11" s="974">
        <v>49733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6658195</v>
      </c>
      <c r="F19" s="1796"/>
      <c r="G19" s="1798">
        <f>'Expenditures 15-22'!K33-SUM('Expenditures 15-22'!G33,'Expenditures 15-22'!I33)+'Expenditures 15-22'!D229</f>
        <v>6658195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232379</v>
      </c>
      <c r="F21" s="1799"/>
      <c r="G21" s="1802">
        <f>'Expenditures 15-22'!K42-SUM('Expenditures 15-22'!G42,'Expenditures 15-22'!I42)+'Expenditures 15-22'!K120-SUM('Expenditures 15-22'!G120,'Expenditures 15-22'!I120)+'Expenditures 15-22'!K180-SUM('Expenditures 15-22'!G180,'Expenditures 15-22'!I180)+'Expenditures 15-22'!D238</f>
        <v>232379</v>
      </c>
      <c r="H21" s="984"/>
      <c r="I21" s="162"/>
    </row>
    <row r="22" spans="1:9" s="665" customFormat="1" ht="12" customHeight="1" x14ac:dyDescent="0.2">
      <c r="A22" s="991" t="s">
        <v>564</v>
      </c>
      <c r="B22" s="992"/>
      <c r="C22" s="990">
        <v>2200</v>
      </c>
      <c r="D22" s="1799"/>
      <c r="E22" s="1801">
        <f>'Expenditures 15-22'!K47-SUM('Expenditures 15-22'!G47,'Expenditures 15-22'!I47)+'Expenditures 15-22'!D243</f>
        <v>239661</v>
      </c>
      <c r="F22" s="1799"/>
      <c r="G22" s="1802">
        <f>'Expenditures 15-22'!K47-SUM('Expenditures 15-22'!G47,'Expenditures 15-22'!I47)+'Expenditures 15-22'!D243</f>
        <v>239661</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976399</v>
      </c>
      <c r="F23" s="1799"/>
      <c r="G23" s="1801">
        <f>'Expenditures 15-22'!K53-SUM('Expenditures 15-22'!G53,'Expenditures 15-22'!I53)+'Expenditures 15-22'!D257+'Expenditures 15-22'!K330-SUM('Expenditures 15-22'!G330,'Expenditures 15-22'!I330)</f>
        <v>976399</v>
      </c>
      <c r="H23" s="984"/>
      <c r="I23" s="162"/>
    </row>
    <row r="24" spans="1:9" s="665" customFormat="1" ht="12" customHeight="1" x14ac:dyDescent="0.2">
      <c r="A24" s="991" t="s">
        <v>566</v>
      </c>
      <c r="B24" s="992"/>
      <c r="C24" s="990">
        <v>2400</v>
      </c>
      <c r="D24" s="1799"/>
      <c r="E24" s="1801">
        <f>'Expenditures 15-22'!K57-SUM('Expenditures 15-22'!G57,'Expenditures 15-22'!I57)+'Expenditures 15-22'!D261</f>
        <v>668270</v>
      </c>
      <c r="F24" s="1799"/>
      <c r="G24" s="1802">
        <f>'Expenditures 15-22'!K57-SUM('Expenditures 15-22'!G57,'Expenditures 15-22'!I57)+'Expenditures 15-22'!D261</f>
        <v>668270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84673</v>
      </c>
      <c r="E27" s="1801">
        <f>E8</f>
        <v>0</v>
      </c>
      <c r="F27" s="1801">
        <f>'Expenditures 15-22'!K60-SUM('Expenditures 15-22'!G60,'Expenditures 15-22'!I60)+'Expenditures 15-22'!D264-E8</f>
        <v>84673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1359713</v>
      </c>
      <c r="F28" s="1803">
        <f>'Expenditures 15-22'!K61-SUM('Expenditures 15-22'!G61,'Expenditures 15-22'!I61)+'Expenditures 15-22'!K124-SUM('Expenditures 15-22'!G124,'Expenditures 15-22'!I124)+'Expenditures 15-22'!D266-E9</f>
        <v>1359713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1475334</v>
      </c>
      <c r="F29" s="1799"/>
      <c r="G29" s="1802">
        <f>'Expenditures 15-22'!K62-SUM('Expenditures 15-22'!G62,'Expenditures 15-22'!I62)+'Expenditures 15-22'!K125-SUM('Expenditures 15-22'!G125,'Expenditures 15-22'!I125)+'Expenditures 15-22'!K182-SUM('Expenditures 15-22'!G182,'Expenditures 15-22'!I182)+'Expenditures 15-22'!D267</f>
        <v>1475334</v>
      </c>
      <c r="H29" s="982"/>
    </row>
    <row r="30" spans="1:9" ht="12" customHeight="1" x14ac:dyDescent="0.2">
      <c r="A30" s="991" t="s">
        <v>100</v>
      </c>
      <c r="B30" s="994"/>
      <c r="C30" s="990">
        <v>2560</v>
      </c>
      <c r="D30" s="1799"/>
      <c r="E30" s="1801">
        <f>'Expenditures 15-22'!K63-SUM('Expenditures 15-22'!G63,'Expenditures 15-22'!I63)+'Expenditures 15-22'!D268-E10</f>
        <v>453316</v>
      </c>
      <c r="F30" s="1799"/>
      <c r="G30" s="1801">
        <f>'Expenditures 15-22'!K63-SUM('Expenditures 15-22'!G63,'Expenditures 15-22'!I63)+'Expenditures 15-22'!D268-E10</f>
        <v>453316</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310899</v>
      </c>
      <c r="E37" s="1801">
        <f>E14</f>
        <v>0</v>
      </c>
      <c r="F37" s="1801">
        <f>'Expenditures 15-22'!K71-SUM('Expenditures 15-22'!G71,'Expenditures 15-22'!I71)+'Expenditures 15-22'!D276-E14</f>
        <v>310899</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-946050.43</v>
      </c>
      <c r="F40" s="1799"/>
      <c r="G40" s="1803">
        <f>-'Contracts Paid in CY 29'!G141</f>
        <v>-946050.43</v>
      </c>
    </row>
    <row r="41" spans="1:7" ht="12" customHeight="1" x14ac:dyDescent="0.2">
      <c r="A41" s="995" t="s">
        <v>156</v>
      </c>
      <c r="B41" s="996"/>
      <c r="C41" s="997"/>
      <c r="D41" s="1803">
        <f>SUM(D19:D39)</f>
        <v>395572</v>
      </c>
      <c r="E41" s="1803">
        <f>SUM(E19:E40)</f>
        <v>11117216.57</v>
      </c>
      <c r="F41" s="1803">
        <f>SUM(F19:F39)</f>
        <v>1755285</v>
      </c>
      <c r="G41" s="1803">
        <f>SUM(G19:G40)</f>
        <v>9757503.5700000003</v>
      </c>
    </row>
    <row r="42" spans="1:7" x14ac:dyDescent="0.2">
      <c r="A42" s="984"/>
      <c r="B42" s="162"/>
      <c r="C42" s="998"/>
      <c r="D42" s="2305" t="s">
        <v>522</v>
      </c>
      <c r="E42" s="2306"/>
      <c r="F42" s="999" t="s">
        <v>523</v>
      </c>
      <c r="G42" s="1000"/>
    </row>
    <row r="43" spans="1:7" ht="12" customHeight="1" x14ac:dyDescent="0.2">
      <c r="A43" s="984"/>
      <c r="B43" s="162"/>
      <c r="C43" s="998"/>
      <c r="D43" s="1804" t="s">
        <v>473</v>
      </c>
      <c r="E43" s="1805">
        <f>D41</f>
        <v>395572</v>
      </c>
      <c r="F43" s="1804" t="s">
        <v>473</v>
      </c>
      <c r="G43" s="1805">
        <f>F41</f>
        <v>1755285</v>
      </c>
    </row>
    <row r="44" spans="1:7" ht="12" customHeight="1" x14ac:dyDescent="0.2">
      <c r="A44" s="984"/>
      <c r="B44" s="162"/>
      <c r="C44" s="998"/>
      <c r="D44" s="1804" t="s">
        <v>474</v>
      </c>
      <c r="E44" s="1805">
        <f>E41</f>
        <v>11117216.57</v>
      </c>
      <c r="F44" s="1804" t="s">
        <v>474</v>
      </c>
      <c r="G44" s="1805">
        <f>G41</f>
        <v>9757503.5700000003</v>
      </c>
    </row>
    <row r="45" spans="1:7" ht="12" customHeight="1" x14ac:dyDescent="0.2">
      <c r="A45" s="984"/>
      <c r="B45" s="162"/>
      <c r="C45" s="162"/>
      <c r="D45" s="1806" t="s">
        <v>1006</v>
      </c>
      <c r="E45" s="1807">
        <f>(E43/E44)</f>
        <v>3.5581928040104738E-2</v>
      </c>
      <c r="F45" s="1806" t="s">
        <v>1006</v>
      </c>
      <c r="G45" s="1807">
        <f>(G43/G44)</f>
        <v>0.17989078737277878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4" t="s">
        <v>1379</v>
      </c>
      <c r="B1" s="2324"/>
      <c r="C1" s="2324"/>
      <c r="D1" s="2324"/>
      <c r="E1" s="2324"/>
      <c r="F1" s="2324"/>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5" t="s">
        <v>1546</v>
      </c>
      <c r="B5" s="2326"/>
      <c r="C5" s="2327"/>
      <c r="D5" s="2327"/>
      <c r="E5" s="2327"/>
      <c r="F5" s="2327"/>
    </row>
    <row r="6" spans="1:10" ht="12" customHeight="1" x14ac:dyDescent="0.25">
      <c r="A6" s="1847"/>
      <c r="B6" s="1848"/>
      <c r="C6" s="2328" t="str">
        <f>COVER!A17</f>
        <v>Farmington Central CUSD 265</v>
      </c>
      <c r="D6" s="2328"/>
      <c r="E6" s="2328"/>
      <c r="F6" s="1849"/>
    </row>
    <row r="7" spans="1:10" ht="11.25" customHeight="1" thickBot="1" x14ac:dyDescent="0.3">
      <c r="A7" s="1847"/>
      <c r="B7" s="1848"/>
      <c r="C7" s="2329">
        <f>COVER!A13</f>
        <v>48072265026</v>
      </c>
      <c r="D7" s="2329"/>
      <c r="E7" s="2329"/>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2087</v>
      </c>
      <c r="H15" s="1875">
        <f t="shared" si="0"/>
        <v>5</v>
      </c>
      <c r="I15" s="1875">
        <f t="shared" si="1"/>
        <v>5</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t="s">
        <v>2070</v>
      </c>
      <c r="D27" s="1862" t="s">
        <v>2070</v>
      </c>
      <c r="E27" s="1865"/>
      <c r="F27" s="1864" t="s">
        <v>2086</v>
      </c>
      <c r="H27" s="1875">
        <f t="shared" si="0"/>
        <v>5</v>
      </c>
      <c r="I27" s="1875">
        <f t="shared" si="1"/>
        <v>5</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2070</v>
      </c>
      <c r="D31" s="1862" t="s">
        <v>2070</v>
      </c>
      <c r="E31" s="1865"/>
      <c r="F31" s="1864" t="s">
        <v>2085</v>
      </c>
      <c r="H31" s="1875">
        <f t="shared" si="0"/>
        <v>5</v>
      </c>
      <c r="I31" s="1875">
        <f t="shared" si="1"/>
        <v>5</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1392</v>
      </c>
      <c r="B35" s="1869"/>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70"/>
      <c r="B39" s="1870"/>
      <c r="C39" s="1870"/>
      <c r="D39" s="1870"/>
      <c r="E39" s="1870"/>
      <c r="F39" s="1870"/>
    </row>
    <row r="40" spans="1:11" s="1867" customFormat="1" ht="12" customHeight="1" x14ac:dyDescent="0.25">
      <c r="A40" s="1871" t="s">
        <v>1391</v>
      </c>
      <c r="B40" s="1872"/>
      <c r="C40" s="2319"/>
      <c r="D40" s="2319"/>
      <c r="E40" s="2319"/>
      <c r="F40" s="2320"/>
      <c r="H40" s="1876"/>
      <c r="I40" s="1876"/>
      <c r="J40" s="1876"/>
      <c r="K40" s="1876"/>
    </row>
    <row r="41" spans="1:11" s="1867" customFormat="1" ht="12" customHeight="1" x14ac:dyDescent="0.25">
      <c r="A41" s="2321"/>
      <c r="B41" s="2322"/>
      <c r="C41" s="2322"/>
      <c r="D41" s="2322"/>
      <c r="E41" s="2322"/>
      <c r="F41" s="2323"/>
      <c r="H41" s="1876"/>
      <c r="I41" s="1876"/>
      <c r="J41" s="1876"/>
      <c r="K41" s="1876"/>
    </row>
    <row r="42" spans="1:11" s="1867" customFormat="1" ht="12" customHeight="1" x14ac:dyDescent="0.25">
      <c r="A42" s="2321"/>
      <c r="B42" s="2322"/>
      <c r="C42" s="2322"/>
      <c r="D42" s="2322"/>
      <c r="E42" s="2322"/>
      <c r="F42" s="2323"/>
      <c r="H42" s="1876"/>
      <c r="I42" s="1876"/>
      <c r="J42" s="1876"/>
      <c r="K42" s="1876"/>
    </row>
    <row r="43" spans="1:11" s="1867" customFormat="1" ht="15" x14ac:dyDescent="0.25">
      <c r="A43" s="2310"/>
      <c r="B43" s="2311"/>
      <c r="C43" s="2311"/>
      <c r="D43" s="2311"/>
      <c r="E43" s="2311"/>
      <c r="F43" s="2312"/>
      <c r="H43" s="1876"/>
      <c r="I43" s="1876"/>
      <c r="J43" s="1876"/>
      <c r="K43" s="1876"/>
    </row>
    <row r="44" spans="1:11" s="1867" customFormat="1" ht="12" hidden="1" customHeight="1" x14ac:dyDescent="0.25">
      <c r="A44" s="2310"/>
      <c r="B44" s="2311"/>
      <c r="C44" s="2311"/>
      <c r="D44" s="2311"/>
      <c r="E44" s="2311"/>
      <c r="F44" s="2312"/>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7" t="str">
        <f>COVER!A17</f>
        <v>Farmington Central CUSD 265</v>
      </c>
      <c r="J6" s="2338"/>
      <c r="Q6" s="1661"/>
    </row>
    <row r="7" spans="1:17" x14ac:dyDescent="0.2">
      <c r="A7" s="2339" t="s">
        <v>869</v>
      </c>
      <c r="B7" s="2340"/>
      <c r="C7" s="2340"/>
      <c r="D7" s="2340"/>
      <c r="E7" s="2341"/>
      <c r="F7" s="1014"/>
      <c r="G7" s="1006"/>
      <c r="H7" s="1013" t="s">
        <v>372</v>
      </c>
      <c r="I7" s="2342">
        <f>COVER!A13</f>
        <v>48072265026</v>
      </c>
      <c r="J7" s="2342"/>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3" t="s">
        <v>481</v>
      </c>
      <c r="B11" s="2344"/>
      <c r="C11" s="234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302329</v>
      </c>
      <c r="F12" s="1036"/>
      <c r="G12" s="1808">
        <f t="shared" ref="G12:G18" si="0">SUM(E12:F12)</f>
        <v>302329</v>
      </c>
      <c r="H12" s="1037">
        <v>320162</v>
      </c>
      <c r="I12" s="1036"/>
      <c r="J12" s="1808">
        <f t="shared" ref="J12:J18" si="1">SUM(H12:I12)</f>
        <v>320162</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6" t="s">
        <v>7</v>
      </c>
      <c r="C18" s="2347"/>
      <c r="D18" s="2348"/>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302329</v>
      </c>
      <c r="F19" s="1810">
        <f t="shared" si="2"/>
        <v>0</v>
      </c>
      <c r="G19" s="1810">
        <f t="shared" si="2"/>
        <v>302329</v>
      </c>
      <c r="H19" s="1810">
        <f t="shared" si="2"/>
        <v>320162</v>
      </c>
      <c r="I19" s="1810">
        <f t="shared" si="2"/>
        <v>0</v>
      </c>
      <c r="J19" s="1810">
        <f t="shared" si="2"/>
        <v>320162</v>
      </c>
    </row>
    <row r="20" spans="1:10" ht="13.5" thickTop="1" x14ac:dyDescent="0.2">
      <c r="A20" s="1032">
        <v>9</v>
      </c>
      <c r="B20" s="2349" t="s">
        <v>1981</v>
      </c>
      <c r="C20" s="2349"/>
      <c r="D20" s="2350"/>
      <c r="E20" s="1043"/>
      <c r="F20" s="1043"/>
      <c r="G20" s="1043"/>
      <c r="H20" s="1043"/>
      <c r="I20" s="1043"/>
      <c r="J20" s="1811">
        <f>IF(AND(G19&gt;0,J19&gt;0),(((J19-G19)/G19)),"Enter Budget Data")</f>
        <v>5.8985409934210746E-2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5"/>
      <c r="D26" s="2355"/>
      <c r="E26" s="1047"/>
      <c r="F26" s="2354"/>
      <c r="G26" s="2354"/>
    </row>
    <row r="27" spans="1:10" x14ac:dyDescent="0.2">
      <c r="B27" s="1044"/>
      <c r="C27" s="1048" t="s">
        <v>1033</v>
      </c>
      <c r="D27" s="1049"/>
      <c r="E27" s="1050"/>
      <c r="F27" s="2351" t="s">
        <v>1509</v>
      </c>
      <c r="G27" s="2351"/>
    </row>
    <row r="28" spans="1:10" ht="28.5" customHeight="1" x14ac:dyDescent="0.2">
      <c r="B28" s="1044"/>
      <c r="C28" s="2353"/>
      <c r="D28" s="2353"/>
      <c r="E28" s="1051"/>
      <c r="F28" s="2353"/>
      <c r="G28" s="2353"/>
    </row>
    <row r="29" spans="1:10" x14ac:dyDescent="0.2">
      <c r="B29" s="1044"/>
      <c r="C29" s="1052" t="s">
        <v>1561</v>
      </c>
      <c r="E29" s="1053"/>
      <c r="F29" s="2352" t="s">
        <v>1510</v>
      </c>
      <c r="G29" s="235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9"/>
    </row>
    <row r="36" spans="1:10" ht="13.5" customHeight="1" x14ac:dyDescent="0.2">
      <c r="B36" s="1058"/>
      <c r="C36" s="2336" t="s">
        <v>1983</v>
      </c>
      <c r="D36" s="2335"/>
      <c r="E36" s="2335"/>
      <c r="F36" s="2335"/>
      <c r="G36" s="2335"/>
      <c r="H36" s="2335"/>
      <c r="I36" s="2335"/>
      <c r="J36" s="1060"/>
    </row>
    <row r="37" spans="1:10" ht="22.5" customHeight="1" x14ac:dyDescent="0.2">
      <c r="C37" s="2335"/>
      <c r="D37" s="2335"/>
      <c r="E37" s="2335"/>
      <c r="F37" s="2335"/>
      <c r="G37" s="2335"/>
      <c r="H37" s="2335"/>
      <c r="I37" s="2335"/>
      <c r="J37" s="1060"/>
    </row>
    <row r="38" spans="1:10" ht="7.5" customHeight="1" x14ac:dyDescent="0.2">
      <c r="C38" s="1059"/>
      <c r="D38" s="1061"/>
      <c r="E38" s="1062"/>
      <c r="F38" s="1063"/>
      <c r="G38" s="1062"/>
    </row>
    <row r="39" spans="1:10" ht="13.5" customHeight="1" x14ac:dyDescent="0.2">
      <c r="B39" s="1058" t="s">
        <v>2070</v>
      </c>
      <c r="C39" s="2332" t="s">
        <v>882</v>
      </c>
      <c r="D39" s="2333"/>
      <c r="E39" s="2333"/>
      <c r="F39" s="2333"/>
      <c r="G39" s="2333"/>
      <c r="H39" s="2333"/>
      <c r="I39" s="233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2136</v>
      </c>
    </row>
    <row r="6" spans="1:2" x14ac:dyDescent="0.2">
      <c r="A6" s="1065">
        <v>2</v>
      </c>
      <c r="B6" s="329" t="s">
        <v>2145</v>
      </c>
    </row>
    <row r="7" spans="1:2" x14ac:dyDescent="0.2">
      <c r="A7" s="1065">
        <v>3</v>
      </c>
      <c r="B7" s="329" t="s">
        <v>2137</v>
      </c>
    </row>
    <row r="8" spans="1:2" x14ac:dyDescent="0.2">
      <c r="A8" s="1065"/>
      <c r="B8" s="329" t="s">
        <v>2138</v>
      </c>
    </row>
    <row r="9" spans="1:2" x14ac:dyDescent="0.2">
      <c r="A9" s="1066"/>
      <c r="B9" s="329" t="s">
        <v>2139</v>
      </c>
    </row>
    <row r="10" spans="1:2" x14ac:dyDescent="0.2">
      <c r="A10" s="1066"/>
      <c r="B10" s="329" t="s">
        <v>2140</v>
      </c>
    </row>
    <row r="11" spans="1:2" x14ac:dyDescent="0.2">
      <c r="A11" s="1065">
        <v>4</v>
      </c>
      <c r="B11" s="329" t="s">
        <v>2141</v>
      </c>
    </row>
    <row r="12" spans="1:2" x14ac:dyDescent="0.2">
      <c r="A12" s="1065">
        <v>5</v>
      </c>
      <c r="B12" s="329" t="s">
        <v>2142</v>
      </c>
    </row>
    <row r="13" spans="1:2" x14ac:dyDescent="0.2">
      <c r="A13" s="1065">
        <v>6</v>
      </c>
      <c r="B13" s="329" t="s">
        <v>2143</v>
      </c>
    </row>
    <row r="14" spans="1:2" x14ac:dyDescent="0.2">
      <c r="A14" s="1065">
        <v>7</v>
      </c>
      <c r="B14" s="329" t="s">
        <v>2146</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Farmington Central CUSD 265</v>
      </c>
    </row>
    <row r="65" spans="2:2" x14ac:dyDescent="0.2">
      <c r="B65" s="1067">
        <f>COVER!A13</f>
        <v>48072265026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6" t="s">
        <v>1685</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1985" r:id="rId4">
          <objectPr defaultSize="0" r:id="rId5">
            <anchor moveWithCells="1">
              <from>
                <xdr:col>1</xdr:col>
                <xdr:colOff>447675</xdr:colOff>
                <xdr:row>3</xdr:row>
                <xdr:rowOff>0</xdr:rowOff>
              </from>
              <to>
                <xdr:col>1</xdr:col>
                <xdr:colOff>1362075</xdr:colOff>
                <xdr:row>7</xdr:row>
                <xdr:rowOff>38100</xdr:rowOff>
              </to>
            </anchor>
          </objectPr>
        </oleObject>
      </mc:Choice>
      <mc:Fallback>
        <oleObject progId="Acrobat Document" dvAspect="DVASPECT_ICON" shapeId="41985" r:id="rId4"/>
      </mc:Fallback>
    </mc:AlternateContent>
    <mc:AlternateContent xmlns:mc="http://schemas.openxmlformats.org/markup-compatibility/2006">
      <mc:Choice Requires="x14">
        <oleObject progId="Acrobat Document" dvAspect="DVASPECT_ICON" shapeId="41986" r:id="rId6">
          <objectPr defaultSize="0" r:id="rId7">
            <anchor moveWithCells="1">
              <from>
                <xdr:col>1</xdr:col>
                <xdr:colOff>1571625</xdr:colOff>
                <xdr:row>3</xdr:row>
                <xdr:rowOff>28575</xdr:rowOff>
              </from>
              <to>
                <xdr:col>1</xdr:col>
                <xdr:colOff>2486025</xdr:colOff>
                <xdr:row>7</xdr:row>
                <xdr:rowOff>66675</xdr:rowOff>
              </to>
            </anchor>
          </objectPr>
        </oleObject>
      </mc:Choice>
      <mc:Fallback>
        <oleObject progId="Acrobat Document" dvAspect="DVASPECT_ICON" shapeId="4198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1987</v>
      </c>
      <c r="B2" s="2368"/>
      <c r="C2" s="2368"/>
      <c r="D2" s="2368"/>
      <c r="E2" s="2368"/>
      <c r="F2" s="2369"/>
      <c r="G2" s="1071"/>
      <c r="H2" s="1071"/>
    </row>
    <row r="3" spans="1:8" ht="57" customHeight="1" x14ac:dyDescent="0.2">
      <c r="A3" s="2370" t="s">
        <v>1686</v>
      </c>
      <c r="B3" s="2371"/>
      <c r="C3" s="2371"/>
      <c r="D3" s="2371"/>
      <c r="E3" s="2371"/>
      <c r="F3" s="2372"/>
      <c r="G3" s="1071"/>
      <c r="H3" s="1071"/>
    </row>
    <row r="4" spans="1:8" ht="14.25" customHeight="1" x14ac:dyDescent="0.2">
      <c r="A4" s="2376" t="s">
        <v>1988</v>
      </c>
      <c r="B4" s="2377"/>
      <c r="C4" s="2377"/>
      <c r="D4" s="2377"/>
      <c r="E4" s="2377"/>
      <c r="F4" s="2378"/>
      <c r="G4" s="1071"/>
      <c r="H4" s="1071"/>
    </row>
    <row r="5" spans="1:8" ht="14.25" customHeight="1" x14ac:dyDescent="0.2">
      <c r="A5" s="2379" t="s">
        <v>1984</v>
      </c>
      <c r="B5" s="2380"/>
      <c r="C5" s="2380"/>
      <c r="D5" s="2380"/>
      <c r="E5" s="2380"/>
      <c r="F5" s="2381"/>
      <c r="G5" s="1071"/>
      <c r="H5" s="1071"/>
    </row>
    <row r="6" spans="1:8" s="1072" customFormat="1" ht="41.25" customHeight="1" x14ac:dyDescent="0.2">
      <c r="A6" s="2373" t="s">
        <v>1691</v>
      </c>
      <c r="B6" s="2374"/>
      <c r="C6" s="2374"/>
      <c r="D6" s="2374"/>
      <c r="E6" s="2374"/>
      <c r="F6" s="237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9523740</v>
      </c>
      <c r="C8" s="1812">
        <f>'Acct Summary 7-8'!D8</f>
        <v>725978</v>
      </c>
      <c r="D8" s="1812">
        <f>'Acct Summary 7-8'!F8</f>
        <v>1419753</v>
      </c>
      <c r="E8" s="1812">
        <f>'Acct Summary 7-8'!I8</f>
        <v>93784</v>
      </c>
      <c r="F8" s="1812">
        <f>SUM(B8:E8)</f>
        <v>11763255</v>
      </c>
    </row>
    <row r="9" spans="1:8" s="1076" customFormat="1" ht="14.25" customHeight="1" thickBot="1" x14ac:dyDescent="0.25">
      <c r="A9" s="1075" t="s">
        <v>1369</v>
      </c>
      <c r="B9" s="1813">
        <f>'Acct Summary 7-8'!C17</f>
        <v>10806237</v>
      </c>
      <c r="C9" s="1813">
        <f>'Acct Summary 7-8'!D17</f>
        <v>642842</v>
      </c>
      <c r="D9" s="1813">
        <f>'Acct Summary 7-8'!F17</f>
        <v>1466171</v>
      </c>
      <c r="E9" s="1812"/>
      <c r="F9" s="1812">
        <f>SUM(B9:E9)</f>
        <v>12915250</v>
      </c>
    </row>
    <row r="10" spans="1:8" s="1076" customFormat="1" ht="14.25" thickTop="1" thickBot="1" x14ac:dyDescent="0.25">
      <c r="A10" s="1077" t="s">
        <v>1370</v>
      </c>
      <c r="B10" s="1814">
        <f>(B8-B9)</f>
        <v>-1282497</v>
      </c>
      <c r="C10" s="1814">
        <f>(C8-C9)</f>
        <v>83136</v>
      </c>
      <c r="D10" s="1814">
        <f>(D8-D9)</f>
        <v>-46418</v>
      </c>
      <c r="E10" s="1813">
        <f>(E8-E9)</f>
        <v>93784</v>
      </c>
      <c r="F10" s="1815">
        <f>SUM(F8-F9)</f>
        <v>-1151995</v>
      </c>
    </row>
    <row r="11" spans="1:8" s="1076" customFormat="1" ht="14.25" thickTop="1" thickBot="1" x14ac:dyDescent="0.25">
      <c r="A11" s="1078" t="s">
        <v>1985</v>
      </c>
      <c r="B11" s="1816">
        <f>'Acct Summary 7-8'!C81</f>
        <v>4283173</v>
      </c>
      <c r="C11" s="1816">
        <f>'Acct Summary 7-8'!D81</f>
        <v>2276061</v>
      </c>
      <c r="D11" s="1816">
        <f>'Acct Summary 7-8'!F81</f>
        <v>2176515</v>
      </c>
      <c r="E11" s="1816">
        <f>'Acct Summary 7-8'!I81</f>
        <v>1619684</v>
      </c>
      <c r="F11" s="1817">
        <f>SUM(B11:E11)</f>
        <v>10355433</v>
      </c>
    </row>
    <row r="12" spans="1:8" ht="16.5" customHeight="1" thickTop="1" x14ac:dyDescent="0.2">
      <c r="A12" s="1079"/>
      <c r="B12" s="1080"/>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1"/>
      <c r="B13" s="1082"/>
      <c r="C13" s="2361"/>
      <c r="D13" s="2362"/>
      <c r="E13" s="2362"/>
      <c r="F13" s="2363"/>
      <c r="H13" s="1071"/>
    </row>
    <row r="14" spans="1:8" ht="19.5" customHeight="1" x14ac:dyDescent="0.2">
      <c r="A14" s="1081"/>
      <c r="B14" s="1082"/>
      <c r="C14" s="2361"/>
      <c r="D14" s="2362"/>
      <c r="E14" s="2362"/>
      <c r="F14" s="2363"/>
      <c r="H14" s="1071"/>
    </row>
    <row r="15" spans="1:8" ht="17.25" customHeight="1" x14ac:dyDescent="0.2">
      <c r="A15" s="1081"/>
      <c r="B15" s="1082"/>
      <c r="C15" s="2364"/>
      <c r="D15" s="2365"/>
      <c r="E15" s="2365"/>
      <c r="F15" s="2366"/>
      <c r="H15" s="1071"/>
    </row>
    <row r="16" spans="1:8" s="310" customFormat="1" ht="51.75" hidden="1" customHeight="1" x14ac:dyDescent="0.2">
      <c r="A16" s="2360" t="s">
        <v>1687</v>
      </c>
      <c r="B16" s="2360"/>
      <c r="C16" s="2360"/>
      <c r="D16" s="2360"/>
      <c r="E16" s="236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2" t="s">
        <v>665</v>
      </c>
      <c r="B3" s="2383"/>
      <c r="C3" s="2383"/>
      <c r="D3" s="2384"/>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3" t="s">
        <v>1504</v>
      </c>
      <c r="D7" s="2394"/>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5" t="s">
        <v>1008</v>
      </c>
      <c r="B15" s="2386"/>
      <c r="C15" s="2386"/>
      <c r="D15" s="2387"/>
    </row>
    <row r="16" spans="1:4" s="665" customFormat="1" ht="24" customHeight="1" x14ac:dyDescent="0.2">
      <c r="A16" s="2388" t="s">
        <v>663</v>
      </c>
      <c r="B16" s="2389"/>
      <c r="C16" s="2389"/>
      <c r="D16" s="2390"/>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7" t="s">
        <v>314</v>
      </c>
      <c r="D21" s="2398"/>
    </row>
    <row r="22" spans="1:10" ht="12.75" x14ac:dyDescent="0.2">
      <c r="A22" s="1136"/>
      <c r="B22" s="1137">
        <v>2</v>
      </c>
      <c r="C22" s="2395" t="s">
        <v>1524</v>
      </c>
      <c r="D22" s="239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9" t="s">
        <v>536</v>
      </c>
      <c r="D43" s="240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1" t="s">
        <v>784</v>
      </c>
      <c r="D56" s="239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1" t="s">
        <v>1696</v>
      </c>
      <c r="D70" s="239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48072265026</v>
      </c>
    </row>
    <row r="3" spans="1:2" x14ac:dyDescent="0.2">
      <c r="A3" t="s">
        <v>956</v>
      </c>
      <c r="B3" s="138" t="str">
        <f>COVER!A15</f>
        <v>Fulton,Knox, Peoria</v>
      </c>
    </row>
    <row r="4" spans="1:2" x14ac:dyDescent="0.2">
      <c r="A4" t="s">
        <v>1007</v>
      </c>
      <c r="B4" s="138" t="str">
        <f>COVER!A17</f>
        <v>Farmington Central CUSD 265</v>
      </c>
    </row>
    <row r="5" spans="1:2" x14ac:dyDescent="0.2">
      <c r="A5" t="s">
        <v>704</v>
      </c>
      <c r="B5" s="138" t="str">
        <f>COVER!A38</f>
        <v>Dr. Zachary Chatterton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1389313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4384478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101305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101305</v>
      </c>
      <c r="C91" s="2" t="s">
        <v>573</v>
      </c>
      <c r="D91" s="2" t="str">
        <f t="shared" si="0"/>
        <v>Error?</v>
      </c>
    </row>
    <row r="92" spans="1:4" x14ac:dyDescent="0.2">
      <c r="A92" s="5">
        <v>31</v>
      </c>
      <c r="B92" s="138">
        <f>'Assets-Liab 5-6'!C39</f>
        <v>4262793</v>
      </c>
      <c r="D92" s="2" t="str">
        <f t="shared" si="0"/>
        <v>Error?</v>
      </c>
    </row>
    <row r="93" spans="1:4" x14ac:dyDescent="0.2">
      <c r="A93" s="5">
        <v>32</v>
      </c>
      <c r="B93" s="138">
        <f>'Assets-Liab 5-6'!C41</f>
        <v>4384478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516780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2276061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2276061</v>
      </c>
      <c r="D123" s="2" t="str">
        <f t="shared" si="0"/>
        <v>Error?</v>
      </c>
    </row>
    <row r="124" spans="1:4" x14ac:dyDescent="0.2">
      <c r="A124" s="5">
        <v>63</v>
      </c>
      <c r="B124" s="138">
        <f>'Assets-Liab 5-6'!D41</f>
        <v>2276061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859117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859117</v>
      </c>
      <c r="D140" s="2" t="str">
        <f t="shared" si="1"/>
        <v>Error?</v>
      </c>
    </row>
    <row r="141" spans="1:4" x14ac:dyDescent="0.2">
      <c r="A141" s="5">
        <v>80</v>
      </c>
      <c r="B141" s="138">
        <f>'Assets-Liab 5-6'!E41</f>
        <v>859117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2176515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2176515</v>
      </c>
      <c r="D170" s="2" t="str">
        <f t="shared" si="1"/>
        <v>Error?</v>
      </c>
    </row>
    <row r="171" spans="1:4" x14ac:dyDescent="0.2">
      <c r="A171" s="5">
        <v>110</v>
      </c>
      <c r="B171" s="138">
        <f>'Assets-Liab 5-6'!F41</f>
        <v>2176515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494741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375135</v>
      </c>
      <c r="D189" s="2" t="str">
        <f t="shared" si="1"/>
        <v>Error?</v>
      </c>
    </row>
    <row r="190" spans="1:4" x14ac:dyDescent="0.2">
      <c r="A190" s="5">
        <v>129</v>
      </c>
      <c r="B190" s="138">
        <f>'Assets-Liab 5-6'!G41</f>
        <v>494741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971773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4820414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4665629</v>
      </c>
      <c r="D212" s="2" t="str">
        <f t="shared" si="2"/>
        <v>Error?</v>
      </c>
    </row>
    <row r="213" spans="1:4" x14ac:dyDescent="0.2">
      <c r="A213" s="12">
        <v>152</v>
      </c>
      <c r="B213" s="138">
        <f>'Assets-Liab 5-6'!H41</f>
        <v>4820414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537074</v>
      </c>
      <c r="D273" s="2" t="str">
        <f t="shared" si="3"/>
        <v>Error?</v>
      </c>
    </row>
    <row r="274" spans="1:4" x14ac:dyDescent="0.2">
      <c r="A274" s="5">
        <v>213</v>
      </c>
      <c r="B274" s="138">
        <f>'Assets-Liab 5-6'!M17</f>
        <v>29239864</v>
      </c>
      <c r="D274" s="2" t="str">
        <f t="shared" si="3"/>
        <v>Error?</v>
      </c>
    </row>
    <row r="275" spans="1:4" x14ac:dyDescent="0.2">
      <c r="A275" s="5">
        <v>214</v>
      </c>
      <c r="B275" s="138">
        <f>'Assets-Liab 5-6'!M18</f>
        <v>0</v>
      </c>
      <c r="D275" s="2" t="str">
        <f t="shared" si="3"/>
        <v>Error?</v>
      </c>
    </row>
    <row r="276" spans="1:4" x14ac:dyDescent="0.2">
      <c r="A276" s="5">
        <v>215</v>
      </c>
      <c r="B276" s="138">
        <f>'Assets-Liab 5-6'!M19</f>
        <v>1702068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31479006</v>
      </c>
      <c r="C279" s="2" t="s">
        <v>573</v>
      </c>
      <c r="D279" s="2" t="str">
        <f t="shared" si="3"/>
        <v>Error?</v>
      </c>
    </row>
    <row r="280" spans="1:4" x14ac:dyDescent="0.2">
      <c r="A280" s="5">
        <v>219</v>
      </c>
      <c r="B280" s="138">
        <f>'Assets-Liab 5-6'!M40</f>
        <v>31479006</v>
      </c>
      <c r="D280" s="2" t="str">
        <f t="shared" si="3"/>
        <v>Error?</v>
      </c>
    </row>
    <row r="281" spans="1:4" x14ac:dyDescent="0.2">
      <c r="A281" s="5">
        <v>220</v>
      </c>
      <c r="B281" s="138">
        <f>'Assets-Liab 5-6'!M41</f>
        <v>31479006</v>
      </c>
      <c r="C281" s="2" t="s">
        <v>573</v>
      </c>
      <c r="D281" s="2" t="str">
        <f t="shared" si="3"/>
        <v>Error?</v>
      </c>
    </row>
    <row r="282" spans="1:4" x14ac:dyDescent="0.2">
      <c r="A282" s="5">
        <v>221</v>
      </c>
      <c r="B282" s="138">
        <f>'Assets-Liab 5-6'!N21</f>
        <v>859117</v>
      </c>
      <c r="D282" s="2" t="str">
        <f t="shared" si="3"/>
        <v>Error?</v>
      </c>
    </row>
    <row r="283" spans="1:4" x14ac:dyDescent="0.2">
      <c r="A283" s="5">
        <v>222</v>
      </c>
      <c r="B283" s="138">
        <f>'Assets-Liab 5-6'!N22</f>
        <v>5562599</v>
      </c>
      <c r="D283" s="2" t="str">
        <f t="shared" si="3"/>
        <v>Error?</v>
      </c>
    </row>
    <row r="284" spans="1:4" x14ac:dyDescent="0.2">
      <c r="A284" s="5">
        <v>223</v>
      </c>
      <c r="B284" s="138">
        <f>'Assets-Liab 5-6'!N23</f>
        <v>6421716</v>
      </c>
      <c r="C284" s="2" t="s">
        <v>573</v>
      </c>
      <c r="D284" s="2" t="str">
        <f t="shared" si="3"/>
        <v>Error?</v>
      </c>
    </row>
    <row r="285" spans="1:4" x14ac:dyDescent="0.2">
      <c r="A285" s="5">
        <v>224</v>
      </c>
      <c r="B285" s="138">
        <f>'Assets-Liab 5-6'!N36</f>
        <v>6421716</v>
      </c>
      <c r="D285" s="2" t="str">
        <f t="shared" si="3"/>
        <v>Error?</v>
      </c>
    </row>
    <row r="286" spans="1:4" x14ac:dyDescent="0.2">
      <c r="A286" s="10">
        <v>225</v>
      </c>
      <c r="D286" s="2" t="str">
        <f t="shared" si="3"/>
        <v>OK</v>
      </c>
    </row>
    <row r="287" spans="1:4" x14ac:dyDescent="0.2">
      <c r="A287" s="5">
        <v>226</v>
      </c>
      <c r="B287" s="138">
        <f>'Assets-Liab 5-6'!N37</f>
        <v>6421716</v>
      </c>
      <c r="C287" s="2" t="s">
        <v>573</v>
      </c>
      <c r="D287" s="2" t="str">
        <f t="shared" si="3"/>
        <v>Error?</v>
      </c>
    </row>
    <row r="288" spans="1:4" x14ac:dyDescent="0.2">
      <c r="A288" s="5">
        <v>227</v>
      </c>
      <c r="B288" s="138">
        <f>'Assets-Liab 5-6'!N41</f>
        <v>6421716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382808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4451703</v>
      </c>
      <c r="D618" s="2" t="str">
        <f t="shared" si="8"/>
        <v>Error?</v>
      </c>
    </row>
    <row r="619" spans="1:4" x14ac:dyDescent="0.2">
      <c r="A619" s="5">
        <v>558</v>
      </c>
      <c r="B619" s="138">
        <f>'Acct Summary 7-8'!H34</f>
        <v>0</v>
      </c>
      <c r="D619" s="2" t="str">
        <f t="shared" si="8"/>
        <v>Error?</v>
      </c>
    </row>
    <row r="620" spans="1:4" x14ac:dyDescent="0.2">
      <c r="A620" s="5">
        <v>559</v>
      </c>
      <c r="B620" s="138">
        <f>'Acct Summary 7-8'!H35</f>
        <v>3800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3795982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163219</v>
      </c>
      <c r="D717" s="2" t="str">
        <f t="shared" si="10"/>
        <v>Error?</v>
      </c>
    </row>
    <row r="718" spans="1:4" x14ac:dyDescent="0.2">
      <c r="A718" s="5">
        <v>657</v>
      </c>
      <c r="B718" s="138">
        <f>'Expenditures 15-22'!C14</f>
        <v>182616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4932036</v>
      </c>
      <c r="C720" s="2" t="s">
        <v>573</v>
      </c>
      <c r="D720" s="2" t="str">
        <f t="shared" si="10"/>
        <v>Error?</v>
      </c>
    </row>
    <row r="721" spans="1:4" x14ac:dyDescent="0.2">
      <c r="A721" s="5">
        <v>660</v>
      </c>
      <c r="B721" s="138">
        <f>'Expenditures 15-22'!C36</f>
        <v>43866</v>
      </c>
      <c r="D721" s="2" t="str">
        <f t="shared" si="10"/>
        <v>Error?</v>
      </c>
    </row>
    <row r="722" spans="1:4" x14ac:dyDescent="0.2">
      <c r="A722" s="5">
        <v>661</v>
      </c>
      <c r="B722" s="138">
        <f>'Expenditures 15-22'!C37</f>
        <v>47735</v>
      </c>
      <c r="D722" s="2" t="str">
        <f t="shared" si="10"/>
        <v>Error?</v>
      </c>
    </row>
    <row r="723" spans="1:4" x14ac:dyDescent="0.2">
      <c r="A723" s="5">
        <v>662</v>
      </c>
      <c r="B723" s="138">
        <f>'Expenditures 15-22'!C38</f>
        <v>75045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166646</v>
      </c>
      <c r="C727" s="2" t="s">
        <v>573</v>
      </c>
      <c r="D727" s="2" t="str">
        <f t="shared" si="10"/>
        <v>Error?</v>
      </c>
    </row>
    <row r="728" spans="1:4" x14ac:dyDescent="0.2">
      <c r="A728" s="5">
        <v>667</v>
      </c>
      <c r="B728" s="138">
        <f>'Expenditures 15-22'!C44</f>
        <v>17698</v>
      </c>
      <c r="D728" s="2" t="str">
        <f t="shared" si="10"/>
        <v>Error?</v>
      </c>
    </row>
    <row r="729" spans="1:4" x14ac:dyDescent="0.2">
      <c r="A729" s="5">
        <v>668</v>
      </c>
      <c r="B729" s="138">
        <f>'Expenditures 15-22'!C45</f>
        <v>114136</v>
      </c>
      <c r="D729" s="2" t="str">
        <f t="shared" si="10"/>
        <v>Error?</v>
      </c>
    </row>
    <row r="730" spans="1:4" x14ac:dyDescent="0.2">
      <c r="A730" s="5">
        <v>669</v>
      </c>
      <c r="B730" s="138">
        <f>'Expenditures 15-22'!C46</f>
        <v>11000</v>
      </c>
      <c r="D730" s="2" t="str">
        <f t="shared" si="10"/>
        <v>Error?</v>
      </c>
    </row>
    <row r="731" spans="1:4" x14ac:dyDescent="0.2">
      <c r="A731" s="5">
        <v>670</v>
      </c>
      <c r="B731" s="138">
        <f>'Expenditures 15-22'!C47</f>
        <v>142834</v>
      </c>
      <c r="C731" s="2" t="s">
        <v>573</v>
      </c>
      <c r="D731" s="2" t="str">
        <f t="shared" si="10"/>
        <v>Error?</v>
      </c>
    </row>
    <row r="732" spans="1:4" x14ac:dyDescent="0.2">
      <c r="A732" s="5">
        <v>671</v>
      </c>
      <c r="B732" s="138">
        <f>'Expenditures 15-22'!C49</f>
        <v>46334</v>
      </c>
      <c r="D732" s="2" t="str">
        <f t="shared" si="10"/>
        <v>Error?</v>
      </c>
    </row>
    <row r="733" spans="1:4" x14ac:dyDescent="0.2">
      <c r="A733" s="5">
        <v>672</v>
      </c>
      <c r="B733" s="138">
        <f>'Expenditures 15-22'!C50</f>
        <v>240223</v>
      </c>
      <c r="D733" s="2" t="str">
        <f t="shared" si="10"/>
        <v>Error?</v>
      </c>
    </row>
    <row r="734" spans="1:4" x14ac:dyDescent="0.2">
      <c r="A734" s="5">
        <v>673</v>
      </c>
      <c r="B734" s="138">
        <f>'Expenditures 15-22'!C53</f>
        <v>286557</v>
      </c>
      <c r="C734" s="2" t="s">
        <v>573</v>
      </c>
      <c r="D734" s="2" t="str">
        <f t="shared" si="10"/>
        <v>Error?</v>
      </c>
    </row>
    <row r="735" spans="1:4" x14ac:dyDescent="0.2">
      <c r="A735" s="5">
        <v>674</v>
      </c>
      <c r="B735" s="138">
        <f>'Expenditures 15-22'!C55</f>
        <v>478133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478133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58772</v>
      </c>
      <c r="D739" s="2" t="str">
        <f t="shared" si="10"/>
        <v>Error?</v>
      </c>
    </row>
    <row r="740" spans="1:4" x14ac:dyDescent="0.2">
      <c r="A740" s="5">
        <v>679</v>
      </c>
      <c r="B740" s="138">
        <f>'Expenditures 15-22'!C61</f>
        <v>423804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307390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789966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101351</v>
      </c>
      <c r="D751" s="2" t="str">
        <f t="shared" si="10"/>
        <v>Error?</v>
      </c>
    </row>
    <row r="752" spans="1:4" x14ac:dyDescent="0.2">
      <c r="A752" s="10">
        <v>691</v>
      </c>
      <c r="D752" s="2" t="str">
        <f t="shared" si="10"/>
        <v>OK</v>
      </c>
    </row>
    <row r="753" spans="1:4" x14ac:dyDescent="0.2">
      <c r="A753" s="5">
        <v>692</v>
      </c>
      <c r="B753" s="138">
        <f>'Expenditures 15-22'!C72</f>
        <v>101351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1965487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6897523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984474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41820</v>
      </c>
      <c r="D775" s="2" t="str">
        <f t="shared" si="11"/>
        <v>Error?</v>
      </c>
    </row>
    <row r="776" spans="1:4" x14ac:dyDescent="0.2">
      <c r="A776" s="5">
        <v>715</v>
      </c>
      <c r="B776" s="138">
        <f>'Expenditures 15-22'!D14</f>
        <v>2306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1234242</v>
      </c>
      <c r="C778" s="2" t="s">
        <v>573</v>
      </c>
      <c r="D778" s="2" t="str">
        <f t="shared" si="11"/>
        <v>Error?</v>
      </c>
    </row>
    <row r="779" spans="1:4" x14ac:dyDescent="0.2">
      <c r="A779" s="5">
        <v>718</v>
      </c>
      <c r="B779" s="138">
        <f>'Expenditures 15-22'!D36</f>
        <v>11290</v>
      </c>
      <c r="D779" s="2" t="str">
        <f t="shared" si="11"/>
        <v>Error?</v>
      </c>
    </row>
    <row r="780" spans="1:4" x14ac:dyDescent="0.2">
      <c r="A780" s="5">
        <v>719</v>
      </c>
      <c r="B780" s="138">
        <f>'Expenditures 15-22'!D37</f>
        <v>10319</v>
      </c>
      <c r="D780" s="2" t="str">
        <f t="shared" si="11"/>
        <v>Error?</v>
      </c>
    </row>
    <row r="781" spans="1:4" x14ac:dyDescent="0.2">
      <c r="A781" s="5">
        <v>720</v>
      </c>
      <c r="B781" s="138">
        <f>'Expenditures 15-22'!D38</f>
        <v>10964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32573</v>
      </c>
      <c r="C785" s="2" t="s">
        <v>573</v>
      </c>
      <c r="D785" s="2" t="str">
        <f t="shared" si="11"/>
        <v>Error?</v>
      </c>
    </row>
    <row r="786" spans="1:4" x14ac:dyDescent="0.2">
      <c r="A786" s="5">
        <v>725</v>
      </c>
      <c r="B786" s="138">
        <f>'Expenditures 15-22'!D44</f>
        <v>1263</v>
      </c>
      <c r="D786" s="2" t="str">
        <f t="shared" si="11"/>
        <v>Error?</v>
      </c>
    </row>
    <row r="787" spans="1:4" x14ac:dyDescent="0.2">
      <c r="A787" s="5">
        <v>726</v>
      </c>
      <c r="B787" s="138">
        <f>'Expenditures 15-22'!D45</f>
        <v>17498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18761</v>
      </c>
      <c r="C789" s="2" t="s">
        <v>573</v>
      </c>
      <c r="D789" s="2" t="str">
        <f t="shared" si="11"/>
        <v>Error?</v>
      </c>
    </row>
    <row r="790" spans="1:4" x14ac:dyDescent="0.2">
      <c r="A790" s="5">
        <v>729</v>
      </c>
      <c r="B790" s="138">
        <f>'Expenditures 15-22'!D49</f>
        <v>21906</v>
      </c>
      <c r="D790" s="2" t="str">
        <f t="shared" si="11"/>
        <v>Error?</v>
      </c>
    </row>
    <row r="791" spans="1:4" x14ac:dyDescent="0.2">
      <c r="A791" s="5">
        <v>730</v>
      </c>
      <c r="B791" s="138">
        <f>'Expenditures 15-22'!D50</f>
        <v>37156</v>
      </c>
      <c r="D791" s="2" t="str">
        <f t="shared" si="11"/>
        <v>Error?</v>
      </c>
    </row>
    <row r="792" spans="1:4" x14ac:dyDescent="0.2">
      <c r="A792" s="5">
        <v>731</v>
      </c>
      <c r="B792" s="138">
        <f>'Expenditures 15-22'!D53</f>
        <v>59062</v>
      </c>
      <c r="C792" s="2" t="s">
        <v>573</v>
      </c>
      <c r="D792" s="2" t="str">
        <f t="shared" si="11"/>
        <v>Error?</v>
      </c>
    </row>
    <row r="793" spans="1:4" x14ac:dyDescent="0.2">
      <c r="A793" s="5">
        <v>732</v>
      </c>
      <c r="B793" s="138">
        <f>'Expenditures 15-22'!D55</f>
        <v>131512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131512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13104</v>
      </c>
      <c r="D797" s="2" t="str">
        <f t="shared" si="11"/>
        <v>Error?</v>
      </c>
    </row>
    <row r="798" spans="1:4" x14ac:dyDescent="0.2">
      <c r="A798" s="5">
        <v>737</v>
      </c>
      <c r="B798" s="138">
        <f>'Expenditures 15-22'!D61</f>
        <v>124894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21799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159797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11277</v>
      </c>
      <c r="D809" s="2" t="str">
        <f t="shared" si="11"/>
        <v>Error?</v>
      </c>
    </row>
    <row r="810" spans="1:4" x14ac:dyDescent="0.2">
      <c r="A810" s="10">
        <v>749</v>
      </c>
      <c r="D810" s="2" t="str">
        <f t="shared" si="11"/>
        <v>OK</v>
      </c>
    </row>
    <row r="811" spans="1:4" x14ac:dyDescent="0.2">
      <c r="A811" s="5">
        <v>750</v>
      </c>
      <c r="B811" s="138">
        <f>'Expenditures 15-22'!D72</f>
        <v>11277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412982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1647224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27460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2890</v>
      </c>
      <c r="D833" s="2" t="str">
        <f t="shared" si="12"/>
        <v>Error?</v>
      </c>
    </row>
    <row r="834" spans="1:4" x14ac:dyDescent="0.2">
      <c r="A834" s="5">
        <v>773</v>
      </c>
      <c r="B834" s="138">
        <f>'Expenditures 15-22'!E14</f>
        <v>45501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76501</v>
      </c>
      <c r="C836" s="2" t="s">
        <v>573</v>
      </c>
      <c r="D836" s="2" t="str">
        <f t="shared" si="12"/>
        <v>Error?</v>
      </c>
    </row>
    <row r="837" spans="1:4" x14ac:dyDescent="0.2">
      <c r="A837" s="5">
        <v>776</v>
      </c>
      <c r="B837" s="138">
        <f>'Expenditures 15-22'!E36</f>
        <v>11549</v>
      </c>
      <c r="D837" s="2" t="str">
        <f t="shared" si="12"/>
        <v>Error?</v>
      </c>
    </row>
    <row r="838" spans="1:4" x14ac:dyDescent="0.2">
      <c r="A838" s="5">
        <v>777</v>
      </c>
      <c r="B838" s="138">
        <f>'Expenditures 15-22'!E37</f>
        <v>450</v>
      </c>
      <c r="D838" s="2" t="str">
        <f t="shared" si="12"/>
        <v>Error?</v>
      </c>
    </row>
    <row r="839" spans="1:4" x14ac:dyDescent="0.2">
      <c r="A839" s="5">
        <v>778</v>
      </c>
      <c r="B839" s="138">
        <f>'Expenditures 15-22'!E38</f>
        <v>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12049</v>
      </c>
      <c r="C843" s="2" t="s">
        <v>573</v>
      </c>
      <c r="D843" s="2" t="str">
        <f t="shared" si="12"/>
        <v>Error?</v>
      </c>
    </row>
    <row r="844" spans="1:4" x14ac:dyDescent="0.2">
      <c r="A844" s="5">
        <v>783</v>
      </c>
      <c r="B844" s="138">
        <f>'Expenditures 15-22'!E44</f>
        <v>31266</v>
      </c>
      <c r="D844" s="2" t="str">
        <f t="shared" si="12"/>
        <v>Error?</v>
      </c>
    </row>
    <row r="845" spans="1:4" x14ac:dyDescent="0.2">
      <c r="A845" s="5">
        <v>784</v>
      </c>
      <c r="B845" s="138">
        <f>'Expenditures 15-22'!E45</f>
        <v>400</v>
      </c>
      <c r="D845" s="2" t="str">
        <f t="shared" si="12"/>
        <v>Error?</v>
      </c>
    </row>
    <row r="846" spans="1:4" x14ac:dyDescent="0.2">
      <c r="A846" s="5">
        <v>785</v>
      </c>
      <c r="B846" s="138">
        <f>'Expenditures 15-22'!E46</f>
        <v>6875</v>
      </c>
      <c r="D846" s="2" t="str">
        <f t="shared" si="12"/>
        <v>Error?</v>
      </c>
    </row>
    <row r="847" spans="1:4" x14ac:dyDescent="0.2">
      <c r="A847" s="5">
        <v>786</v>
      </c>
      <c r="B847" s="138">
        <f>'Expenditures 15-22'!E47</f>
        <v>38541</v>
      </c>
      <c r="C847" s="2" t="s">
        <v>573</v>
      </c>
      <c r="D847" s="2" t="str">
        <f t="shared" si="12"/>
        <v>Error?</v>
      </c>
    </row>
    <row r="848" spans="1:4" x14ac:dyDescent="0.2">
      <c r="A848" s="5">
        <v>787</v>
      </c>
      <c r="B848" s="138">
        <f>'Expenditures 15-22'!E49</f>
        <v>92609</v>
      </c>
      <c r="D848" s="2" t="str">
        <f t="shared" si="12"/>
        <v>Error?</v>
      </c>
    </row>
    <row r="849" spans="1:4" x14ac:dyDescent="0.2">
      <c r="A849" s="5">
        <v>788</v>
      </c>
      <c r="B849" s="138">
        <f>'Expenditures 15-22'!E50</f>
        <v>8767</v>
      </c>
      <c r="D849" s="2" t="str">
        <f t="shared" si="12"/>
        <v>Error?</v>
      </c>
    </row>
    <row r="850" spans="1:4" x14ac:dyDescent="0.2">
      <c r="A850" s="5">
        <v>789</v>
      </c>
      <c r="B850" s="138">
        <f>'Expenditures 15-22'!E53</f>
        <v>101376</v>
      </c>
      <c r="C850" s="2" t="s">
        <v>573</v>
      </c>
      <c r="D850" s="2" t="str">
        <f t="shared" si="12"/>
        <v>Error?</v>
      </c>
    </row>
    <row r="851" spans="1:4" x14ac:dyDescent="0.2">
      <c r="A851" s="5">
        <v>790</v>
      </c>
      <c r="B851" s="138">
        <f>'Expenditures 15-22'!E55</f>
        <v>4631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4631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305</v>
      </c>
      <c r="D855" s="2" t="str">
        <f t="shared" si="12"/>
        <v>Error?</v>
      </c>
    </row>
    <row r="856" spans="1:4" x14ac:dyDescent="0.2">
      <c r="A856" s="5">
        <v>795</v>
      </c>
      <c r="B856" s="138">
        <f>'Expenditures 15-22'!E61</f>
        <v>105674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106387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122268</v>
      </c>
      <c r="D867" s="2" t="str">
        <f t="shared" si="12"/>
        <v>Error?</v>
      </c>
    </row>
    <row r="868" spans="1:4" x14ac:dyDescent="0.2">
      <c r="A868" s="10">
        <v>807</v>
      </c>
      <c r="D868" s="2" t="str">
        <f t="shared" si="12"/>
        <v>OK</v>
      </c>
    </row>
    <row r="869" spans="1:4" x14ac:dyDescent="0.2">
      <c r="A869" s="5">
        <v>808</v>
      </c>
      <c r="B869" s="138">
        <f>'Expenditures 15-22'!E72</f>
        <v>122268</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385252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480490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44243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7717</v>
      </c>
      <c r="D891" s="2" t="str">
        <f t="shared" si="12"/>
        <v>Error?</v>
      </c>
    </row>
    <row r="892" spans="1:4" x14ac:dyDescent="0.2">
      <c r="A892" s="5">
        <v>831</v>
      </c>
      <c r="B892" s="138">
        <f>'Expenditures 15-22'!F14</f>
        <v>33069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118136</v>
      </c>
      <c r="C894" s="2" t="s">
        <v>573</v>
      </c>
      <c r="D894" s="2" t="str">
        <f t="shared" si="12"/>
        <v>Error?</v>
      </c>
    </row>
    <row r="895" spans="1:4" x14ac:dyDescent="0.2">
      <c r="A895" s="5">
        <v>834</v>
      </c>
      <c r="B895" s="138">
        <f>'Expenditures 15-22'!F36</f>
        <v>4189</v>
      </c>
      <c r="D895" s="2" t="str">
        <f t="shared" ref="D895:D958" si="13">IF(ISBLANK(B895),"OK",IF(A895-B895=0,"OK","Error?"))</f>
        <v>Error?</v>
      </c>
    </row>
    <row r="896" spans="1:4" x14ac:dyDescent="0.2">
      <c r="A896" s="5">
        <v>835</v>
      </c>
      <c r="B896" s="138">
        <f>'Expenditures 15-22'!F37</f>
        <v>614</v>
      </c>
      <c r="D896" s="2" t="str">
        <f t="shared" si="13"/>
        <v>Error?</v>
      </c>
    </row>
    <row r="897" spans="1:4" x14ac:dyDescent="0.2">
      <c r="A897" s="5">
        <v>836</v>
      </c>
      <c r="B897" s="138">
        <f>'Expenditures 15-22'!F38</f>
        <v>2694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7497</v>
      </c>
      <c r="C901" s="2" t="s">
        <v>573</v>
      </c>
      <c r="D901" s="2" t="str">
        <f t="shared" si="13"/>
        <v>Error?</v>
      </c>
    </row>
    <row r="902" spans="1:4" x14ac:dyDescent="0.2">
      <c r="A902" s="5">
        <v>841</v>
      </c>
      <c r="B902" s="138">
        <f>'Expenditures 15-22'!F44</f>
        <v>9496</v>
      </c>
      <c r="D902" s="2" t="str">
        <f t="shared" si="13"/>
        <v>Error?</v>
      </c>
    </row>
    <row r="903" spans="1:4" x14ac:dyDescent="0.2">
      <c r="A903" s="5">
        <v>842</v>
      </c>
      <c r="B903" s="138">
        <f>'Expenditures 15-22'!F45</f>
        <v>15226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24722</v>
      </c>
      <c r="C905" s="2" t="s">
        <v>573</v>
      </c>
      <c r="D905" s="2" t="str">
        <f t="shared" si="13"/>
        <v>Error?</v>
      </c>
    </row>
    <row r="906" spans="1:4" x14ac:dyDescent="0.2">
      <c r="A906" s="5">
        <v>845</v>
      </c>
      <c r="B906" s="138">
        <f>'Expenditures 15-22'!F49</f>
        <v>12243</v>
      </c>
      <c r="D906" s="2" t="str">
        <f t="shared" si="13"/>
        <v>Error?</v>
      </c>
    </row>
    <row r="907" spans="1:4" x14ac:dyDescent="0.2">
      <c r="A907" s="5">
        <v>846</v>
      </c>
      <c r="B907" s="138">
        <f>'Expenditures 15-22'!F50</f>
        <v>13873</v>
      </c>
      <c r="D907" s="2" t="str">
        <f t="shared" si="13"/>
        <v>Error?</v>
      </c>
    </row>
    <row r="908" spans="1:4" x14ac:dyDescent="0.2">
      <c r="A908" s="5">
        <v>847</v>
      </c>
      <c r="B908" s="138">
        <f>'Expenditures 15-22'!F53</f>
        <v>26116</v>
      </c>
      <c r="C908" s="2" t="s">
        <v>573</v>
      </c>
      <c r="D908" s="2" t="str">
        <f t="shared" si="13"/>
        <v>Error?</v>
      </c>
    </row>
    <row r="909" spans="1:4" x14ac:dyDescent="0.2">
      <c r="A909" s="5">
        <v>848</v>
      </c>
      <c r="B909" s="138">
        <f>'Expenditures 15-22'!F55</f>
        <v>5583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5583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274713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276227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56731</v>
      </c>
      <c r="D925" s="2" t="str">
        <f t="shared" si="13"/>
        <v>Error?</v>
      </c>
    </row>
    <row r="926" spans="1:4" x14ac:dyDescent="0.2">
      <c r="A926" s="10">
        <v>865</v>
      </c>
      <c r="D926" s="2" t="str">
        <f t="shared" si="13"/>
        <v>OK</v>
      </c>
    </row>
    <row r="927" spans="1:4" x14ac:dyDescent="0.2">
      <c r="A927" s="5">
        <v>866</v>
      </c>
      <c r="B927" s="138">
        <f>'Expenditures 15-22'!F72</f>
        <v>56731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396876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515012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9376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528</v>
      </c>
      <c r="D949" s="2" t="str">
        <f t="shared" si="13"/>
        <v>Error?</v>
      </c>
    </row>
    <row r="950" spans="1:4" x14ac:dyDescent="0.2">
      <c r="A950" s="5">
        <v>889</v>
      </c>
      <c r="B950" s="138">
        <f>'Expenditures 15-22'!G14</f>
        <v>3250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30987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17820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17820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10509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10509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45377</v>
      </c>
      <c r="D983" s="2" t="str">
        <f t="shared" si="14"/>
        <v>Error?</v>
      </c>
    </row>
    <row r="984" spans="1:4" x14ac:dyDescent="0.2">
      <c r="A984" s="10">
        <v>923</v>
      </c>
      <c r="D984" s="2" t="str">
        <f t="shared" si="14"/>
        <v>OK</v>
      </c>
    </row>
    <row r="985" spans="1:4" x14ac:dyDescent="0.2">
      <c r="A985" s="5">
        <v>924</v>
      </c>
      <c r="B985" s="138">
        <f>'Expenditures 15-22'!G72</f>
        <v>45377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73706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104693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246</v>
      </c>
      <c r="D1007" s="2" t="str">
        <f t="shared" si="14"/>
        <v>Error?</v>
      </c>
    </row>
    <row r="1008" spans="1:4" x14ac:dyDescent="0.2">
      <c r="A1008" s="5">
        <v>947</v>
      </c>
      <c r="B1008" s="138">
        <f>'Expenditures 15-22'!H14</f>
        <v>15605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166157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1500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1500</v>
      </c>
      <c r="C1021" s="2" t="s">
        <v>573</v>
      </c>
      <c r="D1021" s="2" t="str">
        <f t="shared" si="14"/>
        <v>Error?</v>
      </c>
    </row>
    <row r="1022" spans="1:4" x14ac:dyDescent="0.2">
      <c r="A1022" s="5">
        <v>961</v>
      </c>
      <c r="B1022" s="138">
        <f>'Expenditures 15-22'!H49</f>
        <v>5319</v>
      </c>
      <c r="D1022" s="2" t="str">
        <f t="shared" si="14"/>
        <v>Error?</v>
      </c>
    </row>
    <row r="1023" spans="1:4" x14ac:dyDescent="0.2">
      <c r="A1023" s="5">
        <v>962</v>
      </c>
      <c r="B1023" s="138">
        <f>'Expenditures 15-22'!H50</f>
        <v>2310</v>
      </c>
      <c r="D1023" s="2" t="str">
        <f t="shared" ref="D1023:D1086" si="15">IF(ISBLANK(B1023),"OK",IF(A1023-B1023=0,"OK","Error?"))</f>
        <v>Error?</v>
      </c>
    </row>
    <row r="1024" spans="1:4" x14ac:dyDescent="0.2">
      <c r="A1024" s="5">
        <v>963</v>
      </c>
      <c r="B1024" s="138">
        <f>'Expenditures 15-22'!H53</f>
        <v>7629</v>
      </c>
      <c r="C1024" s="2" t="s">
        <v>573</v>
      </c>
      <c r="D1024" s="2" t="str">
        <f t="shared" si="15"/>
        <v>Error?</v>
      </c>
    </row>
    <row r="1025" spans="1:4" x14ac:dyDescent="0.2">
      <c r="A1025" s="5">
        <v>964</v>
      </c>
      <c r="B1025" s="138">
        <f>'Expenditures 15-22'!H55</f>
        <v>1744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1744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472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2888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13761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981377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1161295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4861635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216420</v>
      </c>
      <c r="C1105" s="2" t="s">
        <v>573</v>
      </c>
      <c r="D1105" s="2" t="str">
        <f t="shared" si="16"/>
        <v>Error?</v>
      </c>
    </row>
    <row r="1106" spans="1:4" x14ac:dyDescent="0.2">
      <c r="A1106" s="5">
        <v>1045</v>
      </c>
      <c r="B1106" s="138">
        <f>'Expenditures 15-22'!K14</f>
        <v>282347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6558059</v>
      </c>
      <c r="C1108" s="2" t="s">
        <v>573</v>
      </c>
      <c r="D1108" s="2" t="str">
        <f t="shared" si="16"/>
        <v>Error?</v>
      </c>
    </row>
    <row r="1109" spans="1:4" x14ac:dyDescent="0.2">
      <c r="A1109" s="5">
        <v>1048</v>
      </c>
      <c r="B1109" s="138">
        <f>'Expenditures 15-22'!K36</f>
        <v>70894</v>
      </c>
      <c r="C1109" s="2" t="s">
        <v>573</v>
      </c>
      <c r="D1109" s="2" t="str">
        <f t="shared" si="16"/>
        <v>Error?</v>
      </c>
    </row>
    <row r="1110" spans="1:4" x14ac:dyDescent="0.2">
      <c r="A1110" s="5">
        <v>1049</v>
      </c>
      <c r="B1110" s="138">
        <f>'Expenditures 15-22'!K37</f>
        <v>59118</v>
      </c>
      <c r="C1110" s="2" t="s">
        <v>573</v>
      </c>
      <c r="D1110" s="2" t="str">
        <f t="shared" si="16"/>
        <v>Error?</v>
      </c>
    </row>
    <row r="1111" spans="1:4" x14ac:dyDescent="0.2">
      <c r="A1111" s="5">
        <v>1050</v>
      </c>
      <c r="B1111" s="138">
        <f>'Expenditures 15-22'!K38</f>
        <v>88753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218765</v>
      </c>
      <c r="C1115" s="2" t="s">
        <v>573</v>
      </c>
      <c r="D1115" s="2" t="str">
        <f t="shared" si="16"/>
        <v>Error?</v>
      </c>
    </row>
    <row r="1116" spans="1:4" x14ac:dyDescent="0.2">
      <c r="A1116" s="5">
        <v>1055</v>
      </c>
      <c r="B1116" s="138">
        <f>'Expenditures 15-22'!K44</f>
        <v>59723</v>
      </c>
      <c r="C1116" s="2" t="s">
        <v>573</v>
      </c>
      <c r="D1116" s="2" t="str">
        <f t="shared" si="16"/>
        <v>Error?</v>
      </c>
    </row>
    <row r="1117" spans="1:4" x14ac:dyDescent="0.2">
      <c r="A1117" s="5">
        <v>1056</v>
      </c>
      <c r="B1117" s="138">
        <f>'Expenditures 15-22'!K45</f>
        <v>148760</v>
      </c>
      <c r="C1117" s="2" t="s">
        <v>573</v>
      </c>
      <c r="D1117" s="2" t="str">
        <f t="shared" si="16"/>
        <v>Error?</v>
      </c>
    </row>
    <row r="1118" spans="1:4" x14ac:dyDescent="0.2">
      <c r="A1118" s="5">
        <v>1057</v>
      </c>
      <c r="B1118" s="138">
        <f>'Expenditures 15-22'!K46</f>
        <v>17875</v>
      </c>
      <c r="C1118" s="2" t="s">
        <v>573</v>
      </c>
      <c r="D1118" s="2" t="str">
        <f t="shared" si="16"/>
        <v>Error?</v>
      </c>
    </row>
    <row r="1119" spans="1:4" x14ac:dyDescent="0.2">
      <c r="A1119" s="5">
        <v>1058</v>
      </c>
      <c r="B1119" s="138">
        <f>'Expenditures 15-22'!K47</f>
        <v>226358</v>
      </c>
      <c r="C1119" s="2" t="s">
        <v>573</v>
      </c>
      <c r="D1119" s="2" t="str">
        <f t="shared" si="16"/>
        <v>Error?</v>
      </c>
    </row>
    <row r="1120" spans="1:4" x14ac:dyDescent="0.2">
      <c r="A1120" s="5">
        <v>1059</v>
      </c>
      <c r="B1120" s="138">
        <f>'Expenditures 15-22'!K49</f>
        <v>196231</v>
      </c>
      <c r="C1120" s="2" t="s">
        <v>573</v>
      </c>
      <c r="D1120" s="2" t="str">
        <f t="shared" si="16"/>
        <v>Error?</v>
      </c>
    </row>
    <row r="1121" spans="1:4" x14ac:dyDescent="0.2">
      <c r="A1121" s="5">
        <v>1060</v>
      </c>
      <c r="B1121" s="138">
        <f>'Expenditures 15-22'!K50</f>
        <v>302329</v>
      </c>
      <c r="C1121" s="2" t="s">
        <v>573</v>
      </c>
      <c r="D1121" s="2" t="str">
        <f t="shared" si="16"/>
        <v>Error?</v>
      </c>
    </row>
    <row r="1122" spans="1:4" x14ac:dyDescent="0.2">
      <c r="A1122" s="5">
        <v>1061</v>
      </c>
      <c r="B1122" s="138">
        <f>'Expenditures 15-22'!K53</f>
        <v>498560</v>
      </c>
      <c r="C1122" s="2" t="s">
        <v>573</v>
      </c>
      <c r="D1122" s="2" t="str">
        <f t="shared" si="16"/>
        <v>Error?</v>
      </c>
    </row>
    <row r="1123" spans="1:4" x14ac:dyDescent="0.2">
      <c r="A1123" s="5">
        <v>1062</v>
      </c>
      <c r="B1123" s="138">
        <f>'Expenditures 15-22'!K55</f>
        <v>621603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621603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74167</v>
      </c>
      <c r="C1127" s="2" t="s">
        <v>573</v>
      </c>
      <c r="D1127" s="2" t="str">
        <f t="shared" si="16"/>
        <v>Error?</v>
      </c>
    </row>
    <row r="1128" spans="1:4" x14ac:dyDescent="0.2">
      <c r="A1128" s="5">
        <v>1067</v>
      </c>
      <c r="B1128" s="138">
        <f>'Expenditures 15-22'!K61</f>
        <v>654372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617235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1345774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337004</v>
      </c>
      <c r="C1139" s="2" t="s">
        <v>573</v>
      </c>
      <c r="D1139" s="2" t="str">
        <f t="shared" si="16"/>
        <v>Error?</v>
      </c>
    </row>
    <row r="1140" spans="1:4" x14ac:dyDescent="0.2">
      <c r="A1140" s="10">
        <v>1079</v>
      </c>
      <c r="D1140" s="2" t="str">
        <f t="shared" si="16"/>
        <v>OK</v>
      </c>
    </row>
    <row r="1141" spans="1:4" x14ac:dyDescent="0.2">
      <c r="A1141" s="5">
        <v>1080</v>
      </c>
      <c r="B1141" s="138">
        <f>'Expenditures 15-22'!K72</f>
        <v>337004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3248064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1000114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10806237</v>
      </c>
      <c r="C1152" s="2" t="s">
        <v>573</v>
      </c>
      <c r="D1152" s="2" t="str">
        <f t="shared" si="17"/>
        <v>Error?</v>
      </c>
    </row>
    <row r="1153" spans="1:4" x14ac:dyDescent="0.2">
      <c r="A1153" s="5">
        <v>1092</v>
      </c>
      <c r="B1153" s="138">
        <f>'Expenditures 15-22'!K115</f>
        <v>-1282497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41553</v>
      </c>
      <c r="D1221" s="2" t="str">
        <f t="shared" si="18"/>
        <v>Error?</v>
      </c>
    </row>
    <row r="1222" spans="1:4" x14ac:dyDescent="0.2">
      <c r="A1222" s="10">
        <v>1161</v>
      </c>
      <c r="D1222" s="2" t="str">
        <f t="shared" si="18"/>
        <v>OK</v>
      </c>
    </row>
    <row r="1223" spans="1:4" x14ac:dyDescent="0.2">
      <c r="A1223" s="5">
        <v>1162</v>
      </c>
      <c r="B1223" s="138">
        <f>'Expenditures 15-22'!C127</f>
        <v>41553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41553</v>
      </c>
      <c r="C1225" s="2" t="s">
        <v>573</v>
      </c>
      <c r="D1225" s="2" t="str">
        <f t="shared" si="18"/>
        <v>Error?</v>
      </c>
    </row>
    <row r="1226" spans="1:4" x14ac:dyDescent="0.2">
      <c r="A1226" s="5">
        <v>1165</v>
      </c>
      <c r="B1226" s="138">
        <f>'Expenditures 15-22'!C151</f>
        <v>41553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7429</v>
      </c>
      <c r="D1229" s="2" t="str">
        <f t="shared" si="18"/>
        <v>Error?</v>
      </c>
    </row>
    <row r="1230" spans="1:4" x14ac:dyDescent="0.2">
      <c r="A1230" s="10">
        <v>1169</v>
      </c>
      <c r="D1230" s="2" t="str">
        <f t="shared" si="18"/>
        <v>OK</v>
      </c>
    </row>
    <row r="1231" spans="1:4" x14ac:dyDescent="0.2">
      <c r="A1231" s="5">
        <v>1170</v>
      </c>
      <c r="B1231" s="138">
        <f>'Expenditures 15-22'!D127</f>
        <v>7429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7429</v>
      </c>
      <c r="C1233" s="2" t="s">
        <v>573</v>
      </c>
      <c r="D1233" s="2" t="str">
        <f t="shared" si="18"/>
        <v>Error?</v>
      </c>
    </row>
    <row r="1234" spans="1:4" x14ac:dyDescent="0.2">
      <c r="A1234" s="5">
        <v>1173</v>
      </c>
      <c r="B1234" s="138">
        <f>'Expenditures 15-22'!D151</f>
        <v>7429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245391</v>
      </c>
      <c r="D1237" s="2" t="str">
        <f t="shared" si="18"/>
        <v>Error?</v>
      </c>
    </row>
    <row r="1238" spans="1:4" x14ac:dyDescent="0.2">
      <c r="A1238" s="10">
        <v>1177</v>
      </c>
      <c r="D1238" s="2" t="str">
        <f t="shared" si="18"/>
        <v>OK</v>
      </c>
    </row>
    <row r="1239" spans="1:4" x14ac:dyDescent="0.2">
      <c r="A1239" s="5">
        <v>1178</v>
      </c>
      <c r="B1239" s="138">
        <f>'Expenditures 15-22'!E127</f>
        <v>246258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246258</v>
      </c>
      <c r="C1241" s="2" t="s">
        <v>573</v>
      </c>
      <c r="D1241" s="2" t="str">
        <f t="shared" si="18"/>
        <v>Error?</v>
      </c>
    </row>
    <row r="1242" spans="1:4" x14ac:dyDescent="0.2">
      <c r="A1242" s="5">
        <v>1181</v>
      </c>
      <c r="B1242" s="138">
        <f>'Expenditures 15-22'!E151</f>
        <v>246258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322857</v>
      </c>
      <c r="D1245" s="2" t="str">
        <f t="shared" si="18"/>
        <v>Error?</v>
      </c>
    </row>
    <row r="1246" spans="1:4" x14ac:dyDescent="0.2">
      <c r="A1246" s="10">
        <v>1185</v>
      </c>
      <c r="D1246" s="2" t="str">
        <f t="shared" si="18"/>
        <v>OK</v>
      </c>
    </row>
    <row r="1247" spans="1:4" x14ac:dyDescent="0.2">
      <c r="A1247" s="5">
        <v>1186</v>
      </c>
      <c r="B1247" s="138">
        <f>'Expenditures 15-22'!F127</f>
        <v>331153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331153</v>
      </c>
      <c r="C1249" s="2" t="s">
        <v>573</v>
      </c>
      <c r="D1249" s="2" t="str">
        <f t="shared" si="18"/>
        <v>Error?</v>
      </c>
    </row>
    <row r="1250" spans="1:4" x14ac:dyDescent="0.2">
      <c r="A1250" s="5">
        <v>1189</v>
      </c>
      <c r="B1250" s="138">
        <f>'Expenditures 15-22'!F151</f>
        <v>331153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16449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16449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16449</v>
      </c>
      <c r="C1258" s="2" t="s">
        <v>573</v>
      </c>
      <c r="D1258" s="2" t="str">
        <f t="shared" si="18"/>
        <v>Error?</v>
      </c>
    </row>
    <row r="1259" spans="1:4" x14ac:dyDescent="0.2">
      <c r="A1259" s="5">
        <v>1198</v>
      </c>
      <c r="B1259" s="138">
        <f>'Expenditures 15-22'!G151</f>
        <v>16449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633679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642842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642842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642842</v>
      </c>
      <c r="C1288" s="2" t="s">
        <v>573</v>
      </c>
      <c r="D1288" s="2" t="str">
        <f t="shared" si="19"/>
        <v>Error?</v>
      </c>
    </row>
    <row r="1289" spans="1:4" x14ac:dyDescent="0.2">
      <c r="A1289" s="5">
        <v>1228</v>
      </c>
      <c r="B1289" s="138">
        <f>'Expenditures 15-22'!K152</f>
        <v>83136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956697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635009</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1593206</v>
      </c>
      <c r="C1317" s="2" t="s">
        <v>573</v>
      </c>
      <c r="D1317" s="2" t="str">
        <f t="shared" si="19"/>
        <v>Error?</v>
      </c>
    </row>
    <row r="1318" spans="1:4" x14ac:dyDescent="0.2">
      <c r="A1318" s="5">
        <v>1257</v>
      </c>
      <c r="B1318" s="138">
        <f>'Expenditures 15-22'!H174</f>
        <v>1593206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956697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635009</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1593206</v>
      </c>
      <c r="C1331" s="2" t="s">
        <v>573</v>
      </c>
      <c r="D1331" s="2" t="str">
        <f t="shared" si="19"/>
        <v>Error?</v>
      </c>
    </row>
    <row r="1332" spans="1:4" x14ac:dyDescent="0.2">
      <c r="A1332" s="5">
        <v>1271</v>
      </c>
      <c r="B1332" s="138">
        <f>'Expenditures 15-22'!K174</f>
        <v>1593206</v>
      </c>
      <c r="C1332" s="2" t="s">
        <v>573</v>
      </c>
      <c r="D1332" s="2" t="str">
        <f t="shared" si="19"/>
        <v>Error?</v>
      </c>
    </row>
    <row r="1333" spans="1:4" x14ac:dyDescent="0.2">
      <c r="A1333" s="5">
        <v>1272</v>
      </c>
      <c r="B1333" s="138">
        <f>'Expenditures 15-22'!K175</f>
        <v>-222351</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1371839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1371839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1371839</v>
      </c>
      <c r="C1353" s="2" t="s">
        <v>573</v>
      </c>
      <c r="D1353" s="2" t="str">
        <f t="shared" si="20"/>
        <v>Error?</v>
      </c>
    </row>
    <row r="1354" spans="1:4" x14ac:dyDescent="0.2">
      <c r="A1354" s="5">
        <v>1293</v>
      </c>
      <c r="B1354" s="138">
        <f>'Expenditures 15-22'!F182</f>
        <v>94232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94232</v>
      </c>
      <c r="C1358" s="2" t="s">
        <v>573</v>
      </c>
      <c r="D1358" s="2" t="str">
        <f t="shared" si="20"/>
        <v>Error?</v>
      </c>
    </row>
    <row r="1359" spans="1:4" x14ac:dyDescent="0.2">
      <c r="A1359" s="5">
        <v>1298</v>
      </c>
      <c r="B1359" s="138">
        <f>'Expenditures 15-22'!F210</f>
        <v>94232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100</v>
      </c>
      <c r="C1376" s="2" t="s">
        <v>573</v>
      </c>
      <c r="D1376" s="2" t="str">
        <f t="shared" si="20"/>
        <v>Error?</v>
      </c>
    </row>
    <row r="1377" spans="1:4" x14ac:dyDescent="0.2">
      <c r="A1377" s="5">
        <v>1316</v>
      </c>
      <c r="B1377" s="138">
        <f>'Expenditures 15-22'!K182</f>
        <v>1466171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1466171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1466171</v>
      </c>
      <c r="C1388" s="2" t="s">
        <v>573</v>
      </c>
      <c r="D1388" s="2" t="str">
        <f t="shared" si="20"/>
        <v>Error?</v>
      </c>
    </row>
    <row r="1389" spans="1:4" x14ac:dyDescent="0.2">
      <c r="A1389" s="5">
        <v>1328</v>
      </c>
      <c r="B1389" s="138">
        <f>'Expenditures 15-22'!K211</f>
        <v>-46418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2378</v>
      </c>
      <c r="D1407" s="2" t="str">
        <f t="shared" ref="D1407:D1470" si="21">IF(ISBLANK(B1407),"OK",IF(A1407-B1407=0,"OK","Error?"))</f>
        <v>Error?</v>
      </c>
    </row>
    <row r="1408" spans="1:4" x14ac:dyDescent="0.2">
      <c r="A1408" s="5">
        <v>1347</v>
      </c>
      <c r="B1408" s="138">
        <f>'Expenditures 15-22'!D223</f>
        <v>2063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131123</v>
      </c>
      <c r="C1410" s="2" t="s">
        <v>573</v>
      </c>
      <c r="D1410" s="2" t="str">
        <f t="shared" si="21"/>
        <v>Error?</v>
      </c>
    </row>
    <row r="1411" spans="1:4" x14ac:dyDescent="0.2">
      <c r="A1411" s="5">
        <v>1350</v>
      </c>
      <c r="B1411" s="138">
        <f>'Expenditures 15-22'!D232</f>
        <v>676</v>
      </c>
      <c r="D1411" s="2" t="str">
        <f t="shared" si="21"/>
        <v>Error?</v>
      </c>
    </row>
    <row r="1412" spans="1:4" x14ac:dyDescent="0.2">
      <c r="A1412" s="5">
        <v>1351</v>
      </c>
      <c r="B1412" s="138">
        <f>'Expenditures 15-22'!D233</f>
        <v>692</v>
      </c>
      <c r="D1412" s="2" t="str">
        <f t="shared" si="21"/>
        <v>Error?</v>
      </c>
    </row>
    <row r="1413" spans="1:4" x14ac:dyDescent="0.2">
      <c r="A1413" s="5">
        <v>1352</v>
      </c>
      <c r="B1413" s="138">
        <f>'Expenditures 15-22'!D234</f>
        <v>12246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13614</v>
      </c>
      <c r="C1417" s="2" t="s">
        <v>573</v>
      </c>
      <c r="D1417" s="2" t="str">
        <f t="shared" si="21"/>
        <v>Error?</v>
      </c>
    </row>
    <row r="1418" spans="1:4" x14ac:dyDescent="0.2">
      <c r="A1418" s="5">
        <v>1357</v>
      </c>
      <c r="B1418" s="138">
        <f>'Expenditures 15-22'!D240</f>
        <v>252</v>
      </c>
      <c r="D1418" s="2" t="str">
        <f t="shared" si="21"/>
        <v>Error?</v>
      </c>
    </row>
    <row r="1419" spans="1:4" x14ac:dyDescent="0.2">
      <c r="A1419" s="5">
        <v>1358</v>
      </c>
      <c r="B1419" s="138">
        <f>'Expenditures 15-22'!D241</f>
        <v>13051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13303</v>
      </c>
      <c r="C1421" s="2" t="s">
        <v>573</v>
      </c>
      <c r="D1421" s="2" t="str">
        <f t="shared" si="21"/>
        <v>Error?</v>
      </c>
    </row>
    <row r="1422" spans="1:4" x14ac:dyDescent="0.2">
      <c r="A1422" s="5">
        <v>1361</v>
      </c>
      <c r="B1422" s="138">
        <f>'Expenditures 15-22'!D245</f>
        <v>8697</v>
      </c>
      <c r="D1422" s="2" t="str">
        <f t="shared" si="21"/>
        <v>Error?</v>
      </c>
    </row>
    <row r="1423" spans="1:4" x14ac:dyDescent="0.2">
      <c r="A1423" s="5">
        <v>1362</v>
      </c>
      <c r="B1423" s="138">
        <f>'Expenditures 15-22'!D246</f>
        <v>22499</v>
      </c>
      <c r="D1423" s="2" t="str">
        <f t="shared" si="21"/>
        <v>Error?</v>
      </c>
    </row>
    <row r="1424" spans="1:4" x14ac:dyDescent="0.2">
      <c r="A1424" s="5">
        <v>1363</v>
      </c>
      <c r="B1424" s="138">
        <f>'Expenditures 15-22'!D257</f>
        <v>31196</v>
      </c>
      <c r="C1424" s="2" t="s">
        <v>573</v>
      </c>
      <c r="D1424" s="2" t="str">
        <f t="shared" si="21"/>
        <v>Error?</v>
      </c>
    </row>
    <row r="1425" spans="1:4" x14ac:dyDescent="0.2">
      <c r="A1425" s="5">
        <v>1364</v>
      </c>
      <c r="B1425" s="138">
        <f>'Expenditures 15-22'!D259</f>
        <v>46667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46667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10506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88111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56307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154924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19272</v>
      </c>
      <c r="D1442" s="2" t="str">
        <f t="shared" si="21"/>
        <v>Error?</v>
      </c>
    </row>
    <row r="1443" spans="1:4" x14ac:dyDescent="0.2">
      <c r="A1443" s="10">
        <v>1382</v>
      </c>
      <c r="D1443" s="2" t="str">
        <f t="shared" si="21"/>
        <v>OK</v>
      </c>
    </row>
    <row r="1444" spans="1:4" x14ac:dyDescent="0.2">
      <c r="A1444" s="5">
        <v>1383</v>
      </c>
      <c r="B1444" s="138">
        <f>'Expenditures 15-22'!D277</f>
        <v>19272</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278976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410099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2378</v>
      </c>
      <c r="C1471" s="2" t="s">
        <v>573</v>
      </c>
      <c r="D1471" s="2" t="str">
        <f t="shared" ref="D1471:D1534" si="22">IF(ISBLANK(B1471),"OK",IF(A1471-B1471=0,"OK","Error?"))</f>
        <v>Error?</v>
      </c>
    </row>
    <row r="1472" spans="1:4" x14ac:dyDescent="0.2">
      <c r="A1472" s="5">
        <v>1411</v>
      </c>
      <c r="B1472" s="138">
        <f>'Expenditures 15-22'!K223</f>
        <v>2063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131123</v>
      </c>
      <c r="C1474" s="2" t="s">
        <v>573</v>
      </c>
      <c r="D1474" s="2" t="str">
        <f t="shared" si="22"/>
        <v>Error?</v>
      </c>
    </row>
    <row r="1475" spans="1:4" x14ac:dyDescent="0.2">
      <c r="A1475" s="5">
        <v>1414</v>
      </c>
      <c r="B1475" s="138">
        <f>'Expenditures 15-22'!K232</f>
        <v>676</v>
      </c>
      <c r="C1475" s="2" t="s">
        <v>573</v>
      </c>
      <c r="D1475" s="2" t="str">
        <f t="shared" si="22"/>
        <v>Error?</v>
      </c>
    </row>
    <row r="1476" spans="1:4" x14ac:dyDescent="0.2">
      <c r="A1476" s="5">
        <v>1415</v>
      </c>
      <c r="B1476" s="138">
        <f>'Expenditures 15-22'!K233</f>
        <v>692</v>
      </c>
      <c r="C1476" s="2" t="s">
        <v>573</v>
      </c>
      <c r="D1476" s="2" t="str">
        <f t="shared" si="22"/>
        <v>Error?</v>
      </c>
    </row>
    <row r="1477" spans="1:4" x14ac:dyDescent="0.2">
      <c r="A1477" s="5">
        <v>1416</v>
      </c>
      <c r="B1477" s="138">
        <f>'Expenditures 15-22'!K234</f>
        <v>12246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13614</v>
      </c>
      <c r="C1481" s="2" t="s">
        <v>573</v>
      </c>
      <c r="D1481" s="2" t="str">
        <f t="shared" si="22"/>
        <v>Error?</v>
      </c>
    </row>
    <row r="1482" spans="1:4" x14ac:dyDescent="0.2">
      <c r="A1482" s="5">
        <v>1421</v>
      </c>
      <c r="B1482" s="138">
        <f>'Expenditures 15-22'!K240</f>
        <v>252</v>
      </c>
      <c r="C1482" s="2" t="s">
        <v>573</v>
      </c>
      <c r="D1482" s="2" t="str">
        <f t="shared" si="22"/>
        <v>Error?</v>
      </c>
    </row>
    <row r="1483" spans="1:4" x14ac:dyDescent="0.2">
      <c r="A1483" s="5">
        <v>1422</v>
      </c>
      <c r="B1483" s="138">
        <f>'Expenditures 15-22'!K241</f>
        <v>13051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13303</v>
      </c>
      <c r="C1485" s="2" t="s">
        <v>573</v>
      </c>
      <c r="D1485" s="2" t="str">
        <f t="shared" si="22"/>
        <v>Error?</v>
      </c>
    </row>
    <row r="1486" spans="1:4" x14ac:dyDescent="0.2">
      <c r="A1486" s="5">
        <v>1425</v>
      </c>
      <c r="B1486" s="138">
        <f>'Expenditures 15-22'!K245</f>
        <v>8697</v>
      </c>
      <c r="C1486" s="2" t="s">
        <v>573</v>
      </c>
      <c r="D1486" s="2" t="str">
        <f t="shared" si="22"/>
        <v>Error?</v>
      </c>
    </row>
    <row r="1487" spans="1:4" x14ac:dyDescent="0.2">
      <c r="A1487" s="5">
        <v>1426</v>
      </c>
      <c r="B1487" s="138">
        <f>'Expenditures 15-22'!K246</f>
        <v>22499</v>
      </c>
      <c r="C1487" s="2" t="s">
        <v>573</v>
      </c>
      <c r="D1487" s="2" t="str">
        <f t="shared" si="22"/>
        <v>Error?</v>
      </c>
    </row>
    <row r="1488" spans="1:4" x14ac:dyDescent="0.2">
      <c r="A1488" s="5">
        <v>1427</v>
      </c>
      <c r="B1488" s="138">
        <f>'Expenditures 15-22'!K257</f>
        <v>31196</v>
      </c>
      <c r="C1488" s="2" t="s">
        <v>573</v>
      </c>
      <c r="D1488" s="2" t="str">
        <f t="shared" si="22"/>
        <v>Error?</v>
      </c>
    </row>
    <row r="1489" spans="1:4" x14ac:dyDescent="0.2">
      <c r="A1489" s="5">
        <v>1428</v>
      </c>
      <c r="B1489" s="138">
        <f>'Expenditures 15-22'!K259</f>
        <v>46667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46667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10506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88111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56307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154924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19272</v>
      </c>
      <c r="C1506" s="2" t="s">
        <v>573</v>
      </c>
      <c r="D1506" s="2" t="str">
        <f t="shared" si="22"/>
        <v>Error?</v>
      </c>
    </row>
    <row r="1507" spans="1:4" x14ac:dyDescent="0.2">
      <c r="A1507" s="10">
        <v>1446</v>
      </c>
      <c r="D1507" s="2" t="str">
        <f t="shared" si="22"/>
        <v>OK</v>
      </c>
    </row>
    <row r="1508" spans="1:4" x14ac:dyDescent="0.2">
      <c r="A1508" s="5">
        <v>1447</v>
      </c>
      <c r="B1508" s="138">
        <f>'Expenditures 15-22'!K277</f>
        <v>19272</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278976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410099</v>
      </c>
      <c r="C1517" s="2" t="s">
        <v>573</v>
      </c>
      <c r="D1517" s="2" t="str">
        <f t="shared" si="22"/>
        <v>Error?</v>
      </c>
    </row>
    <row r="1518" spans="1:4" x14ac:dyDescent="0.2">
      <c r="A1518" s="5">
        <v>1457</v>
      </c>
      <c r="B1518" s="138">
        <f>'Expenditures 15-22'!K296</f>
        <v>-10026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656480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656480</v>
      </c>
      <c r="C1535" s="2" t="s">
        <v>573</v>
      </c>
      <c r="D1535" s="2" t="str">
        <f t="shared" ref="D1535:D1598" si="23">IF(ISBLANK(B1535),"OK",IF(A1535-B1535=0,"OK","Error?"))</f>
        <v>Error?</v>
      </c>
    </row>
    <row r="1536" spans="1:4" x14ac:dyDescent="0.2">
      <c r="A1536" s="5">
        <v>1475</v>
      </c>
      <c r="B1536" s="138">
        <f>'Expenditures 15-22'!E312</f>
        <v>656480</v>
      </c>
      <c r="C1536" s="2" t="s">
        <v>573</v>
      </c>
      <c r="D1536" s="2" t="str">
        <f t="shared" si="23"/>
        <v>Error?</v>
      </c>
    </row>
    <row r="1537" spans="1:4" x14ac:dyDescent="0.2">
      <c r="A1537" s="5">
        <v>1476</v>
      </c>
      <c r="B1537" s="138">
        <f>'Expenditures 15-22'!F301</f>
        <v>10392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10392</v>
      </c>
      <c r="C1541" s="2" t="s">
        <v>573</v>
      </c>
      <c r="D1541" s="2" t="str">
        <f t="shared" si="23"/>
        <v>Error?</v>
      </c>
    </row>
    <row r="1542" spans="1:4" x14ac:dyDescent="0.2">
      <c r="A1542" s="5">
        <v>1481</v>
      </c>
      <c r="B1542" s="138">
        <f>'Expenditures 15-22'!F312</f>
        <v>10392</v>
      </c>
      <c r="C1542" s="2" t="s">
        <v>573</v>
      </c>
      <c r="D1542" s="2" t="str">
        <f t="shared" si="23"/>
        <v>Error?</v>
      </c>
    </row>
    <row r="1543" spans="1:4" x14ac:dyDescent="0.2">
      <c r="A1543" s="5">
        <v>1482</v>
      </c>
      <c r="B1543" s="138">
        <f>'Expenditures 15-22'!G301</f>
        <v>42324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42324</v>
      </c>
      <c r="C1547" s="2" t="s">
        <v>573</v>
      </c>
      <c r="D1547" s="2" t="str">
        <f t="shared" si="23"/>
        <v>Error?</v>
      </c>
    </row>
    <row r="1548" spans="1:4" x14ac:dyDescent="0.2">
      <c r="A1548" s="5">
        <v>1487</v>
      </c>
      <c r="B1548" s="138">
        <f>'Expenditures 15-22'!G312</f>
        <v>42324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709196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709196</v>
      </c>
      <c r="C1559" s="2" t="s">
        <v>573</v>
      </c>
      <c r="D1559" s="2" t="str">
        <f t="shared" si="23"/>
        <v>Error?</v>
      </c>
    </row>
    <row r="1560" spans="1:4" x14ac:dyDescent="0.2">
      <c r="A1560" s="5">
        <v>1499</v>
      </c>
      <c r="B1560" s="138">
        <f>'Expenditures 15-22'!K312</f>
        <v>709196</v>
      </c>
      <c r="C1560" s="2" t="s">
        <v>573</v>
      </c>
      <c r="D1560" s="2" t="str">
        <f t="shared" si="23"/>
        <v>Error?</v>
      </c>
    </row>
    <row r="1561" spans="1:4" x14ac:dyDescent="0.2">
      <c r="A1561" s="5">
        <v>1500</v>
      </c>
      <c r="B1561" s="138">
        <f>'Expenditures 15-22'!K313</f>
        <v>-125351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5565670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4283173</v>
      </c>
      <c r="C1630" s="2" t="s">
        <v>573</v>
      </c>
      <c r="D1630" s="2" t="str">
        <f t="shared" si="24"/>
        <v>Error?</v>
      </c>
    </row>
    <row r="1631" spans="1:4" x14ac:dyDescent="0.2">
      <c r="A1631" s="5">
        <v>1570</v>
      </c>
      <c r="B1631" s="138">
        <f>'Acct Summary 7-8'!D79</f>
        <v>2192670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2276061</v>
      </c>
      <c r="C1644" s="2" t="s">
        <v>573</v>
      </c>
      <c r="D1644" s="2" t="str">
        <f t="shared" si="24"/>
        <v>Error?</v>
      </c>
    </row>
    <row r="1645" spans="1:4" x14ac:dyDescent="0.2">
      <c r="A1645" s="5">
        <v>1584</v>
      </c>
      <c r="B1645" s="138">
        <f>'Acct Summary 7-8'!E79</f>
        <v>698660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859117</v>
      </c>
      <c r="C1658" s="2" t="s">
        <v>573</v>
      </c>
      <c r="D1658" s="2" t="str">
        <f t="shared" si="24"/>
        <v>Error?</v>
      </c>
    </row>
    <row r="1659" spans="1:4" x14ac:dyDescent="0.2">
      <c r="A1659" s="5">
        <v>1598</v>
      </c>
      <c r="B1659" s="138">
        <f>'Acct Summary 7-8'!F79</f>
        <v>2222933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2176515</v>
      </c>
      <c r="C1672" s="2" t="s">
        <v>573</v>
      </c>
      <c r="D1672" s="2" t="str">
        <f t="shared" si="25"/>
        <v>Error?</v>
      </c>
    </row>
    <row r="1673" spans="1:4" x14ac:dyDescent="0.2">
      <c r="A1673" s="5">
        <v>1612</v>
      </c>
      <c r="B1673" s="138">
        <f>'Acct Summary 7-8'!G79</f>
        <v>504767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494741</v>
      </c>
      <c r="C1686" s="2" t="s">
        <v>573</v>
      </c>
      <c r="D1686" s="2" t="str">
        <f t="shared" si="25"/>
        <v>Error?</v>
      </c>
    </row>
    <row r="1687" spans="1:4" x14ac:dyDescent="0.2">
      <c r="A1687" s="5">
        <v>1626</v>
      </c>
      <c r="B1687" s="138">
        <f>'Acct Summary 7-8'!H79</f>
        <v>490262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4820414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3669943</v>
      </c>
      <c r="C1744" s="2" t="s">
        <v>573</v>
      </c>
      <c r="D1744" s="2" t="str">
        <f t="shared" si="26"/>
        <v>Error?</v>
      </c>
    </row>
    <row r="1745" spans="1:5" x14ac:dyDescent="0.2">
      <c r="A1745" s="5">
        <v>1684</v>
      </c>
      <c r="B1745" s="138">
        <f>'Tax Sched 23'!B5</f>
        <v>695147</v>
      </c>
      <c r="C1745" s="2" t="s">
        <v>573</v>
      </c>
      <c r="D1745" s="2" t="str">
        <f t="shared" si="26"/>
        <v>Error?</v>
      </c>
    </row>
    <row r="1746" spans="1:5" x14ac:dyDescent="0.2">
      <c r="A1746" s="5">
        <v>1685</v>
      </c>
      <c r="B1746" s="138">
        <f>'Tax Sched 23'!B6</f>
        <v>1363918</v>
      </c>
      <c r="C1746" s="2" t="s">
        <v>573</v>
      </c>
      <c r="D1746" s="2" t="str">
        <f t="shared" si="26"/>
        <v>Error?</v>
      </c>
    </row>
    <row r="1747" spans="1:5" x14ac:dyDescent="0.2">
      <c r="A1747" s="5">
        <v>1686</v>
      </c>
      <c r="B1747" s="138">
        <f>'Tax Sched 23'!B7</f>
        <v>278059</v>
      </c>
      <c r="C1747" s="2" t="s">
        <v>573</v>
      </c>
      <c r="D1747" s="2" t="str">
        <f t="shared" si="26"/>
        <v>Error?</v>
      </c>
    </row>
    <row r="1748" spans="1:5" x14ac:dyDescent="0.2">
      <c r="A1748" s="5">
        <v>1687</v>
      </c>
      <c r="B1748" s="138">
        <f>'Tax Sched 23'!B8</f>
        <v>188606</v>
      </c>
      <c r="C1748" s="2" t="s">
        <v>573</v>
      </c>
      <c r="D1748" s="2" t="str">
        <f t="shared" si="26"/>
        <v>Error?</v>
      </c>
    </row>
    <row r="1749" spans="1:5" x14ac:dyDescent="0.2">
      <c r="A1749" s="5">
        <v>1688</v>
      </c>
      <c r="B1749" s="138">
        <f>'Tax Sched 23'!B10</f>
        <v>69514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465957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55612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7030902</v>
      </c>
      <c r="C1759" s="2" t="s">
        <v>573</v>
      </c>
      <c r="D1759" s="2" t="str">
        <f t="shared" si="26"/>
        <v>Error?</v>
      </c>
    </row>
    <row r="1760" spans="1:5" x14ac:dyDescent="0.2">
      <c r="A1760" s="5">
        <v>1699</v>
      </c>
      <c r="B1760" s="138">
        <f>'Tax Sched 23'!D4</f>
        <v>2612763</v>
      </c>
      <c r="C1760" s="2" t="s">
        <v>573</v>
      </c>
      <c r="D1760" s="2" t="str">
        <f t="shared" si="26"/>
        <v>Error?</v>
      </c>
    </row>
    <row r="1761" spans="1:5" x14ac:dyDescent="0.2">
      <c r="A1761" s="5">
        <v>1700</v>
      </c>
      <c r="B1761" s="138">
        <f>'Tax Sched 23'!D5</f>
        <v>494525</v>
      </c>
      <c r="C1761" s="2" t="s">
        <v>573</v>
      </c>
      <c r="D1761" s="2" t="str">
        <f t="shared" si="26"/>
        <v>Error?</v>
      </c>
    </row>
    <row r="1762" spans="1:5" s="8" customFormat="1" x14ac:dyDescent="0.2">
      <c r="A1762" s="5">
        <v>1701</v>
      </c>
      <c r="B1762" s="138">
        <f>'Tax Sched 23'!D6</f>
        <v>975096</v>
      </c>
      <c r="C1762" s="2" t="s">
        <v>573</v>
      </c>
      <c r="D1762" s="2" t="str">
        <f t="shared" si="26"/>
        <v>Error?</v>
      </c>
      <c r="E1762" s="9"/>
    </row>
    <row r="1763" spans="1:5" x14ac:dyDescent="0.2">
      <c r="A1763" s="5">
        <v>1702</v>
      </c>
      <c r="B1763" s="138">
        <f>'Tax Sched 23'!D7</f>
        <v>197810</v>
      </c>
      <c r="C1763" s="2" t="s">
        <v>573</v>
      </c>
      <c r="D1763" s="2" t="str">
        <f t="shared" si="26"/>
        <v>Error?</v>
      </c>
    </row>
    <row r="1764" spans="1:5" x14ac:dyDescent="0.2">
      <c r="A1764" s="5">
        <v>1703</v>
      </c>
      <c r="B1764" s="138">
        <f>'Tax Sched 23'!D8</f>
        <v>148287</v>
      </c>
      <c r="C1764" s="2" t="s">
        <v>573</v>
      </c>
      <c r="D1764" s="2" t="str">
        <f t="shared" si="26"/>
        <v>Error?</v>
      </c>
    </row>
    <row r="1765" spans="1:5" x14ac:dyDescent="0.2">
      <c r="A1765" s="5">
        <v>1704</v>
      </c>
      <c r="B1765" s="138">
        <f>'Tax Sched 23'!D10</f>
        <v>49453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319519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39562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5013080</v>
      </c>
      <c r="C1775" s="2" t="s">
        <v>573</v>
      </c>
      <c r="D1775" s="2" t="str">
        <f t="shared" si="26"/>
        <v>Error?</v>
      </c>
    </row>
    <row r="1776" spans="1:5" x14ac:dyDescent="0.2">
      <c r="A1776" s="5">
        <v>1715</v>
      </c>
      <c r="B1776" s="138">
        <f>'Tax Sched 23'!C4</f>
        <v>1057180</v>
      </c>
      <c r="D1776" s="2" t="str">
        <f t="shared" si="26"/>
        <v>Error?</v>
      </c>
    </row>
    <row r="1777" spans="1:4" x14ac:dyDescent="0.2">
      <c r="A1777" s="5">
        <v>1716</v>
      </c>
      <c r="B1777" s="138">
        <f>'Tax Sched 23'!C5</f>
        <v>200622</v>
      </c>
      <c r="D1777" s="2" t="str">
        <f t="shared" si="26"/>
        <v>Error?</v>
      </c>
    </row>
    <row r="1778" spans="1:4" x14ac:dyDescent="0.2">
      <c r="A1778" s="5">
        <v>1717</v>
      </c>
      <c r="B1778" s="138">
        <f>'Tax Sched 23'!C6</f>
        <v>388822</v>
      </c>
      <c r="D1778" s="2" t="str">
        <f t="shared" si="26"/>
        <v>Error?</v>
      </c>
    </row>
    <row r="1779" spans="1:4" x14ac:dyDescent="0.2">
      <c r="A1779" s="5">
        <v>1718</v>
      </c>
      <c r="B1779" s="138">
        <f>'Tax Sched 23'!C7</f>
        <v>80249</v>
      </c>
      <c r="D1779" s="2" t="str">
        <f t="shared" si="26"/>
        <v>Error?</v>
      </c>
    </row>
    <row r="1780" spans="1:4" x14ac:dyDescent="0.2">
      <c r="A1780" s="5">
        <v>1719</v>
      </c>
      <c r="B1780" s="138">
        <f>'Tax Sched 23'!C8</f>
        <v>40319</v>
      </c>
      <c r="D1780" s="2" t="str">
        <f t="shared" si="26"/>
        <v>Error?</v>
      </c>
    </row>
    <row r="1781" spans="1:4" x14ac:dyDescent="0.2">
      <c r="A1781" s="5">
        <v>1720</v>
      </c>
      <c r="B1781" s="138">
        <f>'Tax Sched 23'!C10</f>
        <v>20061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146438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16050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2017822</v>
      </c>
      <c r="C1791" s="2" t="s">
        <v>573</v>
      </c>
      <c r="D1791" s="2" t="str">
        <f t="shared" ref="D1791:D1854" si="27">IF(ISBLANK(B1791),"OK",IF(A1791-B1791=0,"OK","Error?"))</f>
        <v>Error?</v>
      </c>
    </row>
    <row r="1792" spans="1:4" x14ac:dyDescent="0.2">
      <c r="A1792" s="5">
        <v>1731</v>
      </c>
      <c r="B1792" s="138">
        <f>'Tax Sched 23'!F4</f>
        <v>3155640</v>
      </c>
      <c r="C1792" s="2" t="s">
        <v>573</v>
      </c>
      <c r="D1792" s="2" t="str">
        <f t="shared" si="27"/>
        <v>Error?</v>
      </c>
    </row>
    <row r="1793" spans="1:4" x14ac:dyDescent="0.2">
      <c r="A1793" s="5">
        <v>1732</v>
      </c>
      <c r="B1793" s="138">
        <f>'Tax Sched 23'!F5</f>
        <v>598772</v>
      </c>
      <c r="C1793" s="2" t="s">
        <v>573</v>
      </c>
      <c r="D1793" s="2" t="str">
        <f t="shared" si="27"/>
        <v>Error?</v>
      </c>
    </row>
    <row r="1794" spans="1:4" x14ac:dyDescent="0.2">
      <c r="A1794" s="5">
        <v>1733</v>
      </c>
      <c r="B1794" s="138">
        <f>'Tax Sched 23'!F6</f>
        <v>1158032</v>
      </c>
      <c r="C1794" s="2" t="s">
        <v>573</v>
      </c>
      <c r="D1794" s="2" t="str">
        <f t="shared" si="27"/>
        <v>Error?</v>
      </c>
    </row>
    <row r="1795" spans="1:4" x14ac:dyDescent="0.2">
      <c r="A1795" s="5">
        <v>1734</v>
      </c>
      <c r="B1795" s="138">
        <f>'Tax Sched 23'!F7</f>
        <v>239508</v>
      </c>
      <c r="C1795" s="2" t="s">
        <v>573</v>
      </c>
      <c r="D1795" s="2" t="str">
        <f t="shared" si="27"/>
        <v>Error?</v>
      </c>
    </row>
    <row r="1796" spans="1:4" x14ac:dyDescent="0.2">
      <c r="A1796" s="5">
        <v>1735</v>
      </c>
      <c r="B1796" s="138">
        <f>'Tax Sched 23'!F8</f>
        <v>120403</v>
      </c>
      <c r="C1796" s="2" t="s">
        <v>573</v>
      </c>
      <c r="D1796" s="2" t="str">
        <f t="shared" si="27"/>
        <v>Error?</v>
      </c>
    </row>
    <row r="1797" spans="1:4" x14ac:dyDescent="0.2">
      <c r="A1797" s="5">
        <v>1736</v>
      </c>
      <c r="B1797" s="138">
        <f>'Tax Sched 23'!F10</f>
        <v>59878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436128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47901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6018987</v>
      </c>
      <c r="C1807" s="2" t="s">
        <v>573</v>
      </c>
      <c r="D1807" s="2" t="str">
        <f t="shared" si="27"/>
        <v>Error?</v>
      </c>
    </row>
    <row r="1808" spans="1:4" x14ac:dyDescent="0.2">
      <c r="A1808" s="5">
        <v>1747</v>
      </c>
      <c r="B1808" s="138">
        <f>'Tax Sched 23'!E4</f>
        <v>4212820</v>
      </c>
      <c r="D1808" s="2" t="str">
        <f t="shared" si="27"/>
        <v>Error?</v>
      </c>
    </row>
    <row r="1809" spans="1:4" x14ac:dyDescent="0.2">
      <c r="A1809" s="5">
        <v>1748</v>
      </c>
      <c r="B1809" s="138">
        <f>'Tax Sched 23'!E5</f>
        <v>799394</v>
      </c>
      <c r="D1809" s="2" t="str">
        <f t="shared" si="27"/>
        <v>Error?</v>
      </c>
    </row>
    <row r="1810" spans="1:4" x14ac:dyDescent="0.2">
      <c r="A1810" s="5">
        <v>1749</v>
      </c>
      <c r="B1810" s="138">
        <f>'Tax Sched 23'!E6</f>
        <v>1546854</v>
      </c>
      <c r="D1810" s="2" t="str">
        <f t="shared" si="27"/>
        <v>Error?</v>
      </c>
    </row>
    <row r="1811" spans="1:4" x14ac:dyDescent="0.2">
      <c r="A1811" s="5">
        <v>1750</v>
      </c>
      <c r="B1811" s="138">
        <f>'Tax Sched 23'!E7</f>
        <v>319757</v>
      </c>
      <c r="D1811" s="2" t="str">
        <f t="shared" si="27"/>
        <v>Error?</v>
      </c>
    </row>
    <row r="1812" spans="1:4" x14ac:dyDescent="0.2">
      <c r="A1812" s="5">
        <v>1751</v>
      </c>
      <c r="B1812" s="138">
        <f>'Tax Sched 23'!E8</f>
        <v>160722</v>
      </c>
      <c r="D1812" s="2" t="str">
        <f t="shared" si="27"/>
        <v>Error?</v>
      </c>
    </row>
    <row r="1813" spans="1:4" x14ac:dyDescent="0.2">
      <c r="A1813" s="5">
        <v>1752</v>
      </c>
      <c r="B1813" s="138">
        <f>'Tax Sched 23'!E10</f>
        <v>79939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582566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63951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8036809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2581725</v>
      </c>
      <c r="C1939" s="2" t="s">
        <v>573</v>
      </c>
      <c r="D1939" s="2" t="str">
        <f t="shared" si="29"/>
        <v>Error?</v>
      </c>
    </row>
    <row r="1940" spans="1:5" x14ac:dyDescent="0.2">
      <c r="A1940" s="5">
        <v>1879</v>
      </c>
      <c r="B1940" s="138">
        <f>'Short-Term Long-Term Debt 24'!F49</f>
        <v>4451703</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55612</v>
      </c>
      <c r="D1972" s="2" t="str">
        <f t="shared" si="29"/>
        <v>Error?</v>
      </c>
    </row>
    <row r="1973" spans="1:5" x14ac:dyDescent="0.2">
      <c r="A1973" s="5">
        <v>1912</v>
      </c>
      <c r="B1973" s="138">
        <f>'Rest Tax Levies-Tort Im 25'!H6</f>
        <v>55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55667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55667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537074</v>
      </c>
      <c r="D2008" s="2" t="str">
        <f t="shared" si="30"/>
        <v>Error?</v>
      </c>
    </row>
    <row r="2009" spans="1:4" x14ac:dyDescent="0.2">
      <c r="A2009" s="5">
        <v>1948</v>
      </c>
      <c r="B2009" s="138">
        <f>'Cap Outlay Deprec 26'!C8</f>
        <v>29188067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1670122</v>
      </c>
      <c r="D2011" s="2" t="str">
        <f t="shared" si="30"/>
        <v>Error?</v>
      </c>
    </row>
    <row r="2012" spans="1:4" x14ac:dyDescent="0.2">
      <c r="A2012" s="5">
        <v>1951</v>
      </c>
      <c r="B2012" s="138">
        <f>'Cap Outlay Deprec 26'!C13</f>
        <v>50705</v>
      </c>
      <c r="D2012" s="2" t="str">
        <f t="shared" si="30"/>
        <v>Error?</v>
      </c>
    </row>
    <row r="2013" spans="1:4" x14ac:dyDescent="0.2">
      <c r="A2013" s="5">
        <v>1952</v>
      </c>
      <c r="B2013" s="138">
        <f>'Cap Outlay Deprec 26'!C16</f>
        <v>31470424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51797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129439</v>
      </c>
      <c r="D2017" s="2" t="str">
        <f t="shared" si="30"/>
        <v>Error?</v>
      </c>
    </row>
    <row r="2018" spans="1:4" x14ac:dyDescent="0.2">
      <c r="A2018" s="5">
        <v>1957</v>
      </c>
      <c r="B2018" s="138">
        <f>'Cap Outlay Deprec 26'!D13</f>
        <v>16003</v>
      </c>
      <c r="D2018" s="2" t="str">
        <f t="shared" si="30"/>
        <v>Error?</v>
      </c>
    </row>
    <row r="2019" spans="1:4" x14ac:dyDescent="0.2">
      <c r="A2019" s="5">
        <v>1958</v>
      </c>
      <c r="B2019" s="138">
        <f>'Cap Outlay Deprec 26'!D16</f>
        <v>197239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171559</v>
      </c>
      <c r="D2023" s="2" t="str">
        <f t="shared" si="30"/>
        <v>Error?</v>
      </c>
    </row>
    <row r="2024" spans="1:4" x14ac:dyDescent="0.2">
      <c r="A2024" s="5">
        <v>1963</v>
      </c>
      <c r="B2024" s="138">
        <f>'Cap Outlay Deprec 26'!E13</f>
        <v>17098</v>
      </c>
      <c r="D2024" s="2" t="str">
        <f t="shared" si="30"/>
        <v>Error?</v>
      </c>
    </row>
    <row r="2025" spans="1:4" x14ac:dyDescent="0.2">
      <c r="A2025" s="5">
        <v>1964</v>
      </c>
      <c r="B2025" s="138">
        <f>'Cap Outlay Deprec 26'!E16</f>
        <v>188657</v>
      </c>
      <c r="C2025" s="2" t="s">
        <v>573</v>
      </c>
      <c r="D2025" s="2" t="str">
        <f t="shared" si="30"/>
        <v>Error?</v>
      </c>
    </row>
    <row r="2026" spans="1:4" x14ac:dyDescent="0.2">
      <c r="A2026" s="5">
        <v>1965</v>
      </c>
      <c r="B2026" s="138">
        <f>'Cap Outlay Deprec 26'!F5</f>
        <v>537074</v>
      </c>
      <c r="C2026" s="2" t="s">
        <v>573</v>
      </c>
      <c r="D2026" s="2" t="str">
        <f t="shared" si="30"/>
        <v>Error?</v>
      </c>
    </row>
    <row r="2027" spans="1:4" x14ac:dyDescent="0.2">
      <c r="A2027" s="5">
        <v>1966</v>
      </c>
      <c r="B2027" s="138">
        <f>'Cap Outlay Deprec 26'!F8</f>
        <v>29239864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1628002</v>
      </c>
      <c r="C2029" s="2" t="s">
        <v>573</v>
      </c>
      <c r="D2029" s="2" t="str">
        <f t="shared" si="30"/>
        <v>Error?</v>
      </c>
    </row>
    <row r="2030" spans="1:4" x14ac:dyDescent="0.2">
      <c r="A2030" s="5">
        <v>1969</v>
      </c>
      <c r="B2030" s="138">
        <f>'Cap Outlay Deprec 26'!F13</f>
        <v>49610</v>
      </c>
      <c r="C2030" s="2" t="s">
        <v>573</v>
      </c>
      <c r="D2030" s="2" t="str">
        <f t="shared" si="30"/>
        <v>Error?</v>
      </c>
    </row>
    <row r="2031" spans="1:4" x14ac:dyDescent="0.2">
      <c r="A2031" s="5">
        <v>1970</v>
      </c>
      <c r="B2031" s="138">
        <f>'Cap Outlay Deprec 26'!F16</f>
        <v>31479006</v>
      </c>
      <c r="C2031" s="2" t="s">
        <v>573</v>
      </c>
      <c r="D2031" s="2" t="str">
        <f t="shared" si="30"/>
        <v>Error?</v>
      </c>
    </row>
    <row r="2032" spans="1:4" x14ac:dyDescent="0.2">
      <c r="A2032" s="10">
        <v>1971</v>
      </c>
      <c r="D2032" s="2" t="str">
        <f t="shared" si="30"/>
        <v>OK</v>
      </c>
    </row>
    <row r="2033" spans="1:4" x14ac:dyDescent="0.2">
      <c r="A2033" s="5">
        <v>1972</v>
      </c>
      <c r="B2033" s="138">
        <f>'Cap Outlay Deprec 26'!H8</f>
        <v>7511101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836078</v>
      </c>
      <c r="D2035" s="2" t="str">
        <f t="shared" si="30"/>
        <v>Error?</v>
      </c>
    </row>
    <row r="2036" spans="1:4" x14ac:dyDescent="0.2">
      <c r="A2036" s="5">
        <v>1975</v>
      </c>
      <c r="B2036" s="138">
        <f>'Cap Outlay Deprec 26'!H13</f>
        <v>30423</v>
      </c>
      <c r="D2036" s="2" t="str">
        <f t="shared" si="30"/>
        <v>Error?</v>
      </c>
    </row>
    <row r="2037" spans="1:4" x14ac:dyDescent="0.2">
      <c r="A2037" s="5">
        <v>1976</v>
      </c>
      <c r="B2037" s="138">
        <f>'Cap Outlay Deprec 26'!H16</f>
        <v>8393906</v>
      </c>
      <c r="C2037" s="2" t="s">
        <v>573</v>
      </c>
      <c r="D2037" s="2" t="str">
        <f t="shared" si="30"/>
        <v>Error?</v>
      </c>
    </row>
    <row r="2038" spans="1:4" x14ac:dyDescent="0.2">
      <c r="A2038" s="10">
        <v>1977</v>
      </c>
      <c r="D2038" s="2" t="str">
        <f t="shared" si="30"/>
        <v>OK</v>
      </c>
    </row>
    <row r="2039" spans="1:4" x14ac:dyDescent="0.2">
      <c r="A2039" s="5">
        <v>1978</v>
      </c>
      <c r="B2039" s="138">
        <f>'Cap Outlay Deprec 26'!I8</f>
        <v>584798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171747</v>
      </c>
      <c r="D2041" s="2" t="str">
        <f t="shared" si="30"/>
        <v>Error?</v>
      </c>
    </row>
    <row r="2042" spans="1:4" x14ac:dyDescent="0.2">
      <c r="A2042" s="5">
        <v>1981</v>
      </c>
      <c r="B2042" s="138">
        <f>'Cap Outlay Deprec 26'!I13</f>
        <v>9922</v>
      </c>
      <c r="D2042" s="2" t="str">
        <f t="shared" si="30"/>
        <v>Error?</v>
      </c>
    </row>
    <row r="2043" spans="1:4" x14ac:dyDescent="0.2">
      <c r="A2043" s="5">
        <v>1982</v>
      </c>
      <c r="B2043" s="138">
        <f>'Cap Outlay Deprec 26'!I16</f>
        <v>774619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171559</v>
      </c>
      <c r="D2047" s="2" t="str">
        <f t="shared" ref="D2047:D2110" si="31">IF(ISBLANK(B2047),"OK",IF(A2047-B2047=0,"OK","Error?"))</f>
        <v>Error?</v>
      </c>
    </row>
    <row r="2048" spans="1:4" x14ac:dyDescent="0.2">
      <c r="A2048" s="5">
        <v>1987</v>
      </c>
      <c r="B2048" s="138">
        <f>'Cap Outlay Deprec 26'!J13</f>
        <v>10259</v>
      </c>
      <c r="D2048" s="2" t="str">
        <f t="shared" si="31"/>
        <v>Error?</v>
      </c>
    </row>
    <row r="2049" spans="1:4" x14ac:dyDescent="0.2">
      <c r="A2049" s="5">
        <v>1988</v>
      </c>
      <c r="B2049" s="138">
        <f>'Cap Outlay Deprec 26'!J16</f>
        <v>181818</v>
      </c>
      <c r="C2049" s="2" t="s">
        <v>573</v>
      </c>
      <c r="D2049" s="2" t="str">
        <f t="shared" si="31"/>
        <v>Error?</v>
      </c>
    </row>
    <row r="2050" spans="1:4" x14ac:dyDescent="0.2">
      <c r="A2050" s="10">
        <v>1989</v>
      </c>
      <c r="D2050" s="2" t="str">
        <f t="shared" si="31"/>
        <v>OK</v>
      </c>
    </row>
    <row r="2051" spans="1:4" x14ac:dyDescent="0.2">
      <c r="A2051" s="5">
        <v>1990</v>
      </c>
      <c r="B2051" s="138">
        <f>'Cap Outlay Deprec 26'!K8</f>
        <v>8095899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836266</v>
      </c>
      <c r="C2053" s="2" t="s">
        <v>573</v>
      </c>
      <c r="D2053" s="2" t="str">
        <f t="shared" si="31"/>
        <v>Error?</v>
      </c>
    </row>
    <row r="2054" spans="1:4" x14ac:dyDescent="0.2">
      <c r="A2054" s="5">
        <v>1993</v>
      </c>
      <c r="B2054" s="138">
        <f>'Cap Outlay Deprec 26'!K13</f>
        <v>30086</v>
      </c>
      <c r="C2054" s="2" t="s">
        <v>573</v>
      </c>
      <c r="D2054" s="2" t="str">
        <f t="shared" si="31"/>
        <v>Error?</v>
      </c>
    </row>
    <row r="2055" spans="1:4" x14ac:dyDescent="0.2">
      <c r="A2055" s="5">
        <v>1994</v>
      </c>
      <c r="B2055" s="138">
        <f>'Cap Outlay Deprec 26'!K16</f>
        <v>8986707</v>
      </c>
      <c r="C2055" s="2" t="s">
        <v>573</v>
      </c>
      <c r="D2055" s="2" t="str">
        <f t="shared" si="31"/>
        <v>Error?</v>
      </c>
    </row>
    <row r="2056" spans="1:4" x14ac:dyDescent="0.2">
      <c r="A2056" s="5">
        <v>1995</v>
      </c>
      <c r="B2056" s="138">
        <f>'Cap Outlay Deprec 26'!L5</f>
        <v>537074</v>
      </c>
      <c r="C2056" s="2" t="s">
        <v>573</v>
      </c>
      <c r="D2056" s="2" t="str">
        <f t="shared" si="31"/>
        <v>Error?</v>
      </c>
    </row>
    <row r="2057" spans="1:4" x14ac:dyDescent="0.2">
      <c r="A2057" s="5">
        <v>1996</v>
      </c>
      <c r="B2057" s="138">
        <f>'Cap Outlay Deprec 26'!L8</f>
        <v>21143965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791736</v>
      </c>
      <c r="C2059" s="2" t="s">
        <v>573</v>
      </c>
      <c r="D2059" s="2" t="str">
        <f t="shared" si="31"/>
        <v>Error?</v>
      </c>
    </row>
    <row r="2060" spans="1:4" x14ac:dyDescent="0.2">
      <c r="A2060" s="5">
        <v>1999</v>
      </c>
      <c r="B2060" s="138">
        <f>'Cap Outlay Deprec 26'!L13</f>
        <v>19524</v>
      </c>
      <c r="C2060" s="2" t="s">
        <v>573</v>
      </c>
      <c r="D2060" s="2" t="str">
        <f t="shared" si="31"/>
        <v>Error?</v>
      </c>
    </row>
    <row r="2061" spans="1:4" x14ac:dyDescent="0.2">
      <c r="A2061" s="5">
        <v>2000</v>
      </c>
      <c r="B2061" s="138">
        <f>'Cap Outlay Deprec 26'!L16</f>
        <v>22492299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981377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1000114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20380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119606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154785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4482778</v>
      </c>
      <c r="C2551" s="2" t="s">
        <v>573</v>
      </c>
      <c r="D2551" s="2" t="str">
        <f t="shared" si="38"/>
        <v>Error?</v>
      </c>
    </row>
    <row r="2552" spans="1:4" x14ac:dyDescent="0.2">
      <c r="A2552" s="10">
        <v>2491</v>
      </c>
      <c r="D2552" s="2" t="str">
        <f t="shared" si="38"/>
        <v>OK</v>
      </c>
    </row>
    <row r="2553" spans="1:4" x14ac:dyDescent="0.2">
      <c r="A2553" s="5">
        <v>2492</v>
      </c>
      <c r="B2553" s="138">
        <f>'Acct Summary 7-8'!C6</f>
        <v>4418315</v>
      </c>
      <c r="C2553" s="2" t="s">
        <v>573</v>
      </c>
      <c r="D2553" s="2" t="str">
        <f t="shared" si="38"/>
        <v>Error?</v>
      </c>
    </row>
    <row r="2554" spans="1:4" x14ac:dyDescent="0.2">
      <c r="A2554" s="5">
        <v>2493</v>
      </c>
      <c r="B2554" s="138">
        <f>'Acct Summary 7-8'!C7</f>
        <v>622647</v>
      </c>
      <c r="C2554" s="2" t="s">
        <v>573</v>
      </c>
      <c r="D2554" s="2" t="str">
        <f t="shared" si="38"/>
        <v>Error?</v>
      </c>
    </row>
    <row r="2555" spans="1:4" x14ac:dyDescent="0.2">
      <c r="A2555" s="5">
        <v>2494</v>
      </c>
      <c r="B2555" s="138">
        <f>'Acct Summary 7-8'!C8</f>
        <v>9523740</v>
      </c>
      <c r="C2555" s="2" t="s">
        <v>573</v>
      </c>
      <c r="D2555" s="2" t="str">
        <f t="shared" si="38"/>
        <v>Error?</v>
      </c>
    </row>
    <row r="2556" spans="1:4" x14ac:dyDescent="0.2">
      <c r="A2556" s="5">
        <v>2495</v>
      </c>
      <c r="B2556" s="138">
        <f>'Acct Summary 7-8'!C12</f>
        <v>6558059</v>
      </c>
      <c r="C2556" s="2" t="s">
        <v>573</v>
      </c>
      <c r="D2556" s="2" t="str">
        <f t="shared" si="38"/>
        <v>Error?</v>
      </c>
    </row>
    <row r="2557" spans="1:4" x14ac:dyDescent="0.2">
      <c r="A2557" s="5">
        <v>2496</v>
      </c>
      <c r="B2557" s="138">
        <f>'Acct Summary 7-8'!C13</f>
        <v>3248064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1000114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10806237</v>
      </c>
      <c r="C2561" s="2" t="s">
        <v>573</v>
      </c>
      <c r="D2561" s="2" t="str">
        <f t="shared" si="39"/>
        <v>Error?</v>
      </c>
    </row>
    <row r="2562" spans="1:4" x14ac:dyDescent="0.2">
      <c r="A2562" s="5">
        <v>2501</v>
      </c>
      <c r="B2562" s="138">
        <f>'Acct Summary 7-8'!C20</f>
        <v>-1282497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725978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725978</v>
      </c>
      <c r="C2568" s="2" t="s">
        <v>573</v>
      </c>
      <c r="D2568" s="2" t="str">
        <f t="shared" si="39"/>
        <v>Error?</v>
      </c>
    </row>
    <row r="2569" spans="1:4" x14ac:dyDescent="0.2">
      <c r="A2569" s="5">
        <v>2508</v>
      </c>
      <c r="B2569" s="138">
        <f>'Acct Summary 7-8'!D13</f>
        <v>642842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642842</v>
      </c>
      <c r="C2573" s="2" t="s">
        <v>573</v>
      </c>
      <c r="D2573" s="2" t="str">
        <f t="shared" si="39"/>
        <v>Error?</v>
      </c>
    </row>
    <row r="2574" spans="1:4" x14ac:dyDescent="0.2">
      <c r="A2574" s="5">
        <v>2513</v>
      </c>
      <c r="B2574" s="138">
        <f>'Acct Summary 7-8'!D20</f>
        <v>83136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512714</v>
      </c>
      <c r="C2591" s="2" t="s">
        <v>573</v>
      </c>
      <c r="D2591" s="2" t="str">
        <f t="shared" si="39"/>
        <v>Error?</v>
      </c>
    </row>
    <row r="2592" spans="1:4" x14ac:dyDescent="0.2">
      <c r="A2592" s="10">
        <v>2531</v>
      </c>
      <c r="D2592" s="2" t="str">
        <f t="shared" si="39"/>
        <v>OK</v>
      </c>
    </row>
    <row r="2593" spans="1:4" x14ac:dyDescent="0.2">
      <c r="A2593" s="5">
        <v>2532</v>
      </c>
      <c r="B2593" s="138">
        <f>'Acct Summary 7-8'!F6</f>
        <v>907039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1419753</v>
      </c>
      <c r="C2595" s="2" t="s">
        <v>573</v>
      </c>
      <c r="D2595" s="2" t="str">
        <f t="shared" si="39"/>
        <v>Error?</v>
      </c>
    </row>
    <row r="2596" spans="1:4" x14ac:dyDescent="0.2">
      <c r="A2596" s="5">
        <v>2535</v>
      </c>
      <c r="B2596" s="138">
        <f>'Acct Summary 7-8'!F13</f>
        <v>1466171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1466171</v>
      </c>
      <c r="C2600" s="2" t="s">
        <v>573</v>
      </c>
      <c r="D2600" s="2" t="str">
        <f t="shared" si="39"/>
        <v>Error?</v>
      </c>
    </row>
    <row r="2601" spans="1:4" x14ac:dyDescent="0.2">
      <c r="A2601" s="5">
        <v>2540</v>
      </c>
      <c r="B2601" s="138">
        <f>'Acct Summary 7-8'!F20</f>
        <v>-46418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400073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400073</v>
      </c>
      <c r="C2606" s="2" t="s">
        <v>573</v>
      </c>
      <c r="D2606" s="2" t="str">
        <f t="shared" si="39"/>
        <v>Error?</v>
      </c>
    </row>
    <row r="2607" spans="1:4" x14ac:dyDescent="0.2">
      <c r="A2607" s="5">
        <v>2546</v>
      </c>
      <c r="B2607" s="138">
        <f>'Acct Summary 7-8'!G12</f>
        <v>131123</v>
      </c>
      <c r="C2607" s="2" t="s">
        <v>573</v>
      </c>
      <c r="D2607" s="2" t="str">
        <f t="shared" si="39"/>
        <v>Error?</v>
      </c>
    </row>
    <row r="2608" spans="1:4" x14ac:dyDescent="0.2">
      <c r="A2608" s="5">
        <v>2547</v>
      </c>
      <c r="B2608" s="138">
        <f>'Acct Summary 7-8'!G13</f>
        <v>278976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410099</v>
      </c>
      <c r="C2612" s="2" t="s">
        <v>573</v>
      </c>
      <c r="D2612" s="2" t="str">
        <f t="shared" si="39"/>
        <v>Error?</v>
      </c>
    </row>
    <row r="2613" spans="1:4" x14ac:dyDescent="0.2">
      <c r="A2613" s="5">
        <v>2552</v>
      </c>
      <c r="B2613" s="138">
        <f>'Acct Summary 7-8'!G20</f>
        <v>-10026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1370855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1370855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1593206</v>
      </c>
      <c r="C2634" s="2" t="s">
        <v>573</v>
      </c>
      <c r="D2634" s="2" t="str">
        <f t="shared" si="40"/>
        <v>Error?</v>
      </c>
    </row>
    <row r="2635" spans="1:4" x14ac:dyDescent="0.2">
      <c r="A2635" s="5">
        <v>2574</v>
      </c>
      <c r="B2635" s="138">
        <f>'Acct Summary 7-8'!E17</f>
        <v>1593206</v>
      </c>
      <c r="C2635" s="2" t="s">
        <v>573</v>
      </c>
      <c r="D2635" s="2" t="str">
        <f t="shared" si="40"/>
        <v>Error?</v>
      </c>
    </row>
    <row r="2636" spans="1:4" x14ac:dyDescent="0.2">
      <c r="A2636" s="5">
        <v>2575</v>
      </c>
      <c r="B2636" s="138">
        <f>'Acct Summary 7-8'!E20</f>
        <v>-222351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583845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583845</v>
      </c>
      <c r="C2658" s="2" t="s">
        <v>573</v>
      </c>
      <c r="D2658" s="2" t="str">
        <f t="shared" si="40"/>
        <v>Error?</v>
      </c>
    </row>
    <row r="2659" spans="1:4" x14ac:dyDescent="0.2">
      <c r="A2659" s="5">
        <v>2598</v>
      </c>
      <c r="B2659" s="138">
        <f>'Acct Summary 7-8'!H13</f>
        <v>709196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709196</v>
      </c>
      <c r="C2661" s="2" t="s">
        <v>573</v>
      </c>
      <c r="D2661" s="2" t="str">
        <f t="shared" si="40"/>
        <v>Error?</v>
      </c>
    </row>
    <row r="2662" spans="1:4" x14ac:dyDescent="0.2">
      <c r="A2662" s="5">
        <v>2601</v>
      </c>
      <c r="B2662" s="138">
        <f>'Acct Summary 7-8'!H20</f>
        <v>-125351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18737</v>
      </c>
      <c r="C2789" s="2" t="s">
        <v>573</v>
      </c>
      <c r="D2789" s="2" t="str">
        <f t="shared" si="42"/>
        <v>Error?</v>
      </c>
    </row>
    <row r="2790" spans="1:4" x14ac:dyDescent="0.2">
      <c r="A2790" s="5">
        <v>2729</v>
      </c>
      <c r="B2790" s="138">
        <f>'Expenditures 15-22'!E102</f>
        <v>18737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388272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1619684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1368507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1679238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1619684</v>
      </c>
      <c r="D2912" s="2" t="str">
        <f t="shared" si="44"/>
        <v>Error?</v>
      </c>
    </row>
    <row r="2913" spans="1:4" x14ac:dyDescent="0.2">
      <c r="A2913" s="5">
        <v>2852</v>
      </c>
      <c r="B2913" s="138">
        <f>'Assets-Liab 5-6'!I41</f>
        <v>1619684</v>
      </c>
      <c r="C2913" s="2" t="s">
        <v>573</v>
      </c>
      <c r="D2913" s="2" t="str">
        <f t="shared" si="44"/>
        <v>Error?</v>
      </c>
    </row>
    <row r="2914" spans="1:4" x14ac:dyDescent="0.2">
      <c r="A2914" s="5">
        <v>2853</v>
      </c>
      <c r="B2914" s="138">
        <f>'Assets-Liab 5-6'!L33</f>
        <v>130594</v>
      </c>
      <c r="D2914" s="2" t="str">
        <f t="shared" si="44"/>
        <v>Error?</v>
      </c>
    </row>
    <row r="2915" spans="1:4" x14ac:dyDescent="0.2">
      <c r="A2915" s="10">
        <v>2854</v>
      </c>
      <c r="D2915" s="2" t="str">
        <f t="shared" si="44"/>
        <v>OK</v>
      </c>
    </row>
    <row r="2916" spans="1:4" x14ac:dyDescent="0.2">
      <c r="A2916" s="5">
        <v>2855</v>
      </c>
      <c r="B2916" s="138">
        <f>'Assets-Liab 5-6'!L34</f>
        <v>130594</v>
      </c>
      <c r="C2916" s="2" t="s">
        <v>573</v>
      </c>
      <c r="D2916" s="2" t="str">
        <f t="shared" si="44"/>
        <v>Error?</v>
      </c>
    </row>
    <row r="2917" spans="1:4" x14ac:dyDescent="0.2">
      <c r="A2917" s="5">
        <v>2856</v>
      </c>
      <c r="B2917" s="138">
        <f>'Assets-Liab 5-6'!L41</f>
        <v>1679238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17370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1367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981377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998747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1367</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171142</v>
      </c>
      <c r="D3055" s="2" t="str">
        <f t="shared" si="46"/>
        <v>Error?</v>
      </c>
    </row>
    <row r="3056" spans="1:4" x14ac:dyDescent="0.2">
      <c r="A3056" s="5">
        <v>2995</v>
      </c>
      <c r="B3056" s="138">
        <f>'Expenditures 15-22'!D10</f>
        <v>1899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31575</v>
      </c>
      <c r="D3058" s="2" t="str">
        <f t="shared" si="46"/>
        <v>Error?</v>
      </c>
    </row>
    <row r="3059" spans="1:4" x14ac:dyDescent="0.2">
      <c r="A3059" s="5">
        <v>2998</v>
      </c>
      <c r="B3059" s="138">
        <f>'Expenditures 15-22'!G10</f>
        <v>1830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206446</v>
      </c>
      <c r="C3062" s="2" t="s">
        <v>573</v>
      </c>
      <c r="D3062" s="2" t="str">
        <f t="shared" si="46"/>
        <v>Error?</v>
      </c>
    </row>
    <row r="3063" spans="1:4" x14ac:dyDescent="0.2">
      <c r="A3063" s="10">
        <v>3002</v>
      </c>
      <c r="D3063" s="2" t="str">
        <f t="shared" si="46"/>
        <v>OK</v>
      </c>
    </row>
    <row r="3064" spans="1:4" x14ac:dyDescent="0.2">
      <c r="A3064" s="5">
        <v>3003</v>
      </c>
      <c r="B3064" s="138">
        <f>'Expenditures 15-22'!D219</f>
        <v>29505</v>
      </c>
      <c r="D3064" s="2" t="str">
        <f t="shared" si="46"/>
        <v>Error?</v>
      </c>
    </row>
    <row r="3065" spans="1:4" x14ac:dyDescent="0.2">
      <c r="A3065" s="5">
        <v>3004</v>
      </c>
      <c r="B3065" s="138">
        <f>'Expenditures 15-22'!K219</f>
        <v>29505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1548644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93784</v>
      </c>
      <c r="C3225" s="2" t="s">
        <v>573</v>
      </c>
      <c r="D3225" s="2" t="str">
        <f t="shared" si="49"/>
        <v>Error?</v>
      </c>
    </row>
    <row r="3226" spans="1:4" x14ac:dyDescent="0.2">
      <c r="A3226" s="5">
        <v>3165</v>
      </c>
      <c r="B3226" s="138">
        <f>'Acct Summary 7-8'!I8</f>
        <v>93784</v>
      </c>
      <c r="C3226" s="2" t="s">
        <v>573</v>
      </c>
      <c r="D3226" s="2" t="str">
        <f t="shared" si="49"/>
        <v>Error?</v>
      </c>
    </row>
    <row r="3227" spans="1:4" x14ac:dyDescent="0.2">
      <c r="A3227" s="5">
        <v>3166</v>
      </c>
      <c r="B3227" s="138">
        <f>'Acct Summary 7-8'!I20</f>
        <v>93784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-1282497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255</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255</v>
      </c>
      <c r="C3238" s="2" t="s">
        <v>573</v>
      </c>
      <c r="D3238" s="2" t="str">
        <f t="shared" si="49"/>
        <v>Error?</v>
      </c>
    </row>
    <row r="3239" spans="1:4" x14ac:dyDescent="0.2">
      <c r="A3239" s="5">
        <v>3178</v>
      </c>
      <c r="B3239" s="138">
        <f>'Acct Summary 7-8'!D78</f>
        <v>83391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-46418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-10026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382808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382808</v>
      </c>
      <c r="C3277" s="2" t="s">
        <v>573</v>
      </c>
      <c r="D3277" s="2" t="str">
        <f t="shared" si="50"/>
        <v>Error?</v>
      </c>
    </row>
    <row r="3278" spans="1:4" x14ac:dyDescent="0.2">
      <c r="A3278" s="5">
        <v>3217</v>
      </c>
      <c r="B3278" s="138">
        <f>'Acct Summary 7-8'!E78</f>
        <v>160457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4455503</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4455503</v>
      </c>
      <c r="C3299" s="2" t="s">
        <v>573</v>
      </c>
      <c r="D3299" s="2" t="str">
        <f t="shared" si="50"/>
        <v>Error?</v>
      </c>
    </row>
    <row r="3300" spans="1:4" x14ac:dyDescent="0.2">
      <c r="A3300" s="5">
        <v>3239</v>
      </c>
      <c r="B3300" s="138">
        <f>'Acct Summary 7-8'!H78</f>
        <v>4330152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93784</v>
      </c>
      <c r="C3320" s="2" t="s">
        <v>573</v>
      </c>
      <c r="D3320" s="2" t="str">
        <f t="shared" si="50"/>
        <v>Error?</v>
      </c>
    </row>
    <row r="3321" spans="1:4" x14ac:dyDescent="0.2">
      <c r="A3321" s="5">
        <v>3260</v>
      </c>
      <c r="B3321" s="138">
        <f>'Acct Summary 7-8'!I79</f>
        <v>1525900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1619684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502421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164002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667158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63079</v>
      </c>
      <c r="D3387" s="2" t="str">
        <f t="shared" si="51"/>
        <v>Error?</v>
      </c>
    </row>
    <row r="3388" spans="1:4" x14ac:dyDescent="0.2">
      <c r="A3388" s="5">
        <v>3327</v>
      </c>
      <c r="B3388" s="138">
        <f>'Expenditures 15-22'!D217</f>
        <v>27520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63079</v>
      </c>
      <c r="C3390" s="2" t="s">
        <v>573</v>
      </c>
      <c r="D3390" s="2" t="str">
        <f t="shared" si="51"/>
        <v>Error?</v>
      </c>
    </row>
    <row r="3391" spans="1:4" x14ac:dyDescent="0.2">
      <c r="A3391" s="5">
        <v>3330</v>
      </c>
      <c r="B3391" s="138">
        <f>'Expenditures 15-22'!K217</f>
        <v>27520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2995165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1759281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795809</v>
      </c>
      <c r="D3417" s="2" t="str">
        <f t="shared" si="52"/>
        <v>Error?</v>
      </c>
    </row>
    <row r="3418" spans="1:4" x14ac:dyDescent="0.2">
      <c r="A3418" s="10">
        <v>3357</v>
      </c>
      <c r="D3418" s="2" t="str">
        <f t="shared" si="52"/>
        <v>OK</v>
      </c>
    </row>
    <row r="3419" spans="1:4" x14ac:dyDescent="0.2">
      <c r="A3419" s="5">
        <v>3358</v>
      </c>
      <c r="B3419" s="138">
        <f>'Assets-Liab 5-6'!F4</f>
        <v>2176515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494741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3848641</v>
      </c>
      <c r="D3425" s="2" t="str">
        <f t="shared" si="52"/>
        <v>Error?</v>
      </c>
    </row>
    <row r="3426" spans="1:4" x14ac:dyDescent="0.2">
      <c r="A3426" s="10">
        <v>3365</v>
      </c>
      <c r="D3426" s="2" t="str">
        <f t="shared" si="52"/>
        <v>OK</v>
      </c>
    </row>
    <row r="3427" spans="1:4" x14ac:dyDescent="0.2">
      <c r="A3427" s="5">
        <v>3366</v>
      </c>
      <c r="B3427" s="138">
        <f>'Assets-Liab 5-6'!I4</f>
        <v>1231412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310731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174632</v>
      </c>
      <c r="C3446" s="2" t="s">
        <v>573</v>
      </c>
      <c r="D3446" s="2" t="str">
        <f t="shared" si="52"/>
        <v>Error?</v>
      </c>
    </row>
    <row r="3447" spans="1:4" x14ac:dyDescent="0.2">
      <c r="A3447" s="5">
        <v>3386</v>
      </c>
      <c r="B3447" s="138">
        <f>'Tax Sched 23'!D16</f>
        <v>126612</v>
      </c>
      <c r="C3447" s="2" t="s">
        <v>573</v>
      </c>
      <c r="D3447" s="2" t="str">
        <f t="shared" si="52"/>
        <v>Error?</v>
      </c>
    </row>
    <row r="3448" spans="1:4" x14ac:dyDescent="0.2">
      <c r="A3448" s="5">
        <v>3387</v>
      </c>
      <c r="B3448" s="138">
        <f>'Tax Sched 23'!C16</f>
        <v>48020</v>
      </c>
      <c r="D3448" s="2" t="str">
        <f t="shared" si="52"/>
        <v>Error?</v>
      </c>
    </row>
    <row r="3449" spans="1:4" x14ac:dyDescent="0.2">
      <c r="A3449" s="5">
        <v>3388</v>
      </c>
      <c r="B3449" s="138">
        <f>'Tax Sched 23'!F16</f>
        <v>142847</v>
      </c>
      <c r="C3449" s="2" t="s">
        <v>573</v>
      </c>
      <c r="D3449" s="2" t="str">
        <f t="shared" si="52"/>
        <v>Error?</v>
      </c>
    </row>
    <row r="3450" spans="1:4" x14ac:dyDescent="0.2">
      <c r="A3450" s="5">
        <v>3389</v>
      </c>
      <c r="B3450" s="138">
        <f>'Tax Sched 23'!E16</f>
        <v>190867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867</v>
      </c>
      <c r="D3484" s="2" t="str">
        <f t="shared" si="53"/>
        <v>Error?</v>
      </c>
    </row>
    <row r="3485" spans="1:4" x14ac:dyDescent="0.2">
      <c r="A3485" s="5">
        <v>3424</v>
      </c>
      <c r="B3485" s="138">
        <f>'Expenditures 15-22'!F125</f>
        <v>8296</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9163</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255</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1951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1951</v>
      </c>
      <c r="C3575" s="2" t="s">
        <v>573</v>
      </c>
      <c r="D3575" s="2" t="str">
        <f t="shared" si="54"/>
        <v>Error?</v>
      </c>
    </row>
    <row r="3576" spans="1:4" x14ac:dyDescent="0.2">
      <c r="A3576" s="5">
        <v>3515</v>
      </c>
      <c r="B3576" s="138">
        <f>'Acct Summary 7-8'!K20</f>
        <v>-1951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-1951</v>
      </c>
      <c r="C3588" s="2" t="s">
        <v>573</v>
      </c>
      <c r="D3588" s="2" t="str">
        <f t="shared" si="55"/>
        <v>Error?</v>
      </c>
    </row>
    <row r="3589" spans="1:4" x14ac:dyDescent="0.2">
      <c r="A3589" s="5">
        <v>3528</v>
      </c>
      <c r="B3589" s="138">
        <f>'Acct Summary 7-8'!K79</f>
        <v>1951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1951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1951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1951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1951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1951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1951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1951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-1951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69514</v>
      </c>
      <c r="C3725" s="2" t="s">
        <v>573</v>
      </c>
      <c r="D3725" s="2" t="str">
        <f t="shared" si="57"/>
        <v>Error?</v>
      </c>
    </row>
    <row r="3726" spans="1:4" x14ac:dyDescent="0.2">
      <c r="A3726" s="5">
        <v>3665</v>
      </c>
      <c r="B3726" s="138">
        <f>'Tax Sched 23'!D13</f>
        <v>49453</v>
      </c>
      <c r="C3726" s="2" t="s">
        <v>573</v>
      </c>
      <c r="D3726" s="2" t="str">
        <f t="shared" si="57"/>
        <v>Error?</v>
      </c>
    </row>
    <row r="3727" spans="1:4" x14ac:dyDescent="0.2">
      <c r="A3727" s="5">
        <v>3666</v>
      </c>
      <c r="B3727" s="138">
        <f>'Tax Sched 23'!C13</f>
        <v>20061</v>
      </c>
      <c r="D3727" s="2" t="str">
        <f t="shared" si="57"/>
        <v>Error?</v>
      </c>
    </row>
    <row r="3728" spans="1:4" x14ac:dyDescent="0.2">
      <c r="A3728" s="5">
        <v>3667</v>
      </c>
      <c r="B3728" s="138">
        <f>'Tax Sched 23'!F13</f>
        <v>59878</v>
      </c>
      <c r="C3728" s="2" t="s">
        <v>573</v>
      </c>
      <c r="D3728" s="2" t="str">
        <f t="shared" si="57"/>
        <v>Error?</v>
      </c>
    </row>
    <row r="3729" spans="1:4" x14ac:dyDescent="0.2">
      <c r="A3729" s="5">
        <v>3668</v>
      </c>
      <c r="B3729" s="138">
        <f>'Tax Sched 23'!E13</f>
        <v>79939</v>
      </c>
      <c r="D3729" s="2" t="str">
        <f t="shared" si="57"/>
        <v>Error?</v>
      </c>
    </row>
    <row r="3730" spans="1:4" x14ac:dyDescent="0.2">
      <c r="A3730" s="5">
        <v>3669</v>
      </c>
      <c r="B3730" s="138">
        <f>'ICR Computation 30'!E10</f>
        <v>209717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3625267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13149007</v>
      </c>
      <c r="C4122" s="2" t="s">
        <v>573</v>
      </c>
      <c r="D4122" s="2" t="str">
        <f t="shared" si="63"/>
        <v>Error?</v>
      </c>
    </row>
    <row r="4123" spans="1:4" x14ac:dyDescent="0.2">
      <c r="A4123" s="5">
        <v>4062</v>
      </c>
      <c r="B4123" s="138">
        <f>'Acct Summary 7-8'!D10</f>
        <v>725978</v>
      </c>
      <c r="C4123" s="2" t="s">
        <v>573</v>
      </c>
      <c r="D4123" s="2" t="str">
        <f t="shared" si="63"/>
        <v>Error?</v>
      </c>
    </row>
    <row r="4124" spans="1:4" x14ac:dyDescent="0.2">
      <c r="A4124" s="5">
        <v>4063</v>
      </c>
      <c r="B4124" s="138">
        <f>'Acct Summary 7-8'!E10</f>
        <v>1370855</v>
      </c>
      <c r="C4124" s="2" t="s">
        <v>573</v>
      </c>
      <c r="D4124" s="2" t="str">
        <f t="shared" si="63"/>
        <v>Error?</v>
      </c>
    </row>
    <row r="4125" spans="1:4" x14ac:dyDescent="0.2">
      <c r="A4125" s="5">
        <v>4064</v>
      </c>
      <c r="B4125" s="138">
        <f>'Acct Summary 7-8'!F10</f>
        <v>1419753</v>
      </c>
      <c r="C4125" s="2" t="s">
        <v>573</v>
      </c>
      <c r="D4125" s="2" t="str">
        <f t="shared" si="63"/>
        <v>Error?</v>
      </c>
    </row>
    <row r="4126" spans="1:4" x14ac:dyDescent="0.2">
      <c r="A4126" s="5">
        <v>4065</v>
      </c>
      <c r="B4126" s="138">
        <f>'Acct Summary 7-8'!G10</f>
        <v>400073</v>
      </c>
      <c r="C4126" s="2" t="s">
        <v>573</v>
      </c>
      <c r="D4126" s="2" t="str">
        <f t="shared" si="63"/>
        <v>Error?</v>
      </c>
    </row>
    <row r="4127" spans="1:4" x14ac:dyDescent="0.2">
      <c r="A4127" s="5">
        <v>4066</v>
      </c>
      <c r="B4127" s="138">
        <f>'Acct Summary 7-8'!H10</f>
        <v>583845</v>
      </c>
      <c r="C4127" s="2" t="s">
        <v>573</v>
      </c>
      <c r="D4127" s="2" t="str">
        <f t="shared" si="63"/>
        <v>Error?</v>
      </c>
    </row>
    <row r="4128" spans="1:4" x14ac:dyDescent="0.2">
      <c r="A4128" s="5">
        <v>4067</v>
      </c>
      <c r="B4128" s="138">
        <f>'Acct Summary 7-8'!I10</f>
        <v>93784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3625267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14431504</v>
      </c>
      <c r="C4136" s="2" t="s">
        <v>573</v>
      </c>
      <c r="D4136" s="2" t="str">
        <f t="shared" si="63"/>
        <v>Error?</v>
      </c>
    </row>
    <row r="4137" spans="1:4" x14ac:dyDescent="0.2">
      <c r="A4137" s="5">
        <v>4076</v>
      </c>
      <c r="B4137" s="138">
        <f>'Acct Summary 7-8'!D19</f>
        <v>642842</v>
      </c>
      <c r="C4137" s="2" t="s">
        <v>573</v>
      </c>
      <c r="D4137" s="2" t="str">
        <f t="shared" si="63"/>
        <v>Error?</v>
      </c>
    </row>
    <row r="4138" spans="1:4" x14ac:dyDescent="0.2">
      <c r="A4138" s="5">
        <v>4077</v>
      </c>
      <c r="B4138" s="138">
        <f>'Acct Summary 7-8'!E19</f>
        <v>1593206</v>
      </c>
      <c r="C4138" s="2" t="s">
        <v>573</v>
      </c>
      <c r="D4138" s="2" t="str">
        <f t="shared" si="63"/>
        <v>Error?</v>
      </c>
    </row>
    <row r="4139" spans="1:4" x14ac:dyDescent="0.2">
      <c r="A4139" s="5">
        <v>4078</v>
      </c>
      <c r="B4139" s="138">
        <f>'Acct Summary 7-8'!F19</f>
        <v>1466171</v>
      </c>
      <c r="C4139" s="2" t="s">
        <v>573</v>
      </c>
      <c r="D4139" s="2" t="str">
        <f t="shared" si="63"/>
        <v>Error?</v>
      </c>
    </row>
    <row r="4140" spans="1:4" x14ac:dyDescent="0.2">
      <c r="A4140" s="5">
        <v>4079</v>
      </c>
      <c r="B4140" s="138">
        <f>'Acct Summary 7-8'!G19</f>
        <v>410099</v>
      </c>
      <c r="C4140" s="2" t="s">
        <v>573</v>
      </c>
      <c r="D4140" s="2" t="str">
        <f t="shared" si="63"/>
        <v>Error?</v>
      </c>
    </row>
    <row r="4141" spans="1:4" x14ac:dyDescent="0.2">
      <c r="A4141" s="5">
        <v>4080</v>
      </c>
      <c r="B4141" s="138">
        <f>'Acct Summary 7-8'!H19</f>
        <v>709196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1951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6421716</v>
      </c>
      <c r="C4171" s="2" t="s">
        <v>573</v>
      </c>
      <c r="D4171" s="2" t="str">
        <f t="shared" si="64"/>
        <v>Error?</v>
      </c>
    </row>
    <row r="4172" spans="1:4" x14ac:dyDescent="0.2">
      <c r="A4172" s="5">
        <v>4111</v>
      </c>
      <c r="B4172" s="138">
        <f>'Short-Term Long-Term Debt 24'!J49</f>
        <v>5562599</v>
      </c>
      <c r="C4172" s="2" t="s">
        <v>573</v>
      </c>
      <c r="D4172" s="2" t="str">
        <f t="shared" si="64"/>
        <v>Error?</v>
      </c>
    </row>
    <row r="4173" spans="1:4" x14ac:dyDescent="0.2">
      <c r="A4173" s="5">
        <v>4112</v>
      </c>
      <c r="B4173" s="138">
        <f>'Short-Term Long-Term Debt 24'!H49</f>
        <v>635009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23297</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2635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3334.9999999999995</v>
      </c>
      <c r="C4268" s="2" t="s">
        <v>573</v>
      </c>
      <c r="D4268" s="2" t="str">
        <f t="shared" si="65"/>
        <v>Error?</v>
      </c>
    </row>
    <row r="4269" spans="1:5" x14ac:dyDescent="0.2">
      <c r="A4269" s="12">
        <v>4208</v>
      </c>
      <c r="B4269" s="138">
        <f>'FP Info 3'!J16</f>
        <v>10355433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550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22293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42791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2255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159878718</v>
      </c>
      <c r="D4995" s="2" t="str">
        <f t="shared" si="77"/>
        <v>Error?</v>
      </c>
    </row>
    <row r="4996" spans="1:4" x14ac:dyDescent="0.2">
      <c r="A4996" s="12">
        <v>4935</v>
      </c>
      <c r="B4996" s="138">
        <f>'FP Info 3'!H31</f>
        <v>22063263.084000003</v>
      </c>
      <c r="D4996" s="2" t="str">
        <f t="shared" si="77"/>
        <v>Error?</v>
      </c>
    </row>
    <row r="4997" spans="1:4" x14ac:dyDescent="0.2">
      <c r="A4997" s="12">
        <v>4936</v>
      </c>
      <c r="B4997" s="138">
        <f>'FP Info 3'!H37</f>
        <v>6421716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69514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3669943</v>
      </c>
      <c r="D5061" s="2" t="str">
        <f t="shared" si="78"/>
        <v>Error?</v>
      </c>
    </row>
    <row r="5062" spans="1:4" x14ac:dyDescent="0.2">
      <c r="A5062" s="10">
        <v>5001</v>
      </c>
      <c r="D5062" s="2" t="str">
        <f t="shared" si="78"/>
        <v>OK</v>
      </c>
    </row>
    <row r="5063" spans="1:4" x14ac:dyDescent="0.2">
      <c r="A5063" s="5">
        <v>5002</v>
      </c>
      <c r="B5063" s="138">
        <f>'Revenues 9-14'!C7</f>
        <v>55612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3795069</v>
      </c>
      <c r="C5066" s="2" t="s">
        <v>573</v>
      </c>
      <c r="D5066" s="2" t="str">
        <f t="shared" si="78"/>
        <v>Error?</v>
      </c>
    </row>
    <row r="5067" spans="1:4" x14ac:dyDescent="0.2">
      <c r="A5067" s="5">
        <v>5006</v>
      </c>
      <c r="B5067" s="138">
        <f>'Revenues 9-14'!C14</f>
        <v>1473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1473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115565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116965</v>
      </c>
      <c r="C5087" s="2" t="s">
        <v>573</v>
      </c>
      <c r="D5087" s="2" t="str">
        <f t="shared" si="78"/>
        <v>Error?</v>
      </c>
    </row>
    <row r="5088" spans="1:4" x14ac:dyDescent="0.2">
      <c r="A5088" s="5">
        <v>5027</v>
      </c>
      <c r="B5088" s="138">
        <f>'Revenues 9-14'!C65</f>
        <v>63790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63790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85002</v>
      </c>
      <c r="D5092" s="2" t="str">
        <f t="shared" si="78"/>
        <v>Error?</v>
      </c>
    </row>
    <row r="5093" spans="1:4" x14ac:dyDescent="0.2">
      <c r="A5093" s="5">
        <v>5032</v>
      </c>
      <c r="B5093" s="138">
        <f>'Revenues 9-14'!C72</f>
        <v>644</v>
      </c>
      <c r="D5093" s="2" t="str">
        <f t="shared" si="78"/>
        <v>Error?</v>
      </c>
    </row>
    <row r="5094" spans="1:4" x14ac:dyDescent="0.2">
      <c r="A5094" s="5">
        <v>5033</v>
      </c>
      <c r="B5094" s="138">
        <f>'Revenues 9-14'!C73</f>
        <v>11256</v>
      </c>
      <c r="D5094" s="2" t="str">
        <f t="shared" si="78"/>
        <v>Error?</v>
      </c>
    </row>
    <row r="5095" spans="1:4" x14ac:dyDescent="0.2">
      <c r="A5095" s="5">
        <v>5034</v>
      </c>
      <c r="B5095" s="138">
        <f>'Revenues 9-14'!C74</f>
        <v>10423</v>
      </c>
      <c r="D5095" s="2" t="str">
        <f t="shared" si="78"/>
        <v>Error?</v>
      </c>
    </row>
    <row r="5096" spans="1:4" x14ac:dyDescent="0.2">
      <c r="A5096" s="5">
        <v>5035</v>
      </c>
      <c r="B5096" s="138">
        <f>'Revenues 9-14'!C75</f>
        <v>302739</v>
      </c>
      <c r="C5096" s="2" t="s">
        <v>573</v>
      </c>
      <c r="D5096" s="2" t="str">
        <f t="shared" si="78"/>
        <v>Error?</v>
      </c>
    </row>
    <row r="5097" spans="1:4" x14ac:dyDescent="0.2">
      <c r="A5097" s="5">
        <v>5036</v>
      </c>
      <c r="B5097" s="138">
        <f>'Revenues 9-14'!C77</f>
        <v>32270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17275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49545</v>
      </c>
      <c r="C5102" s="2" t="s">
        <v>573</v>
      </c>
      <c r="D5102" s="2" t="str">
        <f t="shared" si="78"/>
        <v>Error?</v>
      </c>
    </row>
    <row r="5103" spans="1:4" x14ac:dyDescent="0.2">
      <c r="A5103" s="5">
        <v>5042</v>
      </c>
      <c r="B5103" s="138">
        <f>'Revenues 9-14'!C84</f>
        <v>68381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68381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72334</v>
      </c>
      <c r="D5119" s="2" t="str">
        <f t="shared" ref="D5119:D5182" si="79">IF(ISBLANK(B5119),"OK",IF(A5119-B5119=0,"OK","Error?"))</f>
        <v>Error?</v>
      </c>
    </row>
    <row r="5120" spans="1:4" x14ac:dyDescent="0.2">
      <c r="A5120" s="5">
        <v>5059</v>
      </c>
      <c r="B5120" s="138">
        <f>'Revenues 9-14'!C108</f>
        <v>84816</v>
      </c>
      <c r="C5120" s="2" t="s">
        <v>573</v>
      </c>
      <c r="D5120" s="2" t="str">
        <f t="shared" si="79"/>
        <v>Error?</v>
      </c>
    </row>
    <row r="5121" spans="1:4" x14ac:dyDescent="0.2">
      <c r="A5121" s="5">
        <v>5060</v>
      </c>
      <c r="B5121" s="138">
        <f>'Revenues 9-14'!C109</f>
        <v>4482778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4072183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4072183</v>
      </c>
      <c r="C5132" s="2" t="s">
        <v>573</v>
      </c>
      <c r="D5132" s="2" t="str">
        <f t="shared" si="79"/>
        <v>Error?</v>
      </c>
    </row>
    <row r="5133" spans="1:4" x14ac:dyDescent="0.2">
      <c r="A5133" s="5">
        <v>5072</v>
      </c>
      <c r="B5133" s="138">
        <f>'Revenues 9-14'!C125</f>
        <v>74512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27367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101879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14131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27131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5260</v>
      </c>
      <c r="D5167" s="2" t="str">
        <f t="shared" si="79"/>
        <v>Error?</v>
      </c>
    </row>
    <row r="5168" spans="1:4" x14ac:dyDescent="0.2">
      <c r="A5168" s="5">
        <v>5107</v>
      </c>
      <c r="B5168" s="138">
        <f>'Revenues 9-14'!C148</f>
        <v>19649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189958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346132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4418315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243599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62547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306146</v>
      </c>
      <c r="C5246" s="2" t="s">
        <v>573</v>
      </c>
      <c r="D5246" s="2" t="str">
        <f t="shared" si="80"/>
        <v>Error?</v>
      </c>
    </row>
    <row r="5247" spans="1:4" x14ac:dyDescent="0.2">
      <c r="A5247" s="5">
        <v>5186</v>
      </c>
      <c r="B5247" s="138">
        <f>'Revenues 9-14'!C200</f>
        <v>232617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232617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17852</v>
      </c>
      <c r="D5278" s="2" t="str">
        <f t="shared" si="81"/>
        <v>Error?</v>
      </c>
    </row>
    <row r="5279" spans="1:4" x14ac:dyDescent="0.2">
      <c r="A5279" s="5">
        <v>5218</v>
      </c>
      <c r="B5279" s="138">
        <f>'Revenues 9-14'!C214</f>
        <v>398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18250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550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622647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622647</v>
      </c>
      <c r="C5326" s="2" t="s">
        <v>573</v>
      </c>
      <c r="D5326" s="2" t="str">
        <f t="shared" si="82"/>
        <v>Error?</v>
      </c>
    </row>
    <row r="5327" spans="1:5" x14ac:dyDescent="0.2">
      <c r="A5327" s="5">
        <v>5266</v>
      </c>
      <c r="B5327" s="138">
        <f>'Revenues 9-14'!C268</f>
        <v>9523740</v>
      </c>
      <c r="C5327" s="2" t="s">
        <v>573</v>
      </c>
      <c r="D5327" s="2" t="str">
        <f t="shared" si="82"/>
        <v>Error?</v>
      </c>
    </row>
    <row r="5328" spans="1:5" x14ac:dyDescent="0.2">
      <c r="A5328" s="5">
        <v>5267</v>
      </c>
      <c r="B5328" s="138">
        <f>'Revenues 9-14'!D5</f>
        <v>695147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695147</v>
      </c>
      <c r="C5334" s="2" t="s">
        <v>573</v>
      </c>
      <c r="D5334" s="2" t="str">
        <f t="shared" si="82"/>
        <v>Error?</v>
      </c>
    </row>
    <row r="5335" spans="1:4" x14ac:dyDescent="0.2">
      <c r="A5335" s="5">
        <v>5274</v>
      </c>
      <c r="B5335" s="138">
        <f>'Revenues 9-14'!D14</f>
        <v>270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270</v>
      </c>
      <c r="C5339" s="2" t="s">
        <v>573</v>
      </c>
      <c r="D5339" s="2" t="str">
        <f t="shared" si="82"/>
        <v>Error?</v>
      </c>
    </row>
    <row r="5340" spans="1:4" x14ac:dyDescent="0.2">
      <c r="A5340" s="5">
        <v>5279</v>
      </c>
      <c r="B5340" s="138">
        <f>'Revenues 9-14'!D65</f>
        <v>27066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27066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1680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1680</v>
      </c>
      <c r="D5354" s="2" t="str">
        <f t="shared" si="82"/>
        <v>Error?</v>
      </c>
    </row>
    <row r="5355" spans="1:4" x14ac:dyDescent="0.2">
      <c r="A5355" s="5">
        <v>5294</v>
      </c>
      <c r="B5355" s="138">
        <f>'Revenues 9-14'!D108</f>
        <v>3495</v>
      </c>
      <c r="C5355" s="2" t="s">
        <v>573</v>
      </c>
      <c r="D5355" s="2" t="str">
        <f t="shared" si="82"/>
        <v>Error?</v>
      </c>
    </row>
    <row r="5356" spans="1:4" x14ac:dyDescent="0.2">
      <c r="A5356" s="5">
        <v>5295</v>
      </c>
      <c r="B5356" s="138">
        <f>'Revenues 9-14'!D109</f>
        <v>725978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725978</v>
      </c>
      <c r="C5508" s="2" t="s">
        <v>573</v>
      </c>
      <c r="D5508" s="2" t="str">
        <f t="shared" si="85"/>
        <v>Error?</v>
      </c>
    </row>
    <row r="5509" spans="1:4" x14ac:dyDescent="0.2">
      <c r="A5509" s="5">
        <v>5448</v>
      </c>
      <c r="B5509" s="138">
        <f>'Revenues 9-14'!E5</f>
        <v>1363918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1363918</v>
      </c>
      <c r="C5513" s="2" t="s">
        <v>573</v>
      </c>
      <c r="D5513" s="2" t="str">
        <f t="shared" si="85"/>
        <v>Error?</v>
      </c>
    </row>
    <row r="5514" spans="1:4" x14ac:dyDescent="0.2">
      <c r="A5514" s="5">
        <v>5453</v>
      </c>
      <c r="B5514" s="138">
        <f>'Revenues 9-14'!E14</f>
        <v>533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533</v>
      </c>
      <c r="C5518" s="2" t="s">
        <v>573</v>
      </c>
      <c r="D5518" s="2" t="str">
        <f t="shared" si="85"/>
        <v>Error?</v>
      </c>
    </row>
    <row r="5519" spans="1:4" x14ac:dyDescent="0.2">
      <c r="A5519" s="5">
        <v>5458</v>
      </c>
      <c r="B5519" s="138">
        <f>'Revenues 9-14'!E65</f>
        <v>6404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6404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1370855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1370855</v>
      </c>
      <c r="C5552" s="2" t="s">
        <v>573</v>
      </c>
      <c r="D5552" s="2" t="str">
        <f t="shared" si="85"/>
        <v>Error?</v>
      </c>
    </row>
    <row r="5553" spans="1:4" x14ac:dyDescent="0.2">
      <c r="A5553" s="5">
        <v>5492</v>
      </c>
      <c r="B5553" s="138">
        <f>'Revenues 9-14'!F5</f>
        <v>278059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278059</v>
      </c>
      <c r="C5557" s="2" t="s">
        <v>573</v>
      </c>
      <c r="D5557" s="2" t="str">
        <f t="shared" si="85"/>
        <v>Error?</v>
      </c>
    </row>
    <row r="5558" spans="1:4" x14ac:dyDescent="0.2">
      <c r="A5558" s="5">
        <v>5497</v>
      </c>
      <c r="B5558" s="138">
        <f>'Revenues 9-14'!F14</f>
        <v>108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188745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188853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28426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28426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11779</v>
      </c>
      <c r="D5585" s="2" t="str">
        <f t="shared" si="86"/>
        <v>Error?</v>
      </c>
    </row>
    <row r="5586" spans="1:4" x14ac:dyDescent="0.2">
      <c r="A5586" s="5">
        <v>5525</v>
      </c>
      <c r="B5586" s="138">
        <f>'Revenues 9-14'!F107</f>
        <v>5597</v>
      </c>
      <c r="D5586" s="2" t="str">
        <f t="shared" si="86"/>
        <v>Error?</v>
      </c>
    </row>
    <row r="5587" spans="1:4" x14ac:dyDescent="0.2">
      <c r="A5587" s="5">
        <v>5526</v>
      </c>
      <c r="B5587" s="138">
        <f>'Revenues 9-14'!F108</f>
        <v>17376</v>
      </c>
      <c r="C5587" s="2" t="s">
        <v>573</v>
      </c>
      <c r="D5587" s="2" t="str">
        <f t="shared" si="86"/>
        <v>Error?</v>
      </c>
    </row>
    <row r="5588" spans="1:4" x14ac:dyDescent="0.2">
      <c r="A5588" s="5">
        <v>5527</v>
      </c>
      <c r="B5588" s="138">
        <f>'Revenues 9-14'!F109</f>
        <v>512714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642126</v>
      </c>
      <c r="D5615" s="2" t="str">
        <f t="shared" si="86"/>
        <v>Error?</v>
      </c>
    </row>
    <row r="5616" spans="1:4" x14ac:dyDescent="0.2">
      <c r="A5616" s="10">
        <v>5555</v>
      </c>
      <c r="D5616" s="2" t="str">
        <f t="shared" si="86"/>
        <v>OK</v>
      </c>
    </row>
    <row r="5617" spans="1:5" x14ac:dyDescent="0.2">
      <c r="A5617" s="5">
        <v>5556</v>
      </c>
      <c r="B5617" s="138">
        <f>'Revenues 9-14'!F153</f>
        <v>226731</v>
      </c>
      <c r="D5617" s="2" t="str">
        <f t="shared" si="86"/>
        <v>Error?</v>
      </c>
    </row>
    <row r="5618" spans="1:5" x14ac:dyDescent="0.2">
      <c r="A5618" s="5">
        <v>5557</v>
      </c>
      <c r="B5618" s="138">
        <f>'Revenues 9-14'!F155</f>
        <v>868857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38182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907039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907039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1419753</v>
      </c>
      <c r="C5720" s="2" t="s">
        <v>573</v>
      </c>
      <c r="D5720" s="2" t="str">
        <f t="shared" si="88"/>
        <v>Error?</v>
      </c>
    </row>
    <row r="5721" spans="1:4" x14ac:dyDescent="0.2">
      <c r="A5721" s="5">
        <v>5660</v>
      </c>
      <c r="B5721" s="138">
        <f>'Revenues 9-14'!G5</f>
        <v>188606</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174632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363238</v>
      </c>
      <c r="C5725" s="2" t="s">
        <v>573</v>
      </c>
      <c r="D5725" s="2" t="str">
        <f t="shared" si="88"/>
        <v>Error?</v>
      </c>
    </row>
    <row r="5726" spans="1:4" x14ac:dyDescent="0.2">
      <c r="A5726" s="5">
        <v>5665</v>
      </c>
      <c r="B5726" s="138">
        <f>'Revenues 9-14'!G14</f>
        <v>150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30604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30754</v>
      </c>
      <c r="C5730" s="2" t="s">
        <v>573</v>
      </c>
      <c r="D5730" s="2" t="str">
        <f t="shared" si="88"/>
        <v>Error?</v>
      </c>
    </row>
    <row r="5731" spans="1:4" x14ac:dyDescent="0.2">
      <c r="A5731" s="5">
        <v>5670</v>
      </c>
      <c r="B5731" s="138">
        <f>'Revenues 9-14'!G65</f>
        <v>6081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400073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13216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13216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570629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583845</v>
      </c>
      <c r="C5915" s="2" t="s">
        <v>573</v>
      </c>
      <c r="D5915" s="2" t="str">
        <f t="shared" si="91"/>
        <v>Error?</v>
      </c>
    </row>
    <row r="5916" spans="1:4" x14ac:dyDescent="0.2">
      <c r="A5916" s="5">
        <v>5855</v>
      </c>
      <c r="B5916" s="138">
        <f>'Revenues 9-14'!I5</f>
        <v>69514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69514</v>
      </c>
      <c r="C5918" s="2" t="s">
        <v>573</v>
      </c>
      <c r="D5918" s="2" t="str">
        <f t="shared" si="91"/>
        <v>Error?</v>
      </c>
    </row>
    <row r="5919" spans="1:4" x14ac:dyDescent="0.2">
      <c r="A5919" s="5">
        <v>5858</v>
      </c>
      <c r="B5919" s="138">
        <f>'Revenues 9-14'!I14</f>
        <v>27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27</v>
      </c>
      <c r="C5923" s="2" t="s">
        <v>573</v>
      </c>
      <c r="D5923" s="2" t="str">
        <f t="shared" si="91"/>
        <v>Error?</v>
      </c>
    </row>
    <row r="5924" spans="1:4" x14ac:dyDescent="0.2">
      <c r="A5924" s="5">
        <v>5863</v>
      </c>
      <c r="B5924" s="138">
        <f>'Revenues 9-14'!I65</f>
        <v>24243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24243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93784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400073</v>
      </c>
      <c r="C6024" s="2" t="s">
        <v>573</v>
      </c>
      <c r="D6024" s="2" t="str">
        <f t="shared" si="93"/>
        <v>Error?</v>
      </c>
    </row>
    <row r="6025" spans="1:5" x14ac:dyDescent="0.2">
      <c r="A6025" s="5">
        <v>5964</v>
      </c>
      <c r="B6025" s="138">
        <f>'Revenues 9-14'!H109</f>
        <v>583845</v>
      </c>
      <c r="C6025" s="2" t="s">
        <v>573</v>
      </c>
      <c r="D6025" s="2" t="str">
        <f t="shared" si="93"/>
        <v>Error?</v>
      </c>
    </row>
    <row r="6026" spans="1:5" x14ac:dyDescent="0.2">
      <c r="A6026" s="5">
        <v>5965</v>
      </c>
      <c r="B6026" s="138">
        <f>'Revenues 9-14'!I109</f>
        <v>93784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195414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49733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1222.2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63308</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357744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357744</v>
      </c>
      <c r="D6215" s="2" t="str">
        <f t="shared" si="96"/>
        <v>Error?</v>
      </c>
      <c r="E6215" s="2" t="s">
        <v>190</v>
      </c>
    </row>
    <row r="6216" spans="1:5" x14ac:dyDescent="0.2">
      <c r="A6216">
        <v>6155</v>
      </c>
      <c r="B6216" s="138">
        <f>'Assets-Liab 5-6'!J41</f>
        <v>357744</v>
      </c>
      <c r="D6216" s="2" t="str">
        <f t="shared" si="96"/>
        <v>Error?</v>
      </c>
      <c r="E6216" s="2" t="s">
        <v>190</v>
      </c>
    </row>
    <row r="6217" spans="1:5" x14ac:dyDescent="0.2">
      <c r="A6217">
        <v>6156</v>
      </c>
      <c r="B6217" s="138">
        <f>'Assets-Liab 5-6'!J4</f>
        <v>357744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469356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469356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469356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498236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498236</v>
      </c>
      <c r="D6229" s="2" t="str">
        <f t="shared" si="96"/>
        <v>Error?</v>
      </c>
      <c r="E6229" s="2" t="s">
        <v>190</v>
      </c>
    </row>
    <row r="6230" spans="1:5" x14ac:dyDescent="0.2">
      <c r="A6230">
        <v>6169</v>
      </c>
      <c r="B6230" s="138">
        <f>'Acct Summary 7-8'!J20</f>
        <v>-28880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-28880</v>
      </c>
      <c r="D6263" s="2" t="str">
        <f t="shared" si="96"/>
        <v>Error?</v>
      </c>
      <c r="E6263" s="2" t="s">
        <v>190</v>
      </c>
    </row>
    <row r="6264" spans="1:5" x14ac:dyDescent="0.2">
      <c r="A6264">
        <v>6203</v>
      </c>
      <c r="B6264" s="138">
        <f>'Acct Summary 7-8'!J79</f>
        <v>386624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357744</v>
      </c>
      <c r="D6266" s="2" t="str">
        <f t="shared" si="96"/>
        <v>Error?</v>
      </c>
      <c r="E6266" s="2" t="s">
        <v>190</v>
      </c>
    </row>
    <row r="6267" spans="1:5" x14ac:dyDescent="0.2">
      <c r="A6267">
        <v>6206</v>
      </c>
      <c r="B6267" s="138">
        <f>'Acct Summary 7-8'!C82</f>
        <v>-1282497</v>
      </c>
      <c r="D6267" s="2" t="str">
        <f t="shared" si="96"/>
        <v>Error?</v>
      </c>
      <c r="E6267" s="2" t="s">
        <v>190</v>
      </c>
    </row>
    <row r="6268" spans="1:5" x14ac:dyDescent="0.2">
      <c r="A6268">
        <v>6207</v>
      </c>
      <c r="B6268" s="138">
        <f>'Acct Summary 7-8'!D82</f>
        <v>83391</v>
      </c>
      <c r="D6268" s="2" t="str">
        <f t="shared" si="96"/>
        <v>Error?</v>
      </c>
      <c r="E6268" s="2" t="s">
        <v>190</v>
      </c>
    </row>
    <row r="6269" spans="1:5" x14ac:dyDescent="0.2">
      <c r="A6269">
        <v>6208</v>
      </c>
      <c r="B6269" s="138">
        <f>'Acct Summary 7-8'!E82</f>
        <v>160457</v>
      </c>
      <c r="D6269" s="2" t="str">
        <f t="shared" si="96"/>
        <v>Error?</v>
      </c>
      <c r="E6269" s="2" t="s">
        <v>190</v>
      </c>
    </row>
    <row r="6270" spans="1:5" x14ac:dyDescent="0.2">
      <c r="A6270">
        <v>6209</v>
      </c>
      <c r="B6270" s="138">
        <f>'Acct Summary 7-8'!F82</f>
        <v>-46418</v>
      </c>
      <c r="D6270" s="2" t="str">
        <f t="shared" si="96"/>
        <v>Error?</v>
      </c>
      <c r="E6270" s="2" t="s">
        <v>190</v>
      </c>
    </row>
    <row r="6271" spans="1:5" x14ac:dyDescent="0.2">
      <c r="A6271">
        <v>6210</v>
      </c>
      <c r="B6271" s="138">
        <f>'Acct Summary 7-8'!G82</f>
        <v>-10026</v>
      </c>
      <c r="D6271" s="2" t="str">
        <f t="shared" ref="D6271:D6334" si="97">IF(ISBLANK(B6271),"OK",IF(A6271-B6271=0,"OK","Error?"))</f>
        <v>Error?</v>
      </c>
      <c r="E6271" s="2" t="s">
        <v>190</v>
      </c>
    </row>
    <row r="6272" spans="1:5" x14ac:dyDescent="0.2">
      <c r="A6272">
        <v>6211</v>
      </c>
      <c r="B6272" s="138">
        <f>'Acct Summary 7-8'!H82</f>
        <v>4330152</v>
      </c>
      <c r="D6272" s="2" t="str">
        <f t="shared" si="97"/>
        <v>Error?</v>
      </c>
      <c r="E6272" s="2" t="s">
        <v>190</v>
      </c>
    </row>
    <row r="6273" spans="1:5" x14ac:dyDescent="0.2">
      <c r="A6273">
        <v>6212</v>
      </c>
      <c r="B6273" s="138">
        <f>'Acct Summary 7-8'!I82</f>
        <v>93784</v>
      </c>
      <c r="D6273" s="2" t="str">
        <f t="shared" si="97"/>
        <v>Error?</v>
      </c>
      <c r="E6273" s="2" t="s">
        <v>190</v>
      </c>
    </row>
    <row r="6274" spans="1:5" x14ac:dyDescent="0.2">
      <c r="A6274">
        <v>6213</v>
      </c>
      <c r="B6274" s="138">
        <f>'Acct Summary 7-8'!J82</f>
        <v>-28880</v>
      </c>
      <c r="D6274" s="2" t="str">
        <f t="shared" si="97"/>
        <v>Error?</v>
      </c>
      <c r="E6274" s="2" t="s">
        <v>190</v>
      </c>
    </row>
    <row r="6275" spans="1:5" x14ac:dyDescent="0.2">
      <c r="A6275">
        <v>6214</v>
      </c>
      <c r="B6275" s="138">
        <f>'Acct Summary 7-8'!K82</f>
        <v>-1951</v>
      </c>
      <c r="D6275" s="2" t="str">
        <f t="shared" si="97"/>
        <v>Error?</v>
      </c>
      <c r="E6275" s="2" t="s">
        <v>190</v>
      </c>
    </row>
    <row r="6276" spans="1:5" x14ac:dyDescent="0.2">
      <c r="A6276">
        <v>6215</v>
      </c>
      <c r="B6276" s="138">
        <f>'Acct Summary 7-8'!C83</f>
        <v>-0.29942685014123877</v>
      </c>
      <c r="D6276" s="2" t="str">
        <f t="shared" si="97"/>
        <v>Error?</v>
      </c>
      <c r="E6276" s="2" t="s">
        <v>190</v>
      </c>
    </row>
    <row r="6277" spans="1:5" x14ac:dyDescent="0.2">
      <c r="A6277">
        <v>6216</v>
      </c>
      <c r="B6277" s="138">
        <f>'Acct Summary 7-8'!D83</f>
        <v>3.6638297479724843E-2</v>
      </c>
      <c r="D6277" s="2" t="str">
        <f t="shared" si="97"/>
        <v>Error?</v>
      </c>
      <c r="E6277" s="2" t="s">
        <v>190</v>
      </c>
    </row>
    <row r="6278" spans="1:5" x14ac:dyDescent="0.2">
      <c r="A6278">
        <v>6217</v>
      </c>
      <c r="B6278" s="138">
        <f>'Acct Summary 7-8'!E83</f>
        <v>0.18676967165124192</v>
      </c>
      <c r="D6278" s="2" t="str">
        <f t="shared" si="97"/>
        <v>Error?</v>
      </c>
      <c r="E6278" s="2" t="s">
        <v>190</v>
      </c>
    </row>
    <row r="6279" spans="1:5" x14ac:dyDescent="0.2">
      <c r="A6279">
        <v>6218</v>
      </c>
      <c r="B6279" s="138">
        <f>'Acct Summary 7-8'!F83</f>
        <v>-2.1326754008127672E-2</v>
      </c>
      <c r="D6279" s="2" t="str">
        <f t="shared" si="97"/>
        <v>Error?</v>
      </c>
      <c r="E6279" s="2" t="s">
        <v>190</v>
      </c>
    </row>
    <row r="6280" spans="1:5" x14ac:dyDescent="0.2">
      <c r="A6280">
        <v>6219</v>
      </c>
      <c r="B6280" s="138">
        <f>'Acct Summary 7-8'!G83</f>
        <v>-2.0265148835451278E-2</v>
      </c>
      <c r="D6280" s="2" t="str">
        <f t="shared" si="97"/>
        <v>Error?</v>
      </c>
      <c r="E6280" s="2" t="s">
        <v>190</v>
      </c>
    </row>
    <row r="6281" spans="1:5" x14ac:dyDescent="0.2">
      <c r="A6281">
        <v>6220</v>
      </c>
      <c r="B6281" s="138">
        <f>'Acct Summary 7-8'!H83</f>
        <v>0.89829462780582747</v>
      </c>
      <c r="D6281" s="2" t="str">
        <f t="shared" si="97"/>
        <v>Error?</v>
      </c>
      <c r="E6281" s="2" t="s">
        <v>190</v>
      </c>
    </row>
    <row r="6282" spans="1:5" x14ac:dyDescent="0.2">
      <c r="A6282">
        <v>6221</v>
      </c>
      <c r="B6282" s="138">
        <f>'Acct Summary 7-8'!I83</f>
        <v>5.7902652616189328E-2</v>
      </c>
      <c r="D6282" s="2" t="str">
        <f t="shared" si="97"/>
        <v>Error?</v>
      </c>
      <c r="E6282" s="2" t="s">
        <v>190</v>
      </c>
    </row>
    <row r="6283" spans="1:5" x14ac:dyDescent="0.2">
      <c r="A6283">
        <v>6222</v>
      </c>
      <c r="B6283" s="138">
        <f>'Acct Summary 7-8'!J83</f>
        <v>-8.0728118431056844E-2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465957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465957</v>
      </c>
      <c r="D6301" s="2" t="str">
        <f t="shared" si="97"/>
        <v>Error?</v>
      </c>
      <c r="E6301" s="2" t="s">
        <v>190</v>
      </c>
    </row>
    <row r="6302" spans="1:5" x14ac:dyDescent="0.2">
      <c r="A6302">
        <v>6241</v>
      </c>
      <c r="B6302" s="138">
        <f>'Revenues 9-14'!J14</f>
        <v>174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174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3225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3225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55235</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4320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469356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13000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105250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68689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150114</v>
      </c>
      <c r="D6880" s="2" t="str">
        <f t="shared" si="106"/>
        <v>Error?</v>
      </c>
    </row>
    <row r="6881" spans="1:4" x14ac:dyDescent="0.2">
      <c r="A6881">
        <v>6820</v>
      </c>
      <c r="B6881" s="138">
        <f>'Expenditures 15-22'!K22</f>
        <v>150114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498236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469356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6026</v>
      </c>
      <c r="D7075" s="2" t="str">
        <f t="shared" si="109"/>
        <v>Error?</v>
      </c>
    </row>
    <row r="7076" spans="1:4" x14ac:dyDescent="0.2">
      <c r="A7076">
        <v>7015</v>
      </c>
      <c r="B7076" s="138">
        <f>'Expenditures 15-22'!K218</f>
        <v>6026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552</v>
      </c>
      <c r="D7079" s="2" t="str">
        <f t="shared" si="109"/>
        <v>Error?</v>
      </c>
    </row>
    <row r="7080" spans="1:4" x14ac:dyDescent="0.2">
      <c r="A7080">
        <v>7019</v>
      </c>
      <c r="B7080" s="138">
        <f>'Expenditures 15-22'!K226</f>
        <v>552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49250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49250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86960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86960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5446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5446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199067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78976</v>
      </c>
      <c r="D7174" s="2" t="str">
        <f t="shared" si="111"/>
        <v>Error?</v>
      </c>
    </row>
    <row r="7175" spans="1:4" x14ac:dyDescent="0.2">
      <c r="A7175">
        <v>7114</v>
      </c>
      <c r="B7175" s="138">
        <f>'Expenditures 15-22'!F325</f>
        <v>23325</v>
      </c>
      <c r="D7175" s="2" t="str">
        <f t="shared" si="111"/>
        <v>Error?</v>
      </c>
    </row>
    <row r="7176" spans="1:4" x14ac:dyDescent="0.2">
      <c r="A7176">
        <v>7115</v>
      </c>
      <c r="B7176" s="138">
        <f>'Expenditures 15-22'!G325</f>
        <v>33773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335141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199067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242071</v>
      </c>
      <c r="D7201" s="2" t="str">
        <f t="shared" si="111"/>
        <v>Error?</v>
      </c>
    </row>
    <row r="7202" spans="1:4" x14ac:dyDescent="0.2">
      <c r="A7202">
        <v>7141</v>
      </c>
      <c r="B7202" s="138">
        <f>'Expenditures 15-22'!F330</f>
        <v>23325</v>
      </c>
      <c r="D7202" s="2" t="str">
        <f t="shared" si="111"/>
        <v>Error?</v>
      </c>
    </row>
    <row r="7203" spans="1:4" x14ac:dyDescent="0.2">
      <c r="A7203">
        <v>7142</v>
      </c>
      <c r="B7203" s="138">
        <f>'Expenditures 15-22'!G330</f>
        <v>33773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498236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199067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242071</v>
      </c>
      <c r="D7218" s="2" t="str">
        <f t="shared" si="111"/>
        <v>Error?</v>
      </c>
    </row>
    <row r="7219" spans="1:4" x14ac:dyDescent="0.2">
      <c r="A7219">
        <v>7158</v>
      </c>
      <c r="B7219" s="138">
        <f>'Expenditures 15-22'!F342</f>
        <v>23325</v>
      </c>
      <c r="D7219" s="2" t="str">
        <f t="shared" si="111"/>
        <v>Error?</v>
      </c>
    </row>
    <row r="7220" spans="1:4" x14ac:dyDescent="0.2">
      <c r="A7220">
        <v>7159</v>
      </c>
      <c r="B7220" s="138">
        <f>'Expenditures 15-22'!G342</f>
        <v>33773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498236</v>
      </c>
      <c r="D7224" s="2" t="str">
        <f t="shared" si="111"/>
        <v>Error?</v>
      </c>
    </row>
    <row r="7225" spans="1:4" x14ac:dyDescent="0.2">
      <c r="A7225">
        <v>7164</v>
      </c>
      <c r="B7225" s="138">
        <f>'Expenditures 15-22'!K343</f>
        <v>-28880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76513</v>
      </c>
      <c r="D7251" s="2" t="str">
        <f t="shared" si="112"/>
        <v>Error?</v>
      </c>
    </row>
    <row r="7252" spans="1:4" x14ac:dyDescent="0.2">
      <c r="A7252">
        <f t="shared" si="113"/>
        <v>7191</v>
      </c>
      <c r="B7252" s="138">
        <f>'Expenditures 15-22'!D9</f>
        <v>28737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40143</v>
      </c>
      <c r="D7263" s="2" t="str">
        <f t="shared" si="112"/>
        <v>Error?</v>
      </c>
    </row>
    <row r="7264" spans="1:4" x14ac:dyDescent="0.2">
      <c r="A7264">
        <f t="shared" si="113"/>
        <v>7203</v>
      </c>
      <c r="B7264" s="138">
        <f>'Expenditures 15-22'!D17</f>
        <v>11004</v>
      </c>
      <c r="D7264" s="2" t="str">
        <f t="shared" si="112"/>
        <v>Error?</v>
      </c>
    </row>
    <row r="7265" spans="1:5" x14ac:dyDescent="0.2">
      <c r="A7265">
        <f t="shared" si="113"/>
        <v>7204</v>
      </c>
      <c r="B7265" s="138">
        <f>'Expenditures 15-22'!E17</f>
        <v>263</v>
      </c>
      <c r="D7265" s="2" t="str">
        <f t="shared" si="112"/>
        <v>Error?</v>
      </c>
    </row>
    <row r="7266" spans="1:5" x14ac:dyDescent="0.2">
      <c r="A7266">
        <f t="shared" si="113"/>
        <v>7205</v>
      </c>
      <c r="B7266" s="138">
        <f>'Expenditures 15-22'!F17</f>
        <v>1276</v>
      </c>
      <c r="D7266" s="2" t="str">
        <f t="shared" si="112"/>
        <v>Error?</v>
      </c>
    </row>
    <row r="7267" spans="1:5" x14ac:dyDescent="0.2">
      <c r="A7267">
        <f t="shared" si="113"/>
        <v>7206</v>
      </c>
      <c r="B7267" s="138">
        <f>'Expenditures 15-22'!G17</f>
        <v>16003</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24456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24456</v>
      </c>
      <c r="D7618" s="2" t="str">
        <f t="shared" si="124"/>
        <v>Error?</v>
      </c>
      <c r="E7618" s="2" t="s">
        <v>19</v>
      </c>
    </row>
    <row r="7619" spans="1:5" x14ac:dyDescent="0.2">
      <c r="A7619">
        <f t="shared" si="123"/>
        <v>7558</v>
      </c>
      <c r="B7619" s="138">
        <f>'Cap Outlay Deprec 26'!H14</f>
        <v>16304</v>
      </c>
      <c r="D7619" s="2" t="str">
        <f t="shared" si="124"/>
        <v>Error?</v>
      </c>
      <c r="E7619" s="2" t="s">
        <v>19</v>
      </c>
    </row>
    <row r="7620" spans="1:5" x14ac:dyDescent="0.2">
      <c r="A7620">
        <f t="shared" si="123"/>
        <v>7559</v>
      </c>
      <c r="B7620" s="138">
        <f>'Cap Outlay Deprec 26'!I14</f>
        <v>8152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24456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774619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21439</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21439</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345428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3159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515394</v>
      </c>
      <c r="D7713" s="2" t="str">
        <f t="shared" si="126"/>
        <v>Error?</v>
      </c>
      <c r="E7713" s="2" t="s">
        <v>827</v>
      </c>
    </row>
    <row r="7714" spans="1:6" x14ac:dyDescent="0.2">
      <c r="A7714">
        <v>7653</v>
      </c>
      <c r="B7714" s="138">
        <f>'Rest Tax Levies-Tort Im 25'!K9</f>
        <v>23969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518553</v>
      </c>
      <c r="D7718" s="2" t="str">
        <f t="shared" si="126"/>
        <v>Error?</v>
      </c>
      <c r="E7718" s="2" t="s">
        <v>827</v>
      </c>
    </row>
    <row r="7719" spans="1:6" x14ac:dyDescent="0.2">
      <c r="A7719">
        <v>7658</v>
      </c>
      <c r="B7719" s="138">
        <f>'Rest Tax Levies-Tort Im 25'!K12</f>
        <v>23969</v>
      </c>
      <c r="D7719" s="2" t="str">
        <f t="shared" si="126"/>
        <v>Error?</v>
      </c>
      <c r="E7719" s="2" t="s">
        <v>827</v>
      </c>
    </row>
    <row r="7720" spans="1:6" x14ac:dyDescent="0.2">
      <c r="A7720">
        <v>7659</v>
      </c>
      <c r="B7720" s="138">
        <f>'Rest Tax Levies-Tort Im 25'!H14</f>
        <v>55667</v>
      </c>
      <c r="D7720" s="2" t="str">
        <f t="shared" si="126"/>
        <v>Error?</v>
      </c>
      <c r="E7720" s="2" t="s">
        <v>827</v>
      </c>
    </row>
    <row r="7721" spans="1:6" x14ac:dyDescent="0.2">
      <c r="A7721">
        <v>7660</v>
      </c>
      <c r="B7721" s="138">
        <f>'Rest Tax Levies-Tort Im 25'!K14</f>
        <v>23969</v>
      </c>
      <c r="D7721" s="2" t="str">
        <f t="shared" si="126"/>
        <v>Error?</v>
      </c>
      <c r="E7721" s="2" t="s">
        <v>827</v>
      </c>
    </row>
    <row r="7722" spans="1:6" x14ac:dyDescent="0.2">
      <c r="A7722">
        <v>7661</v>
      </c>
      <c r="B7722" s="138">
        <f>'Rest Tax Levies-Tort Im 25'!J15</f>
        <v>709196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709196</v>
      </c>
      <c r="D7730" s="2" t="str">
        <f t="shared" si="126"/>
        <v>Error?</v>
      </c>
      <c r="E7730" s="2" t="s">
        <v>827</v>
      </c>
    </row>
    <row r="7731" spans="1:6" x14ac:dyDescent="0.2">
      <c r="A7731">
        <v>7670</v>
      </c>
      <c r="B7731" s="138">
        <f>'Revenues 9-14'!H103</f>
        <v>515394</v>
      </c>
      <c r="D7731" s="2" t="str">
        <f t="shared" si="126"/>
        <v>Error?</v>
      </c>
      <c r="E7731" s="2" t="s">
        <v>827</v>
      </c>
    </row>
    <row r="7732" spans="1:6" x14ac:dyDescent="0.2">
      <c r="A7732">
        <v>7671</v>
      </c>
      <c r="B7732" s="138">
        <f>'Rest Tax Levies-Tort Im 25'!J24</f>
        <v>154785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154785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971050.43</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946050.43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4" t="s">
        <v>1191</v>
      </c>
      <c r="B2" s="2424"/>
      <c r="C2" s="2424"/>
      <c r="D2" s="2424"/>
      <c r="E2" s="2424"/>
      <c r="F2" s="2424"/>
      <c r="G2" s="2424"/>
      <c r="H2" s="2424"/>
      <c r="I2" s="2424"/>
      <c r="J2" s="2424"/>
      <c r="K2" s="2424"/>
      <c r="L2" s="2424"/>
    </row>
    <row r="3" spans="1:29" ht="13.5" customHeight="1" x14ac:dyDescent="0.2">
      <c r="A3" s="2410" t="s">
        <v>1190</v>
      </c>
      <c r="B3" s="2410"/>
      <c r="C3" s="2410"/>
      <c r="D3" s="2410"/>
      <c r="E3" s="2410"/>
      <c r="F3" s="2410"/>
      <c r="G3" s="2410"/>
      <c r="H3" s="2410"/>
      <c r="I3" s="2410"/>
      <c r="J3" s="2410"/>
      <c r="K3" s="2410"/>
      <c r="L3" s="2410"/>
    </row>
    <row r="4" spans="1:29" ht="13.5" customHeight="1" x14ac:dyDescent="0.2">
      <c r="A4" s="2424" t="s">
        <v>1989</v>
      </c>
      <c r="B4" s="2441"/>
      <c r="C4" s="2441"/>
      <c r="D4" s="2441"/>
      <c r="E4" s="2441"/>
      <c r="F4" s="2441"/>
      <c r="G4" s="2441"/>
      <c r="H4" s="2441"/>
      <c r="I4" s="2441"/>
      <c r="J4" s="2441"/>
      <c r="K4" s="2441"/>
      <c r="L4" s="2441"/>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4" t="str">
        <f>COVER!A17</f>
        <v>Farmington Central CUSD 265</v>
      </c>
      <c r="B7" s="2405"/>
      <c r="C7" s="2405"/>
      <c r="D7" s="2442"/>
      <c r="E7" s="2443">
        <f>COVER!A13</f>
        <v>48072265026</v>
      </c>
      <c r="F7" s="2444"/>
      <c r="G7" s="2411" t="str">
        <f>COVER!T23</f>
        <v>066-005027</v>
      </c>
      <c r="H7" s="2412"/>
      <c r="I7" s="2412"/>
      <c r="J7" s="2412"/>
      <c r="K7" s="2412"/>
      <c r="L7" s="241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4"/>
      <c r="B9" s="2415"/>
      <c r="C9" s="2415"/>
      <c r="D9" s="2415"/>
      <c r="E9" s="2415"/>
      <c r="F9" s="2416"/>
      <c r="G9" s="2417" t="str">
        <f>COVER!T13</f>
        <v>Gorenz and Associates, Ltd.</v>
      </c>
      <c r="H9" s="2418"/>
      <c r="I9" s="2418"/>
      <c r="J9" s="2418"/>
      <c r="K9" s="2418"/>
      <c r="L9" s="2419"/>
    </row>
    <row r="10" spans="1:29" ht="13.5" customHeight="1" x14ac:dyDescent="0.2">
      <c r="A10" s="2401" t="str">
        <f>COVER!A38</f>
        <v>Dr. Zachary Chatterton</v>
      </c>
      <c r="B10" s="2402"/>
      <c r="C10" s="2402"/>
      <c r="D10" s="2402"/>
      <c r="E10" s="2402"/>
      <c r="F10" s="2403"/>
      <c r="G10" s="2417" t="str">
        <f>COVER!T17</f>
        <v>4200 N Knoxville Ave</v>
      </c>
      <c r="H10" s="2430"/>
      <c r="I10" s="2430"/>
      <c r="J10" s="2430"/>
      <c r="K10" s="2430"/>
      <c r="L10" s="2431"/>
    </row>
    <row r="11" spans="1:29" ht="13.5" customHeight="1" x14ac:dyDescent="0.2">
      <c r="A11" s="1181" t="s">
        <v>1519</v>
      </c>
      <c r="B11" s="1182"/>
      <c r="C11" s="1183"/>
      <c r="D11" s="1188"/>
      <c r="E11" s="1183"/>
      <c r="F11" s="1187"/>
      <c r="G11" s="2417" t="str">
        <f>COVER!T19</f>
        <v>Peoria</v>
      </c>
      <c r="H11" s="2430"/>
      <c r="I11" s="2430"/>
      <c r="J11" s="2430"/>
      <c r="K11" s="2430"/>
      <c r="L11" s="2431"/>
    </row>
    <row r="12" spans="1:29" ht="13.5" customHeight="1" x14ac:dyDescent="0.2">
      <c r="A12" s="2435" t="s">
        <v>1518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1520</v>
      </c>
      <c r="H13" s="2426"/>
      <c r="I13" s="2438" t="str">
        <f>COVER!T25</f>
        <v>jhohulin@gorenzcpa.com</v>
      </c>
      <c r="J13" s="2439"/>
      <c r="K13" s="2439"/>
      <c r="L13" s="2440"/>
    </row>
    <row r="14" spans="1:29" ht="13.5" customHeight="1" x14ac:dyDescent="0.2">
      <c r="A14" s="2417" t="str">
        <f>COVER!A19</f>
        <v>212 N. Lightfoot</v>
      </c>
      <c r="B14" s="2430"/>
      <c r="C14" s="2430"/>
      <c r="D14" s="2430"/>
      <c r="E14" s="2430"/>
      <c r="F14" s="2431"/>
      <c r="G14" s="1192" t="s">
        <v>1185</v>
      </c>
      <c r="H14" s="1190"/>
      <c r="I14" s="1190"/>
      <c r="J14" s="1190"/>
      <c r="K14" s="1190"/>
      <c r="L14" s="1191"/>
    </row>
    <row r="15" spans="1:29" ht="13.5" customHeight="1" x14ac:dyDescent="0.2">
      <c r="A15" s="2417" t="str">
        <f>COVER!A21</f>
        <v>Farmington</v>
      </c>
      <c r="B15" s="2430"/>
      <c r="C15" s="2430"/>
      <c r="D15" s="2430"/>
      <c r="E15" s="2430"/>
      <c r="F15" s="2431"/>
      <c r="G15" s="2427" t="str">
        <f>COVER!T15</f>
        <v>Jason A. Hohulin, CPA</v>
      </c>
      <c r="H15" s="2428"/>
      <c r="I15" s="2428"/>
      <c r="J15" s="2428"/>
      <c r="K15" s="2428"/>
      <c r="L15" s="2429"/>
    </row>
    <row r="16" spans="1:29" ht="12.2" customHeight="1" x14ac:dyDescent="0.2">
      <c r="A16" s="2407">
        <f>COVER!A25</f>
        <v>61531</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2" t="s">
        <v>1184</v>
      </c>
      <c r="H17" s="1190"/>
      <c r="I17" s="1190"/>
      <c r="J17" s="1190"/>
      <c r="K17" s="1194" t="s">
        <v>1183</v>
      </c>
      <c r="L17" s="1187"/>
      <c r="M17" s="1180"/>
    </row>
    <row r="18" spans="1:13" ht="12.2" customHeight="1" x14ac:dyDescent="0.2">
      <c r="A18" s="2401"/>
      <c r="B18" s="2402"/>
      <c r="C18" s="2402"/>
      <c r="D18" s="2402"/>
      <c r="E18" s="2402"/>
      <c r="F18" s="2403"/>
      <c r="G18" s="2404" t="str">
        <f>COVER!T21</f>
        <v>309-685-7621</v>
      </c>
      <c r="H18" s="2405"/>
      <c r="I18" s="2405"/>
      <c r="J18" s="2405"/>
      <c r="K18" s="2404" t="str">
        <f>COVER!X21</f>
        <v>309-685-4758</v>
      </c>
      <c r="L18" s="240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5" t="str">
        <f>'Single Audit Cover'!A7</f>
        <v>Farmington Central CUSD 265</v>
      </c>
      <c r="B1" s="2441"/>
      <c r="C1" s="2441"/>
      <c r="D1" s="2441"/>
    </row>
    <row r="2" spans="1:11" s="1209" customFormat="1" ht="12.75" x14ac:dyDescent="0.2">
      <c r="A2" s="2446">
        <f>'Single Audit Cover'!E7</f>
        <v>48072265026</v>
      </c>
      <c r="B2" s="2447"/>
      <c r="C2" s="2447"/>
      <c r="D2" s="2447"/>
    </row>
    <row r="3" spans="1:11" s="1209" customFormat="1" ht="12.75" x14ac:dyDescent="0.2">
      <c r="A3" s="2445" t="s">
        <v>1513</v>
      </c>
      <c r="B3" s="2441"/>
      <c r="C3" s="2441"/>
      <c r="D3" s="2441"/>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9" t="str">
        <f>'Single Audit Cover'!A7</f>
        <v>Farmington Central CUSD 265</v>
      </c>
      <c r="B1" s="2449"/>
      <c r="C1" s="2449"/>
      <c r="D1" s="2449"/>
      <c r="E1" s="2449"/>
    </row>
    <row r="2" spans="1:5" x14ac:dyDescent="0.2">
      <c r="A2" s="2450">
        <f>'Single Audit Cover'!E7</f>
        <v>48072265026</v>
      </c>
      <c r="B2" s="2450"/>
      <c r="C2" s="2450"/>
      <c r="D2" s="2450"/>
      <c r="E2" s="2450"/>
    </row>
    <row r="3" spans="1:5" ht="4.5" customHeight="1" x14ac:dyDescent="0.2"/>
    <row r="4" spans="1:5" x14ac:dyDescent="0.2">
      <c r="A4" s="2449" t="s">
        <v>1245</v>
      </c>
      <c r="B4" s="2449"/>
      <c r="C4" s="2449"/>
      <c r="D4" s="2449"/>
      <c r="E4" s="2449"/>
    </row>
    <row r="5" spans="1:5" x14ac:dyDescent="0.2">
      <c r="A5" s="2452" t="str">
        <f>'Single Audit Cover'!A4</f>
        <v>Year Ending June 30, 2019</v>
      </c>
      <c r="B5" s="2452"/>
      <c r="C5" s="2452"/>
      <c r="D5" s="2452"/>
      <c r="E5" s="2452"/>
    </row>
    <row r="6" spans="1:5" x14ac:dyDescent="0.2">
      <c r="A6" s="2449" t="s">
        <v>1244</v>
      </c>
      <c r="B6" s="2449"/>
      <c r="C6" s="2449"/>
      <c r="D6" s="2449"/>
      <c r="E6" s="2449"/>
    </row>
    <row r="8" spans="1:5" x14ac:dyDescent="0.2">
      <c r="A8" s="1254" t="s">
        <v>1243</v>
      </c>
    </row>
    <row r="10" spans="1:5" x14ac:dyDescent="0.2">
      <c r="A10" s="1255" t="s">
        <v>1242</v>
      </c>
      <c r="B10" s="1256" t="s">
        <v>1241</v>
      </c>
      <c r="C10" s="1256"/>
      <c r="D10" s="1257">
        <f>SUM('Acct Summary 7-8'!C7:K7)</f>
        <v>622647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49733</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-22293</v>
      </c>
    </row>
    <row r="19" spans="1:4" ht="13.5" thickBot="1" x14ac:dyDescent="0.25">
      <c r="A19" s="1259" t="s">
        <v>1235</v>
      </c>
      <c r="D19" s="1260">
        <f>SUM(D10:D17)</f>
        <v>650087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1"/>
      <c r="B24" s="2451"/>
      <c r="D24" s="1262"/>
    </row>
    <row r="25" spans="1:4" x14ac:dyDescent="0.2">
      <c r="A25" s="2448"/>
      <c r="B25" s="2448"/>
      <c r="D25" s="1262"/>
    </row>
    <row r="26" spans="1:4" x14ac:dyDescent="0.2">
      <c r="A26" s="2448"/>
      <c r="B26" s="2448"/>
      <c r="D26" s="1262"/>
    </row>
    <row r="27" spans="1:4" x14ac:dyDescent="0.2">
      <c r="A27" s="2448"/>
      <c r="B27" s="2448"/>
      <c r="D27" s="1262"/>
    </row>
    <row r="28" spans="1:4" x14ac:dyDescent="0.2">
      <c r="A28" s="2448"/>
      <c r="B28" s="2448"/>
      <c r="D28" s="1262"/>
    </row>
    <row r="29" spans="1:4" x14ac:dyDescent="0.2">
      <c r="A29" s="2448"/>
      <c r="B29" s="2448"/>
      <c r="D29" s="1262"/>
    </row>
    <row r="30" spans="1:4" x14ac:dyDescent="0.2">
      <c r="A30" s="2448"/>
      <c r="B30" s="2448"/>
      <c r="D30" s="1262"/>
    </row>
    <row r="32" spans="1:4" x14ac:dyDescent="0.2">
      <c r="A32" s="1254" t="s">
        <v>1233</v>
      </c>
      <c r="D32" s="1257">
        <f>SUM(D19:D30)</f>
        <v>650087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8"/>
      <c r="B40" s="2448"/>
      <c r="D40" s="1262"/>
    </row>
    <row r="41" spans="1:4" x14ac:dyDescent="0.2">
      <c r="A41" s="2448"/>
      <c r="B41" s="2448"/>
      <c r="D41" s="1265"/>
    </row>
    <row r="42" spans="1:4" x14ac:dyDescent="0.2">
      <c r="A42" s="2448"/>
      <c r="B42" s="2448"/>
      <c r="D42" s="1265"/>
    </row>
    <row r="43" spans="1:4" x14ac:dyDescent="0.2">
      <c r="A43" s="2448"/>
      <c r="B43" s="2448"/>
      <c r="D43" s="1265"/>
    </row>
    <row r="44" spans="1:4" x14ac:dyDescent="0.2">
      <c r="A44" s="2448"/>
      <c r="B44" s="2448"/>
      <c r="D44" s="1265"/>
    </row>
    <row r="45" spans="1:4" x14ac:dyDescent="0.2">
      <c r="A45" s="2448"/>
      <c r="B45" s="2448"/>
      <c r="D45" s="1265"/>
    </row>
    <row r="47" spans="1:4" x14ac:dyDescent="0.2">
      <c r="B47" s="1266" t="s">
        <v>1227</v>
      </c>
      <c r="C47" s="1266"/>
      <c r="D47" s="1267">
        <f>SUM(D35:D45)</f>
        <v>0</v>
      </c>
    </row>
    <row r="49" spans="2:4" x14ac:dyDescent="0.2">
      <c r="B49" s="1266" t="s">
        <v>1226</v>
      </c>
      <c r="C49" s="1266"/>
      <c r="D49" s="1267">
        <f>D32-D47</f>
        <v>650087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0" t="str">
        <f>'Single Audit Cover'!A7</f>
        <v>Farmington Central CUSD 265</v>
      </c>
      <c r="C1" s="2453"/>
      <c r="D1" s="2453"/>
      <c r="E1" s="2453"/>
      <c r="F1" s="2453"/>
      <c r="G1" s="2453"/>
      <c r="H1" s="2453"/>
      <c r="I1" s="2453"/>
      <c r="J1" s="2453"/>
      <c r="K1" s="2453"/>
      <c r="L1" s="2453"/>
      <c r="M1" s="2453"/>
    </row>
    <row r="2" spans="2:14" ht="15" x14ac:dyDescent="0.2">
      <c r="B2" s="2454">
        <f>'Single Audit Cover'!E7</f>
        <v>48072265026</v>
      </c>
      <c r="C2" s="2454"/>
      <c r="D2" s="2454"/>
      <c r="E2" s="2454"/>
      <c r="F2" s="2454"/>
      <c r="G2" s="2454"/>
      <c r="H2" s="2454"/>
      <c r="I2" s="2454"/>
      <c r="J2" s="2454"/>
      <c r="K2" s="2454"/>
      <c r="L2" s="2454"/>
      <c r="M2" s="2454"/>
      <c r="N2" s="1296"/>
    </row>
    <row r="3" spans="2:14" ht="15" x14ac:dyDescent="0.2">
      <c r="B3" s="2455" t="s">
        <v>1219</v>
      </c>
      <c r="C3" s="2455"/>
      <c r="D3" s="2455"/>
      <c r="E3" s="2455"/>
      <c r="F3" s="2455"/>
      <c r="G3" s="2455"/>
      <c r="H3" s="2455"/>
      <c r="I3" s="2455"/>
      <c r="J3" s="2455"/>
      <c r="K3" s="2455"/>
      <c r="L3" s="2455"/>
      <c r="M3" s="2455"/>
      <c r="N3" s="1296"/>
    </row>
    <row r="4" spans="2:14" ht="15" x14ac:dyDescent="0.2">
      <c r="B4" s="2456" t="str">
        <f>'Single Audit Cover'!A4</f>
        <v>Year Ending June 30, 2019</v>
      </c>
      <c r="C4" s="2456"/>
      <c r="D4" s="2456"/>
      <c r="E4" s="2456"/>
      <c r="F4" s="2456"/>
      <c r="G4" s="2456"/>
      <c r="H4" s="2456"/>
      <c r="I4" s="2456"/>
      <c r="J4" s="2456"/>
      <c r="K4" s="2456"/>
      <c r="L4" s="2456"/>
      <c r="M4" s="2456"/>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Farmington Central CUSD 265</v>
      </c>
      <c r="B1" s="2458"/>
      <c r="C1" s="2458"/>
      <c r="D1" s="2458"/>
      <c r="E1" s="2458"/>
      <c r="F1" s="2458"/>
    </row>
    <row r="2" spans="1:7" ht="13.5" customHeight="1" x14ac:dyDescent="0.2">
      <c r="A2" s="2454">
        <f>'Single Audit Cover'!E7</f>
        <v>48072265026</v>
      </c>
      <c r="B2" s="2454"/>
      <c r="C2" s="2454"/>
      <c r="D2" s="2454"/>
      <c r="E2" s="2454"/>
      <c r="F2" s="2454"/>
      <c r="G2" s="1269"/>
    </row>
    <row r="3" spans="1:7" ht="15.75" customHeight="1" x14ac:dyDescent="0.2">
      <c r="A3" s="2459" t="s">
        <v>1271</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70" t="s">
        <v>1728</v>
      </c>
      <c r="C6" s="317"/>
      <c r="D6" s="317"/>
    </row>
    <row r="7" spans="1:7" ht="60.95" customHeight="1" x14ac:dyDescent="0.2">
      <c r="A7" s="2457" t="s">
        <v>1729</v>
      </c>
      <c r="B7" s="2457"/>
      <c r="C7" s="2457"/>
      <c r="D7" s="2457"/>
      <c r="E7" s="2457"/>
      <c r="F7" s="2457"/>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7" t="s">
        <v>1731</v>
      </c>
      <c r="B13" s="2457"/>
      <c r="C13" s="2457"/>
      <c r="D13" s="2457"/>
      <c r="E13" s="2457"/>
      <c r="F13" s="2457"/>
    </row>
    <row r="14" spans="1:7" ht="9.75" customHeight="1" x14ac:dyDescent="0.2">
      <c r="C14" s="1254"/>
      <c r="D14" s="1254"/>
    </row>
    <row r="15" spans="1:7" ht="13.5" customHeight="1" x14ac:dyDescent="0.2">
      <c r="C15" s="1843" t="s">
        <v>1270</v>
      </c>
      <c r="D15" s="2462" t="s">
        <v>1269</v>
      </c>
      <c r="E15" s="2462"/>
      <c r="F15" s="2462"/>
    </row>
    <row r="16" spans="1:7" ht="13.5" customHeight="1" x14ac:dyDescent="0.2">
      <c r="A16" s="1276"/>
      <c r="B16" s="1270" t="s">
        <v>1268</v>
      </c>
      <c r="C16" s="1843" t="s">
        <v>1267</v>
      </c>
      <c r="D16" s="2463" t="s">
        <v>1588</v>
      </c>
      <c r="E16" s="2463"/>
      <c r="F16" s="2463"/>
    </row>
    <row r="17" spans="1:6" ht="20.45" customHeight="1" x14ac:dyDescent="0.2">
      <c r="A17" s="1277"/>
      <c r="B17" s="1278"/>
      <c r="C17" s="1279"/>
      <c r="D17" s="2461"/>
      <c r="E17" s="2461"/>
      <c r="F17" s="2461"/>
    </row>
    <row r="18" spans="1:6" ht="20.65" customHeight="1" x14ac:dyDescent="0.2">
      <c r="A18" s="1277"/>
      <c r="B18" s="1278"/>
      <c r="C18" s="1279"/>
      <c r="D18" s="2461"/>
      <c r="E18" s="2461"/>
      <c r="F18" s="2461"/>
    </row>
    <row r="19" spans="1:6" ht="20.65" customHeight="1" x14ac:dyDescent="0.2">
      <c r="A19" s="1277"/>
      <c r="B19" s="1278"/>
      <c r="C19" s="1279"/>
      <c r="D19" s="2461"/>
      <c r="E19" s="2461"/>
      <c r="F19" s="2461"/>
    </row>
    <row r="20" spans="1:6" ht="20.65" customHeight="1" x14ac:dyDescent="0.2">
      <c r="A20" s="1277"/>
      <c r="B20" s="1278"/>
      <c r="C20" s="1279"/>
      <c r="D20" s="2461"/>
      <c r="E20" s="2461"/>
      <c r="F20" s="2461"/>
    </row>
    <row r="21" spans="1:6" ht="20.65" customHeight="1" x14ac:dyDescent="0.2">
      <c r="A21" s="1277"/>
      <c r="B21" s="1278"/>
      <c r="C21" s="1279"/>
      <c r="D21" s="2461"/>
      <c r="E21" s="2461"/>
      <c r="F21" s="2461"/>
    </row>
    <row r="22" spans="1:6" ht="20.65" customHeight="1" x14ac:dyDescent="0.2">
      <c r="A22" s="1277"/>
      <c r="B22" s="1278"/>
      <c r="C22" s="1279"/>
      <c r="D22" s="2461"/>
      <c r="E22" s="2461"/>
      <c r="F22" s="2461"/>
    </row>
    <row r="23" spans="1:6" ht="20.65" customHeight="1" x14ac:dyDescent="0.2">
      <c r="A23" s="1277"/>
      <c r="B23" s="1278"/>
      <c r="C23" s="1279"/>
      <c r="D23" s="2461"/>
      <c r="E23" s="2461"/>
      <c r="F23" s="2461"/>
    </row>
    <row r="24" spans="1:6" ht="20.65" customHeight="1" x14ac:dyDescent="0.2">
      <c r="A24" s="1277"/>
      <c r="B24" s="1278"/>
      <c r="C24" s="1279"/>
      <c r="D24" s="2461"/>
      <c r="E24" s="2461"/>
      <c r="F24" s="2461"/>
    </row>
    <row r="25" spans="1:6" ht="20.65" customHeight="1" x14ac:dyDescent="0.2">
      <c r="A25" s="1277"/>
      <c r="B25" s="1278"/>
      <c r="C25" s="1279"/>
      <c r="D25" s="2461"/>
      <c r="E25" s="2461"/>
      <c r="F25" s="2461"/>
    </row>
    <row r="26" spans="1:6" ht="20.65" customHeight="1" x14ac:dyDescent="0.2">
      <c r="A26" s="1277"/>
      <c r="B26" s="1278"/>
      <c r="C26" s="1279"/>
      <c r="D26" s="2461"/>
      <c r="E26" s="2461"/>
      <c r="F26" s="2461"/>
    </row>
    <row r="27" spans="1:6" ht="20.65" customHeight="1" x14ac:dyDescent="0.2">
      <c r="A27" s="1277"/>
      <c r="B27" s="1278"/>
      <c r="C27" s="1279"/>
      <c r="D27" s="2461"/>
      <c r="E27" s="2461"/>
      <c r="F27" s="2461"/>
    </row>
    <row r="28" spans="1:6" ht="20.65" customHeight="1" x14ac:dyDescent="0.2">
      <c r="A28" s="1277"/>
      <c r="B28" s="1278"/>
      <c r="C28" s="1279"/>
      <c r="D28" s="2461"/>
      <c r="E28" s="2461"/>
      <c r="F28" s="2461"/>
    </row>
    <row r="29" spans="1:6" ht="20.65" customHeight="1" x14ac:dyDescent="0.2">
      <c r="A29" s="1277"/>
      <c r="B29" s="1278"/>
      <c r="C29" s="1279"/>
      <c r="D29" s="2461"/>
      <c r="E29" s="2461"/>
      <c r="F29" s="2461"/>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5" t="s">
        <v>1732</v>
      </c>
      <c r="B32" s="2465"/>
      <c r="C32" s="2465"/>
      <c r="D32" s="2465"/>
      <c r="E32" s="2465"/>
      <c r="F32" s="2465"/>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6">
        <f>+C33+C34</f>
        <v>0</v>
      </c>
      <c r="F34" s="2467"/>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8" t="s">
        <v>1590</v>
      </c>
      <c r="C49" s="2468"/>
      <c r="D49" s="2468"/>
      <c r="E49" s="1393"/>
    </row>
    <row r="50" spans="1:5" s="1294" customFormat="1" ht="3.75" customHeight="1" x14ac:dyDescent="0.2">
      <c r="A50" s="1293"/>
      <c r="B50" s="1842"/>
      <c r="C50" s="1842"/>
      <c r="D50" s="1842"/>
      <c r="E50" s="1393"/>
    </row>
    <row r="51" spans="1:5" s="1294" customFormat="1" ht="20.25" customHeight="1" x14ac:dyDescent="0.2">
      <c r="A51" s="1295">
        <v>6</v>
      </c>
      <c r="B51" s="2464" t="s">
        <v>1551</v>
      </c>
      <c r="C51" s="2464"/>
      <c r="D51" s="2464"/>
    </row>
    <row r="52" spans="1:5" ht="14.25" customHeight="1" x14ac:dyDescent="0.2">
      <c r="A52" s="1295"/>
      <c r="B52" s="2464"/>
      <c r="C52" s="2464"/>
      <c r="D52" s="246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t="s">
        <v>2134</v>
      </c>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2144</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t="s">
        <v>2147</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Farmington Central CUSD 265</v>
      </c>
      <c r="C1" s="2474"/>
      <c r="D1" s="2474"/>
      <c r="E1" s="2474"/>
      <c r="F1" s="2474"/>
      <c r="G1" s="2474"/>
      <c r="H1" s="2474"/>
      <c r="I1" s="2474"/>
      <c r="J1" s="1403"/>
    </row>
    <row r="2" spans="2:10" s="317" customFormat="1" ht="12.75" customHeight="1" x14ac:dyDescent="0.2">
      <c r="B2" s="2475">
        <f>'Single Audit Cover'!E7</f>
        <v>48072265026</v>
      </c>
      <c r="C2" s="2476"/>
      <c r="D2" s="2476"/>
      <c r="E2" s="2476"/>
      <c r="F2" s="2476"/>
      <c r="G2" s="2476"/>
      <c r="H2" s="2476"/>
      <c r="I2" s="2476"/>
      <c r="J2" s="1403"/>
    </row>
    <row r="3" spans="2:10" s="317" customFormat="1" ht="12.75" customHeight="1" x14ac:dyDescent="0.2">
      <c r="B3" s="2477" t="s">
        <v>1285</v>
      </c>
      <c r="C3" s="2478"/>
      <c r="D3" s="2478"/>
      <c r="E3" s="2478"/>
      <c r="F3" s="2478"/>
      <c r="G3" s="2478"/>
      <c r="H3" s="2478"/>
      <c r="I3" s="2478"/>
      <c r="J3" s="1404"/>
    </row>
    <row r="4" spans="2:10" s="317" customFormat="1" ht="12.75" customHeight="1" x14ac:dyDescent="0.2">
      <c r="B4" s="2477" t="str">
        <f>'Single Audit Cover'!A4</f>
        <v>Year Ending June 30, 2019</v>
      </c>
      <c r="C4" s="2478"/>
      <c r="D4" s="2478"/>
      <c r="E4" s="2478"/>
      <c r="F4" s="2478"/>
      <c r="G4" s="2478"/>
      <c r="H4" s="2478"/>
      <c r="I4" s="2478"/>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7" t="s">
        <v>1284</v>
      </c>
      <c r="C7" s="2478"/>
      <c r="D7" s="2478"/>
      <c r="E7" s="2478"/>
      <c r="F7" s="2478"/>
      <c r="G7" s="2478"/>
      <c r="H7" s="2478"/>
      <c r="I7" s="2478"/>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9"/>
      <c r="D11" s="2479"/>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0"/>
      <c r="E29" s="2480"/>
      <c r="F29" s="2480"/>
      <c r="G29" s="2480"/>
      <c r="H29" s="2480"/>
      <c r="I29" s="2480"/>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1" t="s">
        <v>1751</v>
      </c>
      <c r="D37" s="2482"/>
      <c r="E37" s="2482"/>
      <c r="F37" s="2483"/>
      <c r="G37" s="2481" t="s">
        <v>1592</v>
      </c>
      <c r="H37" s="2482"/>
      <c r="I37" s="2483"/>
    </row>
    <row r="38" spans="2:9" ht="16.5" customHeight="1" x14ac:dyDescent="0.2">
      <c r="B38" s="1425"/>
      <c r="C38" s="2469"/>
      <c r="D38" s="2470"/>
      <c r="E38" s="2470"/>
      <c r="F38" s="2471"/>
      <c r="G38" s="2484"/>
      <c r="H38" s="2485"/>
      <c r="I38" s="2486"/>
    </row>
    <row r="39" spans="2:9" ht="16.5" customHeight="1" x14ac:dyDescent="0.2">
      <c r="B39" s="1425"/>
      <c r="C39" s="2469"/>
      <c r="D39" s="2470"/>
      <c r="E39" s="2470"/>
      <c r="F39" s="2471"/>
      <c r="G39" s="2472"/>
      <c r="H39" s="2472"/>
      <c r="I39" s="2472"/>
    </row>
    <row r="40" spans="2:9" ht="16.5" customHeight="1" x14ac:dyDescent="0.2">
      <c r="B40" s="1425"/>
      <c r="C40" s="2469"/>
      <c r="D40" s="2470"/>
      <c r="E40" s="2470"/>
      <c r="F40" s="2471"/>
      <c r="G40" s="2472"/>
      <c r="H40" s="2472"/>
      <c r="I40" s="2472"/>
    </row>
    <row r="41" spans="2:9" ht="16.5" customHeight="1" x14ac:dyDescent="0.2">
      <c r="B41" s="1425"/>
      <c r="C41" s="2469"/>
      <c r="D41" s="2470"/>
      <c r="E41" s="2470"/>
      <c r="F41" s="2471"/>
      <c r="G41" s="2472"/>
      <c r="H41" s="2472"/>
      <c r="I41" s="2472"/>
    </row>
    <row r="42" spans="2:9" ht="16.5" customHeight="1" x14ac:dyDescent="0.2">
      <c r="B42" s="1425"/>
      <c r="C42" s="2469"/>
      <c r="D42" s="2470"/>
      <c r="E42" s="2470"/>
      <c r="F42" s="2471"/>
      <c r="G42" s="2472"/>
      <c r="H42" s="2472"/>
      <c r="I42" s="2472"/>
    </row>
    <row r="43" spans="2:9" ht="16.5" customHeight="1" x14ac:dyDescent="0.2">
      <c r="B43" s="1425"/>
      <c r="C43" s="2487" t="s">
        <v>1593</v>
      </c>
      <c r="D43" s="2488"/>
      <c r="E43" s="2488"/>
      <c r="F43" s="2489"/>
      <c r="G43" s="2490">
        <f>SUM(G38:I42)</f>
        <v>0</v>
      </c>
      <c r="H43" s="2490"/>
      <c r="I43" s="2490"/>
    </row>
    <row r="44" spans="2:9" ht="12.75" customHeight="1" x14ac:dyDescent="0.2"/>
    <row r="45" spans="2:9" ht="12.75" customHeight="1" x14ac:dyDescent="0.2">
      <c r="B45" s="1416" t="s">
        <v>1841</v>
      </c>
      <c r="D45" s="2491">
        <v>0</v>
      </c>
      <c r="E45" s="2492"/>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93"/>
      <c r="F49" s="2493"/>
      <c r="G49" s="2493"/>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Farmington Central CUSD 265</v>
      </c>
      <c r="C1" s="2473"/>
      <c r="D1" s="2473"/>
      <c r="E1" s="2473"/>
      <c r="F1" s="2473"/>
      <c r="G1" s="2473"/>
      <c r="H1" s="2473"/>
      <c r="I1" s="2473"/>
      <c r="J1" s="2473"/>
      <c r="K1" s="2473"/>
      <c r="L1" s="1368"/>
      <c r="M1" s="1368"/>
    </row>
    <row r="2" spans="1:13" ht="12" customHeight="1" x14ac:dyDescent="0.2">
      <c r="B2" s="2475">
        <f>'Single Audit Cover'!E7</f>
        <v>48072265026</v>
      </c>
      <c r="C2" s="2475"/>
      <c r="D2" s="2475"/>
      <c r="E2" s="2475"/>
      <c r="F2" s="2475"/>
      <c r="G2" s="2475"/>
      <c r="H2" s="2475"/>
      <c r="I2" s="2475"/>
      <c r="J2" s="2475"/>
      <c r="K2" s="2475"/>
      <c r="L2" s="1369"/>
      <c r="M2" s="1370"/>
    </row>
    <row r="3" spans="1:13" ht="10.35" customHeight="1" x14ac:dyDescent="0.2">
      <c r="B3" s="2496" t="s">
        <v>1285</v>
      </c>
      <c r="C3" s="2496"/>
      <c r="D3" s="2496"/>
      <c r="E3" s="2496"/>
      <c r="F3" s="2496"/>
      <c r="G3" s="2496"/>
      <c r="H3" s="2496"/>
      <c r="I3" s="2496"/>
      <c r="J3" s="2496"/>
      <c r="K3" s="2496"/>
      <c r="L3" s="1371"/>
      <c r="M3" s="1371"/>
    </row>
    <row r="4" spans="1:13" ht="14.25" customHeight="1" x14ac:dyDescent="0.2">
      <c r="B4" s="2497" t="str">
        <f>'Single Audit Cover'!A4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9"/>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4"/>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+'SF&amp;QC Sec-2'!B1:K1</f>
        <v>Farmington Central CUSD 265</v>
      </c>
      <c r="C1" s="2473"/>
      <c r="D1" s="2473"/>
      <c r="E1" s="2473"/>
      <c r="F1" s="2473"/>
      <c r="G1" s="2473"/>
      <c r="H1" s="2473"/>
      <c r="I1" s="2473"/>
      <c r="J1" s="2473"/>
      <c r="K1" s="2473"/>
      <c r="L1" s="1368"/>
      <c r="M1" s="1368"/>
    </row>
    <row r="2" spans="1:13" ht="12" customHeight="1" x14ac:dyDescent="0.2">
      <c r="B2" s="2475">
        <f>+'SF&amp;QC Sec-2'!B2:K2</f>
        <v>48072265026</v>
      </c>
      <c r="C2" s="2475"/>
      <c r="D2" s="2475"/>
      <c r="E2" s="2475"/>
      <c r="F2" s="2475"/>
      <c r="G2" s="2475"/>
      <c r="H2" s="2475"/>
      <c r="I2" s="2475"/>
      <c r="J2" s="2475"/>
      <c r="K2" s="2475"/>
      <c r="L2" s="1369"/>
      <c r="M2" s="1370"/>
    </row>
    <row r="3" spans="1:13" ht="10.35" customHeight="1" x14ac:dyDescent="0.2">
      <c r="B3" s="2496" t="s">
        <v>1285</v>
      </c>
      <c r="C3" s="2496"/>
      <c r="D3" s="2496"/>
      <c r="E3" s="2496"/>
      <c r="F3" s="2496"/>
      <c r="G3" s="2496"/>
      <c r="H3" s="2496"/>
      <c r="I3" s="2496"/>
      <c r="J3" s="2496"/>
      <c r="K3" s="2496"/>
      <c r="L3" s="1937"/>
      <c r="M3" s="1937"/>
    </row>
    <row r="4" spans="1:13" ht="14.25" customHeight="1" x14ac:dyDescent="0.2">
      <c r="B4" s="2497" t="str">
        <f>+'SF&amp;QC Sec-2'!B4:K4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t="s">
        <v>2108</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t="s">
        <v>2101</v>
      </c>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t="s">
        <v>2102</v>
      </c>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9" t="s">
        <v>2103</v>
      </c>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t="s">
        <v>2104</v>
      </c>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t="s">
        <v>2105</v>
      </c>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t="s">
        <v>2106</v>
      </c>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4" t="s">
        <v>2107</v>
      </c>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+'SF&amp;QC Sec-2'!B1:K1</f>
        <v>Farmington Central CUSD 265</v>
      </c>
      <c r="C1" s="2473"/>
      <c r="D1" s="2473"/>
      <c r="E1" s="2473"/>
      <c r="F1" s="2473"/>
      <c r="G1" s="2473"/>
      <c r="H1" s="2473"/>
      <c r="I1" s="2473"/>
      <c r="J1" s="2473"/>
      <c r="K1" s="2473"/>
      <c r="L1" s="1368"/>
      <c r="M1" s="1368"/>
    </row>
    <row r="2" spans="1:13" ht="12" customHeight="1" x14ac:dyDescent="0.2">
      <c r="B2" s="2475">
        <f>+'SF&amp;QC Sec-2'!B2:K2</f>
        <v>48072265026</v>
      </c>
      <c r="C2" s="2475"/>
      <c r="D2" s="2475"/>
      <c r="E2" s="2475"/>
      <c r="F2" s="2475"/>
      <c r="G2" s="2475"/>
      <c r="H2" s="2475"/>
      <c r="I2" s="2475"/>
      <c r="J2" s="2475"/>
      <c r="K2" s="2475"/>
      <c r="L2" s="1369"/>
      <c r="M2" s="1370"/>
    </row>
    <row r="3" spans="1:13" ht="10.35" customHeight="1" x14ac:dyDescent="0.2">
      <c r="B3" s="2496" t="s">
        <v>1285</v>
      </c>
      <c r="C3" s="2496"/>
      <c r="D3" s="2496"/>
      <c r="E3" s="2496"/>
      <c r="F3" s="2496"/>
      <c r="G3" s="2496"/>
      <c r="H3" s="2496"/>
      <c r="I3" s="2496"/>
      <c r="J3" s="2496"/>
      <c r="K3" s="2496"/>
      <c r="L3" s="1937"/>
      <c r="M3" s="1937"/>
    </row>
    <row r="4" spans="1:13" ht="14.25" customHeight="1" x14ac:dyDescent="0.2">
      <c r="B4" s="2497" t="str">
        <f>+'SF&amp;QC Sec-2'!B4:K4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2</v>
      </c>
      <c r="E10" s="322"/>
      <c r="F10" s="1381" t="s">
        <v>1295</v>
      </c>
      <c r="G10" s="1382" t="s">
        <v>2108</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t="s">
        <v>2109</v>
      </c>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t="s">
        <v>2110</v>
      </c>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9" t="s">
        <v>2118</v>
      </c>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t="s">
        <v>2119</v>
      </c>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t="s">
        <v>2120</v>
      </c>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t="s">
        <v>2121</v>
      </c>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4" t="s">
        <v>2122</v>
      </c>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5.7109375" style="317" bestFit="1"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+'SF&amp;QC Sec-2'!B1:K1</f>
        <v>Farmington Central CUSD 265</v>
      </c>
      <c r="C1" s="2473"/>
      <c r="D1" s="2473"/>
      <c r="E1" s="2473"/>
      <c r="F1" s="2473"/>
      <c r="G1" s="2473"/>
      <c r="H1" s="2473"/>
      <c r="I1" s="2473"/>
      <c r="J1" s="2473"/>
      <c r="K1" s="2473"/>
      <c r="L1" s="1368"/>
      <c r="M1" s="1368"/>
    </row>
    <row r="2" spans="1:13" ht="12" customHeight="1" x14ac:dyDescent="0.2">
      <c r="B2" s="2475">
        <f>+'SF&amp;QC Sec-2'!B2:K2</f>
        <v>48072265026</v>
      </c>
      <c r="C2" s="2475"/>
      <c r="D2" s="2475"/>
      <c r="E2" s="2475"/>
      <c r="F2" s="2475"/>
      <c r="G2" s="2475"/>
      <c r="H2" s="2475"/>
      <c r="I2" s="2475"/>
      <c r="J2" s="2475"/>
      <c r="K2" s="2475"/>
      <c r="L2" s="1369"/>
      <c r="M2" s="1370"/>
    </row>
    <row r="3" spans="1:13" ht="10.35" customHeight="1" x14ac:dyDescent="0.2">
      <c r="B3" s="2496" t="s">
        <v>1285</v>
      </c>
      <c r="C3" s="2496"/>
      <c r="D3" s="2496"/>
      <c r="E3" s="2496"/>
      <c r="F3" s="2496"/>
      <c r="G3" s="2496"/>
      <c r="H3" s="2496"/>
      <c r="I3" s="2496"/>
      <c r="J3" s="2496"/>
      <c r="K3" s="2496"/>
      <c r="L3" s="1938"/>
      <c r="M3" s="1938"/>
    </row>
    <row r="4" spans="1:13" ht="14.25" customHeight="1" x14ac:dyDescent="0.2">
      <c r="B4" s="2497" t="str">
        <f>+'SF&amp;QC Sec-2'!B4:K4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3</v>
      </c>
      <c r="E10" s="322"/>
      <c r="F10" s="1381" t="s">
        <v>1295</v>
      </c>
      <c r="G10" s="1382" t="s">
        <v>2108</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5" t="s">
        <v>2123</v>
      </c>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t="s">
        <v>2124</v>
      </c>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9" t="s">
        <v>2125</v>
      </c>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t="s">
        <v>2126</v>
      </c>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t="s">
        <v>2127</v>
      </c>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t="s">
        <v>2128</v>
      </c>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4" t="s">
        <v>2129</v>
      </c>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Farmington Central CUSD 265</v>
      </c>
      <c r="C1" s="2500"/>
      <c r="D1" s="2500"/>
      <c r="E1" s="2500"/>
      <c r="F1" s="2500"/>
      <c r="G1" s="2500"/>
      <c r="H1" s="2500"/>
      <c r="I1" s="2500"/>
      <c r="J1" s="2500"/>
      <c r="K1" s="2500"/>
      <c r="L1" s="1446"/>
    </row>
    <row r="2" spans="1:12" ht="12.75" customHeight="1" x14ac:dyDescent="0.2">
      <c r="B2" s="2501">
        <f>'Single Audit Cover'!E7</f>
        <v>48072265026</v>
      </c>
      <c r="C2" s="2501"/>
      <c r="D2" s="2501"/>
      <c r="E2" s="2501"/>
      <c r="F2" s="2501"/>
      <c r="G2" s="2501"/>
      <c r="H2" s="2501"/>
      <c r="I2" s="2501"/>
      <c r="J2" s="2501"/>
      <c r="K2" s="2501"/>
      <c r="L2" s="1447"/>
    </row>
    <row r="3" spans="1:12" ht="12.75" customHeight="1" x14ac:dyDescent="0.2">
      <c r="B3" s="2496" t="s">
        <v>1285</v>
      </c>
      <c r="C3" s="2496"/>
      <c r="D3" s="2496"/>
      <c r="E3" s="2496"/>
      <c r="F3" s="2496"/>
      <c r="G3" s="2496"/>
      <c r="H3" s="2496"/>
      <c r="I3" s="2496"/>
      <c r="J3" s="2496"/>
      <c r="K3" s="2496"/>
      <c r="L3" s="1371"/>
    </row>
    <row r="4" spans="1:12" ht="12.75" customHeight="1" x14ac:dyDescent="0.2">
      <c r="B4" s="2496" t="str">
        <f>'Single Audit Cover'!A4</f>
        <v>Year Ending June 30, 2019</v>
      </c>
      <c r="C4" s="2496"/>
      <c r="D4" s="2496"/>
      <c r="E4" s="2496"/>
      <c r="F4" s="2496"/>
      <c r="G4" s="2496"/>
      <c r="H4" s="2496"/>
      <c r="I4" s="2496"/>
      <c r="J4" s="2496"/>
      <c r="K4" s="2496"/>
      <c r="L4" s="1371"/>
    </row>
    <row r="5" spans="1:12" ht="5.25" customHeight="1" x14ac:dyDescent="0.2">
      <c r="B5" s="1254" t="s">
        <v>1169</v>
      </c>
      <c r="C5" s="1254"/>
      <c r="L5" s="322"/>
    </row>
    <row r="6" spans="1:12" ht="30.75" customHeight="1" x14ac:dyDescent="0.2">
      <c r="A6" s="322"/>
      <c r="B6" s="2502" t="s">
        <v>1308</v>
      </c>
      <c r="C6" s="2502"/>
      <c r="D6" s="2502"/>
      <c r="E6" s="2502"/>
      <c r="F6" s="2502"/>
      <c r="G6" s="2502"/>
      <c r="H6" s="2502"/>
      <c r="I6" s="2502"/>
      <c r="J6" s="2502"/>
      <c r="K6" s="2502"/>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0"/>
      <c r="G12" s="2480"/>
      <c r="H12" s="2480"/>
      <c r="I12" s="2480"/>
      <c r="J12" s="2480"/>
      <c r="K12" s="2480"/>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3"/>
      <c r="E14" s="2503"/>
      <c r="F14" s="2503"/>
      <c r="H14" s="1456" t="s">
        <v>1303</v>
      </c>
      <c r="I14" s="2504"/>
      <c r="J14" s="2504"/>
      <c r="K14" s="2504"/>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4"/>
      <c r="E16" s="2504"/>
      <c r="F16" s="2504"/>
      <c r="G16" s="2504"/>
      <c r="H16" s="2504"/>
      <c r="I16" s="2504"/>
      <c r="J16" s="2504"/>
      <c r="K16" s="2504"/>
      <c r="L16" s="322"/>
    </row>
    <row r="17" spans="2:12" ht="13.5" customHeight="1" x14ac:dyDescent="0.2">
      <c r="B17" s="1381" t="s">
        <v>1301</v>
      </c>
      <c r="C17" s="1381"/>
      <c r="D17" s="2505"/>
      <c r="E17" s="2505"/>
      <c r="F17" s="2505"/>
      <c r="G17" s="2505"/>
      <c r="H17" s="2505"/>
      <c r="I17" s="2505"/>
      <c r="J17" s="2505"/>
      <c r="K17" s="2505"/>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5"/>
      <c r="C20" s="2495"/>
      <c r="D20" s="2495"/>
      <c r="E20" s="2495"/>
      <c r="F20" s="2495"/>
      <c r="G20" s="2495"/>
      <c r="H20" s="2495"/>
      <c r="I20" s="2495"/>
      <c r="J20" s="2495"/>
      <c r="K20" s="249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3" t="str">
        <f>'Single Audit Cover'!A7</f>
        <v>Farmington Central CUSD 265</v>
      </c>
      <c r="C1" s="2473"/>
      <c r="D1" s="2473"/>
      <c r="E1" s="1466"/>
    </row>
    <row r="2" spans="2:5" s="1276" customFormat="1" ht="12.75" customHeight="1" x14ac:dyDescent="0.2">
      <c r="B2" s="2475">
        <f>'Single Audit Cover'!E7</f>
        <v>48072265026</v>
      </c>
      <c r="C2" s="2475"/>
      <c r="D2" s="2475"/>
      <c r="E2" s="1467"/>
    </row>
    <row r="3" spans="2:5" ht="12.75" customHeight="1" x14ac:dyDescent="0.2">
      <c r="B3" s="2496" t="s">
        <v>1766</v>
      </c>
      <c r="C3" s="2496"/>
      <c r="D3" s="2496"/>
      <c r="E3" s="1268"/>
    </row>
    <row r="4" spans="2:5" s="1276" customFormat="1" ht="12.75" customHeight="1" x14ac:dyDescent="0.2">
      <c r="B4" s="2506" t="str">
        <f>'Single Audit Cover'!A4</f>
        <v>Year Ending June 30, 2019</v>
      </c>
      <c r="C4" s="2506"/>
      <c r="D4" s="2506"/>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2091</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
  <dimension ref="B1:L70"/>
  <sheetViews>
    <sheetView showGridLines="0" zoomScale="110" zoomScaleNormal="110" zoomScaleSheetLayoutView="100" workbookViewId="0"/>
  </sheetViews>
  <sheetFormatPr defaultColWidth="9.140625" defaultRowHeight="12.75" x14ac:dyDescent="0.2"/>
  <cols>
    <col min="1" max="1" width="1.5703125" style="1940" customWidth="1"/>
    <col min="2" max="2" width="11.28515625" style="1940" customWidth="1"/>
    <col min="3" max="3" width="6.42578125" style="1940" customWidth="1"/>
    <col min="4" max="4" width="5.42578125" style="1940" customWidth="1"/>
    <col min="5" max="5" width="74.7109375" style="1940" customWidth="1"/>
    <col min="6" max="6" width="1.5703125" style="1940" customWidth="1"/>
    <col min="7" max="8" width="2.42578125" style="1940" customWidth="1"/>
    <col min="9" max="9" width="9.28515625" style="1940" customWidth="1"/>
    <col min="10" max="10" width="14.42578125" style="1940" customWidth="1"/>
    <col min="11" max="11" width="7.28515625" style="1940" customWidth="1"/>
    <col min="12" max="12" width="3.140625" style="1940" customWidth="1"/>
    <col min="13" max="16384" width="9.140625" style="1940"/>
  </cols>
  <sheetData>
    <row r="1" spans="2:12" ht="13.5" customHeight="1" x14ac:dyDescent="0.2">
      <c r="B1" s="2508" t="str">
        <f>+'SF&amp;QC Sec-1'!B1:I1</f>
        <v>Farmington Central CUSD 265</v>
      </c>
      <c r="C1" s="2508"/>
      <c r="D1" s="2508"/>
      <c r="E1" s="2508"/>
      <c r="F1" s="1939"/>
      <c r="G1" s="1939"/>
      <c r="H1" s="1939"/>
      <c r="I1" s="1939"/>
      <c r="J1" s="1939"/>
      <c r="K1" s="1939"/>
      <c r="L1" s="1939"/>
    </row>
    <row r="2" spans="2:12" ht="13.5" customHeight="1" x14ac:dyDescent="0.2">
      <c r="B2" s="2509">
        <f>+'SF&amp;QC Sec-1'!B2:I2</f>
        <v>48072265026</v>
      </c>
      <c r="C2" s="2509"/>
      <c r="D2" s="2509"/>
      <c r="E2" s="2509"/>
      <c r="F2" s="1941"/>
      <c r="G2" s="1941"/>
      <c r="H2" s="1941"/>
      <c r="I2" s="1941"/>
      <c r="J2" s="1941"/>
      <c r="K2" s="1941"/>
      <c r="L2" s="1941"/>
    </row>
    <row r="3" spans="2:12" ht="13.5" customHeight="1" x14ac:dyDescent="0.2">
      <c r="B3" s="2510" t="s">
        <v>2092</v>
      </c>
      <c r="C3" s="2510"/>
      <c r="D3" s="2510"/>
      <c r="E3" s="2510"/>
      <c r="F3" s="1942"/>
      <c r="G3" s="1942"/>
      <c r="H3" s="1942"/>
      <c r="I3" s="1942"/>
      <c r="J3" s="1942"/>
      <c r="K3" s="1942"/>
      <c r="L3" s="1942"/>
    </row>
    <row r="4" spans="2:12" ht="13.5" customHeight="1" x14ac:dyDescent="0.2">
      <c r="B4" s="2511" t="s">
        <v>1989</v>
      </c>
      <c r="C4" s="2511"/>
      <c r="D4" s="2511"/>
      <c r="E4" s="2511"/>
      <c r="F4" s="1943"/>
      <c r="G4" s="1943"/>
      <c r="H4" s="1943"/>
      <c r="I4" s="1943"/>
      <c r="J4" s="1943"/>
      <c r="K4" s="1943"/>
      <c r="L4" s="1943"/>
    </row>
    <row r="5" spans="2:12" ht="29.85" customHeight="1" x14ac:dyDescent="0.2"/>
    <row r="6" spans="2:12" ht="13.5" customHeight="1" x14ac:dyDescent="0.2">
      <c r="B6" s="1944" t="s">
        <v>2093</v>
      </c>
      <c r="C6" s="1944"/>
      <c r="D6" s="1945"/>
      <c r="E6" s="1946"/>
      <c r="F6" s="1946"/>
      <c r="G6" s="1947"/>
      <c r="H6" s="1947"/>
      <c r="I6" s="1947"/>
    </row>
    <row r="7" spans="2:12" ht="13.5" customHeight="1" x14ac:dyDescent="0.2">
      <c r="B7" s="1940" t="s">
        <v>1169</v>
      </c>
    </row>
    <row r="8" spans="2:12" ht="13.5" customHeight="1" x14ac:dyDescent="0.2">
      <c r="B8" s="1948" t="s">
        <v>2094</v>
      </c>
      <c r="C8" s="1949" t="s">
        <v>1991</v>
      </c>
      <c r="D8" s="1950">
        <v>1</v>
      </c>
    </row>
    <row r="9" spans="2:12" ht="13.5" customHeight="1" x14ac:dyDescent="0.2">
      <c r="B9" s="1951"/>
      <c r="C9" s="1951"/>
      <c r="D9" s="1951"/>
    </row>
    <row r="10" spans="2:12" ht="13.5" customHeight="1" x14ac:dyDescent="0.2">
      <c r="B10" s="1948" t="s">
        <v>2095</v>
      </c>
      <c r="C10" s="1948"/>
    </row>
    <row r="11" spans="2:12" ht="66.75" customHeight="1" x14ac:dyDescent="0.2">
      <c r="B11" s="2507" t="s">
        <v>2111</v>
      </c>
      <c r="C11" s="2507"/>
      <c r="D11" s="2507"/>
      <c r="E11" s="2507"/>
    </row>
    <row r="12" spans="2:12" ht="13.5" customHeight="1" x14ac:dyDescent="0.2"/>
    <row r="13" spans="2:12" ht="13.5" customHeight="1" x14ac:dyDescent="0.2">
      <c r="B13" s="1948" t="s">
        <v>2096</v>
      </c>
      <c r="C13" s="1948"/>
    </row>
    <row r="14" spans="2:12" ht="76.5" customHeight="1" x14ac:dyDescent="0.2">
      <c r="B14" s="2507" t="s">
        <v>2112</v>
      </c>
      <c r="C14" s="2507"/>
      <c r="D14" s="2507"/>
      <c r="E14" s="2507"/>
    </row>
    <row r="15" spans="2:12" ht="13.5" customHeight="1" x14ac:dyDescent="0.2"/>
    <row r="16" spans="2:12" ht="13.5" customHeight="1" x14ac:dyDescent="0.2">
      <c r="B16" s="1948" t="s">
        <v>2097</v>
      </c>
      <c r="C16" s="1948"/>
      <c r="E16" s="1952">
        <v>44012</v>
      </c>
    </row>
    <row r="17" spans="2:5" ht="13.5" customHeight="1" x14ac:dyDescent="0.2"/>
    <row r="18" spans="2:5" ht="13.5" customHeight="1" x14ac:dyDescent="0.2">
      <c r="B18" s="1948" t="s">
        <v>2098</v>
      </c>
      <c r="C18" s="1948"/>
      <c r="E18" s="1953" t="s">
        <v>2115</v>
      </c>
    </row>
    <row r="19" spans="2:5" ht="13.5" customHeight="1" x14ac:dyDescent="0.2"/>
    <row r="20" spans="2:5" ht="13.5" customHeight="1" x14ac:dyDescent="0.2">
      <c r="B20" s="1948" t="s">
        <v>2099</v>
      </c>
      <c r="C20" s="1948"/>
      <c r="E20" s="1953" t="s">
        <v>2113</v>
      </c>
    </row>
    <row r="21" spans="2:5" ht="13.5" customHeight="1" x14ac:dyDescent="0.2">
      <c r="E21" s="1953" t="s">
        <v>2114</v>
      </c>
    </row>
    <row r="22" spans="2:5" ht="13.5" customHeight="1" x14ac:dyDescent="0.2">
      <c r="E22" s="1953"/>
    </row>
    <row r="23" spans="2:5" ht="13.5" customHeight="1" x14ac:dyDescent="0.2"/>
    <row r="24" spans="2:5" ht="13.5" customHeight="1" x14ac:dyDescent="0.2"/>
    <row r="25" spans="2:5" ht="13.5" customHeight="1" x14ac:dyDescent="0.2">
      <c r="B25" s="1954"/>
      <c r="C25" s="1954"/>
      <c r="D25" s="1954"/>
    </row>
    <row r="26" spans="2:5" ht="13.5" customHeight="1" x14ac:dyDescent="0.2">
      <c r="B26" s="1954"/>
      <c r="C26" s="1954"/>
      <c r="D26" s="1954"/>
    </row>
    <row r="27" spans="2:5" ht="13.5" customHeight="1" x14ac:dyDescent="0.2">
      <c r="B27" s="1954"/>
      <c r="C27" s="1954"/>
      <c r="D27" s="19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5"/>
      <c r="C35" s="1955"/>
      <c r="D35" s="1955"/>
    </row>
    <row r="36" spans="2:5" ht="13.5" customHeight="1" x14ac:dyDescent="0.2"/>
    <row r="37" spans="2:5" ht="13.5" customHeight="1" x14ac:dyDescent="0.2">
      <c r="B37" s="1955"/>
      <c r="C37" s="1955"/>
      <c r="D37" s="1955"/>
    </row>
    <row r="38" spans="2:5" ht="13.5" customHeight="1" x14ac:dyDescent="0.2">
      <c r="B38" s="1955"/>
      <c r="C38" s="1955"/>
      <c r="D38" s="1955"/>
    </row>
    <row r="39" spans="2:5" ht="13.5" customHeight="1" x14ac:dyDescent="0.2">
      <c r="B39" s="1955"/>
      <c r="C39" s="1955"/>
      <c r="D39" s="1955"/>
    </row>
    <row r="40" spans="2:5" ht="13.5" customHeight="1" x14ac:dyDescent="0.2">
      <c r="B40" s="1955"/>
      <c r="C40" s="1955"/>
      <c r="D40" s="1955"/>
    </row>
    <row r="41" spans="2:5" ht="13.5" customHeight="1" x14ac:dyDescent="0.2">
      <c r="B41" s="1956"/>
      <c r="C41" s="1956"/>
      <c r="D41" s="1956"/>
      <c r="E41" s="1956"/>
    </row>
    <row r="42" spans="2:5" ht="12.2" customHeight="1" x14ac:dyDescent="0.2">
      <c r="B42" s="1957" t="s">
        <v>2100</v>
      </c>
      <c r="C42" s="1957"/>
      <c r="D42" s="1957"/>
    </row>
    <row r="43" spans="2:5" ht="12.2" customHeight="1" x14ac:dyDescent="0.2">
      <c r="B43" s="1958"/>
      <c r="C43" s="1958"/>
      <c r="D43" s="1958"/>
    </row>
    <row r="44" spans="2:5" ht="12.75" customHeight="1" x14ac:dyDescent="0.2">
      <c r="B44" s="1948"/>
      <c r="C44" s="1948"/>
      <c r="D44" s="1948"/>
    </row>
    <row r="45" spans="2:5" ht="12.75" customHeight="1" x14ac:dyDescent="0.2">
      <c r="B45" s="1948"/>
      <c r="C45" s="1948"/>
      <c r="D45" s="1948"/>
    </row>
    <row r="46" spans="2:5" x14ac:dyDescent="0.2">
      <c r="B46" s="1948"/>
      <c r="C46" s="1948"/>
      <c r="D46" s="1948"/>
    </row>
    <row r="47" spans="2:5" x14ac:dyDescent="0.2">
      <c r="B47" s="1948"/>
      <c r="C47" s="1948"/>
      <c r="D47" s="1948"/>
    </row>
    <row r="51" spans="2:4" x14ac:dyDescent="0.2">
      <c r="B51" s="1959"/>
      <c r="C51" s="1959"/>
      <c r="D51" s="19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0"/>
      <c r="C64" s="1960"/>
      <c r="D64" s="1960"/>
    </row>
    <row r="65" spans="2:4" x14ac:dyDescent="0.2">
      <c r="B65" s="1948"/>
      <c r="C65" s="1948"/>
      <c r="D65" s="1948"/>
    </row>
    <row r="66" spans="2:4" x14ac:dyDescent="0.2">
      <c r="B66" s="1948"/>
      <c r="C66" s="1948"/>
      <c r="D66" s="1948"/>
    </row>
    <row r="67" spans="2:4" x14ac:dyDescent="0.2">
      <c r="B67" s="1960"/>
      <c r="C67" s="1960"/>
      <c r="D67" s="1960"/>
    </row>
    <row r="68" spans="2:4" x14ac:dyDescent="0.2">
      <c r="B68" s="1960"/>
      <c r="C68" s="1960"/>
      <c r="D68" s="1960"/>
    </row>
    <row r="69" spans="2:4" x14ac:dyDescent="0.2">
      <c r="B69" s="1960"/>
      <c r="C69" s="1960"/>
      <c r="D69" s="1960"/>
    </row>
    <row r="70" spans="2:4" x14ac:dyDescent="0.2">
      <c r="B70" s="1948"/>
      <c r="C70" s="1948"/>
      <c r="D70" s="194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dimension ref="B1:L70"/>
  <sheetViews>
    <sheetView showGridLines="0" zoomScale="110" zoomScaleNormal="110" zoomScaleSheetLayoutView="100" workbookViewId="0"/>
  </sheetViews>
  <sheetFormatPr defaultColWidth="9.140625" defaultRowHeight="12.75" x14ac:dyDescent="0.2"/>
  <cols>
    <col min="1" max="1" width="1.5703125" style="1940" customWidth="1"/>
    <col min="2" max="2" width="11.28515625" style="1940" customWidth="1"/>
    <col min="3" max="3" width="6.42578125" style="1940" customWidth="1"/>
    <col min="4" max="4" width="5.42578125" style="1940" customWidth="1"/>
    <col min="5" max="5" width="74.7109375" style="1940" customWidth="1"/>
    <col min="6" max="6" width="1.5703125" style="1940" customWidth="1"/>
    <col min="7" max="8" width="2.42578125" style="1940" customWidth="1"/>
    <col min="9" max="9" width="9.28515625" style="1940" customWidth="1"/>
    <col min="10" max="10" width="14.42578125" style="1940" customWidth="1"/>
    <col min="11" max="11" width="7.28515625" style="1940" customWidth="1"/>
    <col min="12" max="12" width="3.140625" style="1940" customWidth="1"/>
    <col min="13" max="16384" width="9.140625" style="1940"/>
  </cols>
  <sheetData>
    <row r="1" spans="2:12" ht="13.5" customHeight="1" x14ac:dyDescent="0.2">
      <c r="B1" s="2508" t="str">
        <f>+'SF&amp;QC Sec-1'!B1:I1</f>
        <v>Farmington Central CUSD 265</v>
      </c>
      <c r="C1" s="2508"/>
      <c r="D1" s="2508"/>
      <c r="E1" s="2508"/>
      <c r="F1" s="1939"/>
      <c r="G1" s="1939"/>
      <c r="H1" s="1939"/>
      <c r="I1" s="1939"/>
      <c r="J1" s="1939"/>
      <c r="K1" s="1939"/>
      <c r="L1" s="1939"/>
    </row>
    <row r="2" spans="2:12" ht="13.5" customHeight="1" x14ac:dyDescent="0.2">
      <c r="B2" s="2509">
        <f>+'SF&amp;QC Sec-1'!B2:I2</f>
        <v>48072265026</v>
      </c>
      <c r="C2" s="2509"/>
      <c r="D2" s="2509"/>
      <c r="E2" s="2509"/>
      <c r="F2" s="1941"/>
      <c r="G2" s="1941"/>
      <c r="H2" s="1941"/>
      <c r="I2" s="1941"/>
      <c r="J2" s="1941"/>
      <c r="K2" s="1941"/>
      <c r="L2" s="1941"/>
    </row>
    <row r="3" spans="2:12" ht="13.5" customHeight="1" x14ac:dyDescent="0.2">
      <c r="B3" s="2510" t="s">
        <v>2092</v>
      </c>
      <c r="C3" s="2510"/>
      <c r="D3" s="2510"/>
      <c r="E3" s="2510"/>
      <c r="F3" s="1942"/>
      <c r="G3" s="1942"/>
      <c r="H3" s="1942"/>
      <c r="I3" s="1942"/>
      <c r="J3" s="1942"/>
      <c r="K3" s="1942"/>
      <c r="L3" s="1942"/>
    </row>
    <row r="4" spans="2:12" ht="13.5" customHeight="1" x14ac:dyDescent="0.2">
      <c r="B4" s="2511" t="s">
        <v>1989</v>
      </c>
      <c r="C4" s="2511"/>
      <c r="D4" s="2511"/>
      <c r="E4" s="2511"/>
      <c r="F4" s="1943"/>
      <c r="G4" s="1943"/>
      <c r="H4" s="1943"/>
      <c r="I4" s="1943"/>
      <c r="J4" s="1943"/>
      <c r="K4" s="1943"/>
      <c r="L4" s="1943"/>
    </row>
    <row r="5" spans="2:12" ht="29.85" customHeight="1" x14ac:dyDescent="0.2"/>
    <row r="6" spans="2:12" ht="13.5" customHeight="1" x14ac:dyDescent="0.2">
      <c r="B6" s="1944" t="s">
        <v>2093</v>
      </c>
      <c r="C6" s="1944"/>
      <c r="D6" s="1945"/>
      <c r="E6" s="1946"/>
      <c r="F6" s="1946"/>
      <c r="G6" s="1947"/>
      <c r="H6" s="1947"/>
      <c r="I6" s="1947"/>
    </row>
    <row r="7" spans="2:12" ht="13.5" customHeight="1" x14ac:dyDescent="0.2">
      <c r="B7" s="1940" t="s">
        <v>1169</v>
      </c>
    </row>
    <row r="8" spans="2:12" ht="13.5" customHeight="1" x14ac:dyDescent="0.2">
      <c r="B8" s="1948" t="s">
        <v>2094</v>
      </c>
      <c r="C8" s="1949" t="s">
        <v>1991</v>
      </c>
      <c r="D8" s="1950">
        <v>2</v>
      </c>
    </row>
    <row r="9" spans="2:12" ht="13.5" customHeight="1" x14ac:dyDescent="0.2">
      <c r="B9" s="1951"/>
      <c r="C9" s="1951"/>
      <c r="D9" s="1951"/>
    </row>
    <row r="10" spans="2:12" ht="13.5" customHeight="1" x14ac:dyDescent="0.2">
      <c r="B10" s="1948" t="s">
        <v>2095</v>
      </c>
      <c r="C10" s="1948"/>
    </row>
    <row r="11" spans="2:12" ht="66.75" customHeight="1" x14ac:dyDescent="0.2">
      <c r="B11" s="2507" t="s">
        <v>2110</v>
      </c>
      <c r="C11" s="2507"/>
      <c r="D11" s="2507"/>
      <c r="E11" s="2507"/>
    </row>
    <row r="12" spans="2:12" ht="13.5" customHeight="1" x14ac:dyDescent="0.2"/>
    <row r="13" spans="2:12" ht="13.5" customHeight="1" x14ac:dyDescent="0.2">
      <c r="B13" s="1948" t="s">
        <v>2096</v>
      </c>
      <c r="C13" s="1948"/>
    </row>
    <row r="14" spans="2:12" ht="76.5" customHeight="1" x14ac:dyDescent="0.2">
      <c r="B14" s="2507" t="s">
        <v>2130</v>
      </c>
      <c r="C14" s="2507"/>
      <c r="D14" s="2507"/>
      <c r="E14" s="2507"/>
    </row>
    <row r="15" spans="2:12" ht="13.5" customHeight="1" x14ac:dyDescent="0.2"/>
    <row r="16" spans="2:12" ht="13.5" customHeight="1" x14ac:dyDescent="0.2">
      <c r="B16" s="1948" t="s">
        <v>2097</v>
      </c>
      <c r="C16" s="1948"/>
      <c r="E16" s="1952">
        <v>44012</v>
      </c>
    </row>
    <row r="17" spans="2:5" ht="13.5" customHeight="1" x14ac:dyDescent="0.2"/>
    <row r="18" spans="2:5" ht="13.5" customHeight="1" x14ac:dyDescent="0.2">
      <c r="B18" s="1948" t="s">
        <v>2098</v>
      </c>
      <c r="C18" s="1948"/>
      <c r="E18" s="1953" t="str">
        <f>+'CAP 2019-001'!E18</f>
        <v>Zachary Chatterton, Superintendent</v>
      </c>
    </row>
    <row r="19" spans="2:5" ht="13.5" customHeight="1" x14ac:dyDescent="0.2"/>
    <row r="20" spans="2:5" ht="13.5" customHeight="1" x14ac:dyDescent="0.2">
      <c r="B20" s="1948" t="s">
        <v>2099</v>
      </c>
      <c r="C20" s="1948"/>
      <c r="E20" s="1953" t="s">
        <v>2117</v>
      </c>
    </row>
    <row r="21" spans="2:5" ht="13.5" customHeight="1" x14ac:dyDescent="0.2">
      <c r="E21" s="1953" t="s">
        <v>2116</v>
      </c>
    </row>
    <row r="22" spans="2:5" ht="13.5" customHeight="1" x14ac:dyDescent="0.2">
      <c r="E22" s="1953"/>
    </row>
    <row r="23" spans="2:5" ht="13.5" customHeight="1" x14ac:dyDescent="0.2"/>
    <row r="24" spans="2:5" ht="13.5" customHeight="1" x14ac:dyDescent="0.2"/>
    <row r="25" spans="2:5" ht="13.5" customHeight="1" x14ac:dyDescent="0.2">
      <c r="B25" s="1954"/>
      <c r="C25" s="1954"/>
      <c r="D25" s="1954"/>
    </row>
    <row r="26" spans="2:5" ht="13.5" customHeight="1" x14ac:dyDescent="0.2">
      <c r="B26" s="1954"/>
      <c r="C26" s="1954"/>
      <c r="D26" s="1954"/>
    </row>
    <row r="27" spans="2:5" ht="13.5" customHeight="1" x14ac:dyDescent="0.2">
      <c r="B27" s="1954"/>
      <c r="C27" s="1954"/>
      <c r="D27" s="19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5"/>
      <c r="C35" s="1955"/>
      <c r="D35" s="1955"/>
    </row>
    <row r="36" spans="2:5" ht="13.5" customHeight="1" x14ac:dyDescent="0.2"/>
    <row r="37" spans="2:5" ht="13.5" customHeight="1" x14ac:dyDescent="0.2">
      <c r="B37" s="1955"/>
      <c r="C37" s="1955"/>
      <c r="D37" s="1955"/>
    </row>
    <row r="38" spans="2:5" ht="13.5" customHeight="1" x14ac:dyDescent="0.2">
      <c r="B38" s="1955"/>
      <c r="C38" s="1955"/>
      <c r="D38" s="1955"/>
    </row>
    <row r="39" spans="2:5" ht="13.5" customHeight="1" x14ac:dyDescent="0.2">
      <c r="B39" s="1955"/>
      <c r="C39" s="1955"/>
      <c r="D39" s="1955"/>
    </row>
    <row r="40" spans="2:5" ht="13.5" customHeight="1" x14ac:dyDescent="0.2">
      <c r="B40" s="1955"/>
      <c r="C40" s="1955"/>
      <c r="D40" s="1955"/>
    </row>
    <row r="41" spans="2:5" ht="13.5" customHeight="1" x14ac:dyDescent="0.2">
      <c r="B41" s="1956"/>
      <c r="C41" s="1956"/>
      <c r="D41" s="1956"/>
      <c r="E41" s="1956"/>
    </row>
    <row r="42" spans="2:5" ht="12.2" customHeight="1" x14ac:dyDescent="0.2">
      <c r="B42" s="1957" t="s">
        <v>2100</v>
      </c>
      <c r="C42" s="1957"/>
      <c r="D42" s="1957"/>
    </row>
    <row r="43" spans="2:5" ht="12.2" customHeight="1" x14ac:dyDescent="0.2">
      <c r="B43" s="1958"/>
      <c r="C43" s="1958"/>
      <c r="D43" s="1958"/>
    </row>
    <row r="44" spans="2:5" ht="12.75" customHeight="1" x14ac:dyDescent="0.2">
      <c r="B44" s="1948"/>
      <c r="C44" s="1948"/>
      <c r="D44" s="1948"/>
    </row>
    <row r="45" spans="2:5" ht="12.75" customHeight="1" x14ac:dyDescent="0.2">
      <c r="B45" s="1948"/>
      <c r="C45" s="1948"/>
      <c r="D45" s="1948"/>
    </row>
    <row r="46" spans="2:5" x14ac:dyDescent="0.2">
      <c r="B46" s="1948"/>
      <c r="C46" s="1948"/>
      <c r="D46" s="1948"/>
    </row>
    <row r="47" spans="2:5" x14ac:dyDescent="0.2">
      <c r="B47" s="1948"/>
      <c r="C47" s="1948"/>
      <c r="D47" s="1948"/>
    </row>
    <row r="51" spans="2:4" x14ac:dyDescent="0.2">
      <c r="B51" s="1959"/>
      <c r="C51" s="1959"/>
      <c r="D51" s="19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0"/>
      <c r="C64" s="1960"/>
      <c r="D64" s="1960"/>
    </row>
    <row r="65" spans="2:4" x14ac:dyDescent="0.2">
      <c r="B65" s="1948"/>
      <c r="C65" s="1948"/>
      <c r="D65" s="1948"/>
    </row>
    <row r="66" spans="2:4" x14ac:dyDescent="0.2">
      <c r="B66" s="1948"/>
      <c r="C66" s="1948"/>
      <c r="D66" s="1948"/>
    </row>
    <row r="67" spans="2:4" x14ac:dyDescent="0.2">
      <c r="B67" s="1960"/>
      <c r="C67" s="1960"/>
      <c r="D67" s="1960"/>
    </row>
    <row r="68" spans="2:4" x14ac:dyDescent="0.2">
      <c r="B68" s="1960"/>
      <c r="C68" s="1960"/>
      <c r="D68" s="1960"/>
    </row>
    <row r="69" spans="2:4" x14ac:dyDescent="0.2">
      <c r="B69" s="1960"/>
      <c r="C69" s="1960"/>
      <c r="D69" s="1960"/>
    </row>
    <row r="70" spans="2:4" x14ac:dyDescent="0.2">
      <c r="B70" s="1948"/>
      <c r="C70" s="1948"/>
      <c r="D70" s="194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dimension ref="B1:L70"/>
  <sheetViews>
    <sheetView showGridLines="0" zoomScale="110" zoomScaleNormal="110" zoomScaleSheetLayoutView="100" workbookViewId="0"/>
  </sheetViews>
  <sheetFormatPr defaultColWidth="9.140625" defaultRowHeight="12.75" x14ac:dyDescent="0.2"/>
  <cols>
    <col min="1" max="1" width="1.5703125" style="1940" customWidth="1"/>
    <col min="2" max="2" width="11.28515625" style="1940" customWidth="1"/>
    <col min="3" max="3" width="6.42578125" style="1940" customWidth="1"/>
    <col min="4" max="4" width="5.42578125" style="1940" customWidth="1"/>
    <col min="5" max="5" width="74.7109375" style="1940" customWidth="1"/>
    <col min="6" max="6" width="1.5703125" style="1940" customWidth="1"/>
    <col min="7" max="8" width="2.42578125" style="1940" customWidth="1"/>
    <col min="9" max="9" width="9.28515625" style="1940" customWidth="1"/>
    <col min="10" max="10" width="14.42578125" style="1940" customWidth="1"/>
    <col min="11" max="11" width="7.28515625" style="1940" customWidth="1"/>
    <col min="12" max="12" width="3.140625" style="1940" customWidth="1"/>
    <col min="13" max="16384" width="9.140625" style="1940"/>
  </cols>
  <sheetData>
    <row r="1" spans="2:12" ht="13.5" customHeight="1" x14ac:dyDescent="0.2">
      <c r="B1" s="2508" t="str">
        <f>+'SF&amp;QC Sec-1'!B1:I1</f>
        <v>Farmington Central CUSD 265</v>
      </c>
      <c r="C1" s="2508"/>
      <c r="D1" s="2508"/>
      <c r="E1" s="2508"/>
      <c r="F1" s="1939"/>
      <c r="G1" s="1939"/>
      <c r="H1" s="1939"/>
      <c r="I1" s="1939"/>
      <c r="J1" s="1939"/>
      <c r="K1" s="1939"/>
      <c r="L1" s="1939"/>
    </row>
    <row r="2" spans="2:12" ht="13.5" customHeight="1" x14ac:dyDescent="0.2">
      <c r="B2" s="2509">
        <f>+'SF&amp;QC Sec-1'!B2:I2</f>
        <v>48072265026</v>
      </c>
      <c r="C2" s="2509"/>
      <c r="D2" s="2509"/>
      <c r="E2" s="2509"/>
      <c r="F2" s="1941"/>
      <c r="G2" s="1941"/>
      <c r="H2" s="1941"/>
      <c r="I2" s="1941"/>
      <c r="J2" s="1941"/>
      <c r="K2" s="1941"/>
      <c r="L2" s="1941"/>
    </row>
    <row r="3" spans="2:12" ht="13.5" customHeight="1" x14ac:dyDescent="0.2">
      <c r="B3" s="2510" t="s">
        <v>2092</v>
      </c>
      <c r="C3" s="2510"/>
      <c r="D3" s="2510"/>
      <c r="E3" s="2510"/>
      <c r="F3" s="1942"/>
      <c r="G3" s="1942"/>
      <c r="H3" s="1942"/>
      <c r="I3" s="1942"/>
      <c r="J3" s="1942"/>
      <c r="K3" s="1942"/>
      <c r="L3" s="1942"/>
    </row>
    <row r="4" spans="2:12" ht="13.5" customHeight="1" x14ac:dyDescent="0.2">
      <c r="B4" s="2511" t="s">
        <v>1989</v>
      </c>
      <c r="C4" s="2511"/>
      <c r="D4" s="2511"/>
      <c r="E4" s="2511"/>
      <c r="F4" s="1943"/>
      <c r="G4" s="1943"/>
      <c r="H4" s="1943"/>
      <c r="I4" s="1943"/>
      <c r="J4" s="1943"/>
      <c r="K4" s="1943"/>
      <c r="L4" s="1943"/>
    </row>
    <row r="5" spans="2:12" ht="29.85" customHeight="1" x14ac:dyDescent="0.2"/>
    <row r="6" spans="2:12" ht="13.5" customHeight="1" x14ac:dyDescent="0.2">
      <c r="B6" s="1944" t="s">
        <v>2093</v>
      </c>
      <c r="C6" s="1944"/>
      <c r="D6" s="1945"/>
      <c r="E6" s="1946"/>
      <c r="F6" s="1946"/>
      <c r="G6" s="1947"/>
      <c r="H6" s="1947"/>
      <c r="I6" s="1947"/>
    </row>
    <row r="7" spans="2:12" ht="13.5" customHeight="1" x14ac:dyDescent="0.2">
      <c r="B7" s="1940" t="s">
        <v>1169</v>
      </c>
    </row>
    <row r="8" spans="2:12" ht="13.5" customHeight="1" x14ac:dyDescent="0.2">
      <c r="B8" s="1948" t="s">
        <v>2094</v>
      </c>
      <c r="C8" s="1949" t="s">
        <v>1991</v>
      </c>
      <c r="D8" s="1950">
        <v>3</v>
      </c>
    </row>
    <row r="9" spans="2:12" ht="13.5" customHeight="1" x14ac:dyDescent="0.2">
      <c r="B9" s="1951"/>
      <c r="C9" s="1951"/>
      <c r="D9" s="1951"/>
    </row>
    <row r="10" spans="2:12" ht="13.5" customHeight="1" x14ac:dyDescent="0.2">
      <c r="B10" s="1948" t="s">
        <v>2095</v>
      </c>
      <c r="C10" s="1948"/>
    </row>
    <row r="11" spans="2:12" ht="66.75" customHeight="1" x14ac:dyDescent="0.2">
      <c r="B11" s="2507" t="s">
        <v>2124</v>
      </c>
      <c r="C11" s="2507"/>
      <c r="D11" s="2507"/>
      <c r="E11" s="2507"/>
    </row>
    <row r="12" spans="2:12" ht="13.5" customHeight="1" x14ac:dyDescent="0.2"/>
    <row r="13" spans="2:12" ht="13.5" customHeight="1" x14ac:dyDescent="0.2">
      <c r="B13" s="1948" t="s">
        <v>2096</v>
      </c>
      <c r="C13" s="1948"/>
    </row>
    <row r="14" spans="2:12" ht="76.5" customHeight="1" x14ac:dyDescent="0.2">
      <c r="B14" s="2507" t="s">
        <v>2131</v>
      </c>
      <c r="C14" s="2507"/>
      <c r="D14" s="2507"/>
      <c r="E14" s="2507"/>
    </row>
    <row r="15" spans="2:12" ht="13.5" customHeight="1" x14ac:dyDescent="0.2"/>
    <row r="16" spans="2:12" ht="13.5" customHeight="1" x14ac:dyDescent="0.2">
      <c r="B16" s="1948" t="s">
        <v>2097</v>
      </c>
      <c r="C16" s="1948"/>
      <c r="E16" s="1952">
        <v>44012</v>
      </c>
    </row>
    <row r="17" spans="2:5" ht="13.5" customHeight="1" x14ac:dyDescent="0.2"/>
    <row r="18" spans="2:5" ht="13.5" customHeight="1" x14ac:dyDescent="0.2">
      <c r="B18" s="1948" t="s">
        <v>2098</v>
      </c>
      <c r="C18" s="1948"/>
      <c r="E18" s="1953" t="str">
        <f>+'CAP 2019-001'!E18</f>
        <v>Zachary Chatterton, Superintendent</v>
      </c>
    </row>
    <row r="19" spans="2:5" ht="13.5" customHeight="1" x14ac:dyDescent="0.2"/>
    <row r="20" spans="2:5" ht="13.5" customHeight="1" x14ac:dyDescent="0.2">
      <c r="B20" s="1948" t="s">
        <v>2099</v>
      </c>
      <c r="C20" s="1948"/>
      <c r="E20" s="1953" t="s">
        <v>2132</v>
      </c>
    </row>
    <row r="21" spans="2:5" ht="13.5" customHeight="1" x14ac:dyDescent="0.2">
      <c r="E21" s="1953" t="s">
        <v>2133</v>
      </c>
    </row>
    <row r="22" spans="2:5" ht="13.5" customHeight="1" x14ac:dyDescent="0.2">
      <c r="E22" s="1953"/>
    </row>
    <row r="23" spans="2:5" ht="13.5" customHeight="1" x14ac:dyDescent="0.2"/>
    <row r="24" spans="2:5" ht="13.5" customHeight="1" x14ac:dyDescent="0.2"/>
    <row r="25" spans="2:5" ht="13.5" customHeight="1" x14ac:dyDescent="0.2">
      <c r="B25" s="1954"/>
      <c r="C25" s="1954"/>
      <c r="D25" s="1954"/>
    </row>
    <row r="26" spans="2:5" ht="13.5" customHeight="1" x14ac:dyDescent="0.2">
      <c r="B26" s="1954"/>
      <c r="C26" s="1954"/>
      <c r="D26" s="1954"/>
    </row>
    <row r="27" spans="2:5" ht="13.5" customHeight="1" x14ac:dyDescent="0.2">
      <c r="B27" s="1954"/>
      <c r="C27" s="1954"/>
      <c r="D27" s="19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5"/>
      <c r="C35" s="1955"/>
      <c r="D35" s="1955"/>
    </row>
    <row r="36" spans="2:5" ht="13.5" customHeight="1" x14ac:dyDescent="0.2"/>
    <row r="37" spans="2:5" ht="13.5" customHeight="1" x14ac:dyDescent="0.2">
      <c r="B37" s="1955"/>
      <c r="C37" s="1955"/>
      <c r="D37" s="1955"/>
    </row>
    <row r="38" spans="2:5" ht="13.5" customHeight="1" x14ac:dyDescent="0.2">
      <c r="B38" s="1955"/>
      <c r="C38" s="1955"/>
      <c r="D38" s="1955"/>
    </row>
    <row r="39" spans="2:5" ht="13.5" customHeight="1" x14ac:dyDescent="0.2">
      <c r="B39" s="1955"/>
      <c r="C39" s="1955"/>
      <c r="D39" s="1955"/>
    </row>
    <row r="40" spans="2:5" ht="13.5" customHeight="1" x14ac:dyDescent="0.2">
      <c r="B40" s="1955"/>
      <c r="C40" s="1955"/>
      <c r="D40" s="1955"/>
    </row>
    <row r="41" spans="2:5" ht="13.5" customHeight="1" x14ac:dyDescent="0.2">
      <c r="B41" s="1956"/>
      <c r="C41" s="1956"/>
      <c r="D41" s="1956"/>
      <c r="E41" s="1956"/>
    </row>
    <row r="42" spans="2:5" ht="12.2" customHeight="1" x14ac:dyDescent="0.2">
      <c r="B42" s="1957" t="s">
        <v>2100</v>
      </c>
      <c r="C42" s="1957"/>
      <c r="D42" s="1957"/>
    </row>
    <row r="43" spans="2:5" ht="12.2" customHeight="1" x14ac:dyDescent="0.2">
      <c r="B43" s="1958"/>
      <c r="C43" s="1958"/>
      <c r="D43" s="1958"/>
    </row>
    <row r="44" spans="2:5" ht="12.75" customHeight="1" x14ac:dyDescent="0.2">
      <c r="B44" s="1948"/>
      <c r="C44" s="1948"/>
      <c r="D44" s="1948"/>
    </row>
    <row r="45" spans="2:5" ht="12.75" customHeight="1" x14ac:dyDescent="0.2">
      <c r="B45" s="1948"/>
      <c r="C45" s="1948"/>
      <c r="D45" s="1948"/>
    </row>
    <row r="46" spans="2:5" x14ac:dyDescent="0.2">
      <c r="B46" s="1948"/>
      <c r="C46" s="1948"/>
      <c r="D46" s="1948"/>
    </row>
    <row r="47" spans="2:5" x14ac:dyDescent="0.2">
      <c r="B47" s="1948"/>
      <c r="C47" s="1948"/>
      <c r="D47" s="1948"/>
    </row>
    <row r="51" spans="2:4" x14ac:dyDescent="0.2">
      <c r="B51" s="1959"/>
      <c r="C51" s="1959"/>
      <c r="D51" s="19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60"/>
      <c r="C64" s="1960"/>
      <c r="D64" s="1960"/>
    </row>
    <row r="65" spans="2:4" x14ac:dyDescent="0.2">
      <c r="B65" s="1948"/>
      <c r="C65" s="1948"/>
      <c r="D65" s="1948"/>
    </row>
    <row r="66" spans="2:4" x14ac:dyDescent="0.2">
      <c r="B66" s="1948"/>
      <c r="C66" s="1948"/>
      <c r="D66" s="1948"/>
    </row>
    <row r="67" spans="2:4" x14ac:dyDescent="0.2">
      <c r="B67" s="1960"/>
      <c r="C67" s="1960"/>
      <c r="D67" s="1960"/>
    </row>
    <row r="68" spans="2:4" x14ac:dyDescent="0.2">
      <c r="B68" s="1960"/>
      <c r="C68" s="1960"/>
      <c r="D68" s="1960"/>
    </row>
    <row r="69" spans="2:4" x14ac:dyDescent="0.2">
      <c r="B69" s="1960"/>
      <c r="C69" s="1960"/>
      <c r="D69" s="1960"/>
    </row>
    <row r="70" spans="2:4" x14ac:dyDescent="0.2">
      <c r="B70" s="1948"/>
      <c r="C70" s="1948"/>
      <c r="D70" s="194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159878718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2.6349999999999998E-2</v>
      </c>
      <c r="E10" s="356" t="s">
        <v>1005</v>
      </c>
      <c r="F10" s="355">
        <v>5.0000000000000001E-3</v>
      </c>
      <c r="G10" s="356" t="s">
        <v>1005</v>
      </c>
      <c r="H10" s="355">
        <v>2E-3</v>
      </c>
      <c r="I10" s="356" t="s">
        <v>1006</v>
      </c>
      <c r="J10" s="1729">
        <f>ROUND(D10+F10+H10,5)</f>
        <v>3.3349999999999998E-2</v>
      </c>
      <c r="K10" s="222"/>
      <c r="L10" s="355">
        <v>5.0000000000000001E-4</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11763255</v>
      </c>
      <c r="E16" s="356"/>
      <c r="F16" s="1730">
        <f>SUM('Acct Summary 7-8'!C17,'Acct Summary 7-8'!D17,'Acct Summary 7-8'!F17)</f>
        <v>12915250</v>
      </c>
      <c r="G16" s="356"/>
      <c r="H16" s="1730">
        <f>SUM(D16-F16)</f>
        <v>-1151995</v>
      </c>
      <c r="I16" s="222"/>
      <c r="J16" s="1730">
        <f>SUM('Acct Summary 7-8'!C81,'Acct Summary 7-8'!D81,'Acct Summary 7-8'!F81,'Acct Summary 7-8'!I81)</f>
        <v>10355433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22063263.084000003</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6421716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Farmington Central CUSD 265</v>
      </c>
      <c r="E7" s="391"/>
      <c r="G7" s="252"/>
      <c r="H7" s="387"/>
      <c r="I7" s="387"/>
      <c r="J7" s="387"/>
      <c r="K7" s="387"/>
      <c r="L7" s="329"/>
      <c r="M7" s="329"/>
      <c r="N7" s="329"/>
      <c r="O7" s="329"/>
      <c r="P7" s="329"/>
    </row>
    <row r="8" spans="1:18" ht="12.75" x14ac:dyDescent="0.2">
      <c r="A8" s="329"/>
      <c r="B8" s="329"/>
      <c r="C8" s="389" t="s">
        <v>1125</v>
      </c>
      <c r="D8" s="392">
        <f>COVER!A13</f>
        <v>48072265026</v>
      </c>
      <c r="E8" s="393"/>
      <c r="G8" s="329"/>
      <c r="H8" s="329"/>
      <c r="I8" s="329"/>
      <c r="J8" s="329"/>
      <c r="K8" s="329"/>
      <c r="L8" s="329"/>
      <c r="M8" s="329"/>
      <c r="N8" s="329"/>
      <c r="O8" s="329"/>
      <c r="P8" s="329"/>
    </row>
    <row r="9" spans="1:18" ht="12.75" x14ac:dyDescent="0.2">
      <c r="A9" s="329"/>
      <c r="B9" s="329"/>
      <c r="C9" s="389" t="s">
        <v>713</v>
      </c>
      <c r="D9" s="394" t="str">
        <f>COVER!A15</f>
        <v>Fulton,Knox, 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10355433</v>
      </c>
      <c r="I12" s="404"/>
      <c r="J12" s="404"/>
      <c r="K12" s="405">
        <f>TRUNC((H12/H13*100000),5)/100000</f>
        <v>0.8803203705</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11763255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12915250</v>
      </c>
      <c r="I17" s="404"/>
      <c r="J17" s="416"/>
      <c r="K17" s="405">
        <f>TRUNC((H17/H18*100000),5)/100000</f>
        <v>1.0979316524</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11763255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7.9680097999999999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10456738</v>
      </c>
      <c r="I24" s="422"/>
      <c r="J24" s="422"/>
      <c r="K24" s="423">
        <f>TRUNC(((H24/H25*100000)/100000),2)</f>
        <v>291.47000000000003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35875.694439999999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4532161.9585100003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6421716</v>
      </c>
      <c r="I32" s="420"/>
      <c r="J32" s="420"/>
      <c r="K32" s="423">
        <f>TRUNC(100-((((H32/H33*100))*100)/100),2)</f>
        <v>70.89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22063263.084000003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6"/>
      <c r="D3" s="1557"/>
      <c r="E3" s="1557"/>
      <c r="F3" s="1557"/>
      <c r="G3" s="1557"/>
      <c r="H3" s="1557"/>
      <c r="I3" s="1557"/>
      <c r="J3" s="1557"/>
      <c r="K3" s="1557"/>
      <c r="L3" s="1557"/>
      <c r="M3" s="1558"/>
      <c r="N3" s="1559"/>
    </row>
    <row r="4" spans="1:14" ht="13.5" customHeight="1" x14ac:dyDescent="0.2">
      <c r="A4" s="463" t="s">
        <v>1651</v>
      </c>
      <c r="B4" s="464"/>
      <c r="C4" s="465">
        <v>2995165</v>
      </c>
      <c r="D4" s="465">
        <v>1759281</v>
      </c>
      <c r="E4" s="465">
        <v>795809</v>
      </c>
      <c r="F4" s="465">
        <v>2176515</v>
      </c>
      <c r="G4" s="465">
        <v>494741</v>
      </c>
      <c r="H4" s="465">
        <v>3848641</v>
      </c>
      <c r="I4" s="465">
        <v>1231412</v>
      </c>
      <c r="J4" s="465">
        <v>357744</v>
      </c>
      <c r="K4" s="465">
        <v>0</v>
      </c>
      <c r="L4" s="465">
        <v>310731</v>
      </c>
      <c r="M4" s="468"/>
      <c r="N4" s="469"/>
    </row>
    <row r="5" spans="1:14" x14ac:dyDescent="0.2">
      <c r="A5" s="463" t="s">
        <v>992</v>
      </c>
      <c r="B5" s="470">
        <v>120</v>
      </c>
      <c r="C5" s="465">
        <v>1389313</v>
      </c>
      <c r="D5" s="465">
        <v>516780</v>
      </c>
      <c r="E5" s="465">
        <v>0</v>
      </c>
      <c r="F5" s="465">
        <v>0</v>
      </c>
      <c r="G5" s="465">
        <v>0</v>
      </c>
      <c r="H5" s="465">
        <v>971773</v>
      </c>
      <c r="I5" s="465">
        <v>388272</v>
      </c>
      <c r="J5" s="465">
        <v>0</v>
      </c>
      <c r="K5" s="465">
        <v>0</v>
      </c>
      <c r="L5" s="465">
        <v>1368507</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63308</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4384478</v>
      </c>
      <c r="D13" s="1734">
        <f t="shared" ref="D13:L13" si="0">SUM(D4:D12)</f>
        <v>2276061</v>
      </c>
      <c r="E13" s="1734">
        <f t="shared" si="0"/>
        <v>859117</v>
      </c>
      <c r="F13" s="1734">
        <f t="shared" si="0"/>
        <v>2176515</v>
      </c>
      <c r="G13" s="1734">
        <f t="shared" si="0"/>
        <v>494741</v>
      </c>
      <c r="H13" s="1734">
        <f t="shared" si="0"/>
        <v>4820414</v>
      </c>
      <c r="I13" s="1734">
        <f t="shared" si="0"/>
        <v>1619684</v>
      </c>
      <c r="J13" s="1734">
        <f t="shared" si="0"/>
        <v>357744</v>
      </c>
      <c r="K13" s="1734">
        <f t="shared" si="0"/>
        <v>0</v>
      </c>
      <c r="L13" s="1734">
        <f t="shared" si="0"/>
        <v>1679238</v>
      </c>
      <c r="M13" s="468"/>
      <c r="N13" s="469"/>
    </row>
    <row r="14" spans="1:14" ht="18" customHeight="1" thickTop="1" x14ac:dyDescent="0.2">
      <c r="A14" s="2130" t="s">
        <v>147</v>
      </c>
      <c r="B14" s="2131"/>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537074</v>
      </c>
      <c r="N16" s="482"/>
    </row>
    <row r="17" spans="1:14" s="483" customFormat="1" ht="12.75" customHeight="1" x14ac:dyDescent="0.2">
      <c r="A17" s="480" t="s">
        <v>1403</v>
      </c>
      <c r="B17" s="481">
        <v>230</v>
      </c>
      <c r="C17" s="475"/>
      <c r="D17" s="475"/>
      <c r="E17" s="475"/>
      <c r="F17" s="475"/>
      <c r="G17" s="475"/>
      <c r="H17" s="475"/>
      <c r="I17" s="475"/>
      <c r="J17" s="475"/>
      <c r="K17" s="475"/>
      <c r="L17" s="475"/>
      <c r="M17" s="465">
        <v>29239864</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1702068</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859117</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5562599</v>
      </c>
    </row>
    <row r="23" spans="1:14" ht="13.5" customHeight="1" thickBot="1" x14ac:dyDescent="0.25">
      <c r="A23" s="1733" t="s">
        <v>643</v>
      </c>
      <c r="B23" s="1738"/>
      <c r="C23" s="468"/>
      <c r="D23" s="468"/>
      <c r="E23" s="468"/>
      <c r="F23" s="468"/>
      <c r="G23" s="468"/>
      <c r="H23" s="468"/>
      <c r="I23" s="468"/>
      <c r="J23" s="468"/>
      <c r="K23" s="468"/>
      <c r="L23" s="468"/>
      <c r="M23" s="1685">
        <f>SUM(M15:M22)</f>
        <v>31479006</v>
      </c>
      <c r="N23" s="1685">
        <f>SUM(N21:N22)</f>
        <v>6421716</v>
      </c>
    </row>
    <row r="24" spans="1:14" ht="18" customHeight="1" thickTop="1" x14ac:dyDescent="0.2">
      <c r="A24" s="2132" t="s">
        <v>598</v>
      </c>
      <c r="B24" s="2133"/>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101305</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130594</v>
      </c>
      <c r="M33" s="468"/>
      <c r="N33" s="469"/>
    </row>
    <row r="34" spans="1:14" ht="13.5" customHeight="1" thickBot="1" x14ac:dyDescent="0.25">
      <c r="A34" s="1735" t="s">
        <v>654</v>
      </c>
      <c r="B34" s="1736"/>
      <c r="C34" s="1737">
        <f>SUM(C25:C33)</f>
        <v>101305</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130594</v>
      </c>
      <c r="M34" s="468"/>
      <c r="N34" s="478"/>
    </row>
    <row r="35" spans="1:14" ht="18" customHeight="1" thickTop="1" x14ac:dyDescent="0.2">
      <c r="A35" s="2134" t="s">
        <v>529</v>
      </c>
      <c r="B35" s="2135"/>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6421716</v>
      </c>
    </row>
    <row r="37" spans="1:14" ht="13.5" thickBot="1" x14ac:dyDescent="0.25">
      <c r="A37" s="1733" t="s">
        <v>653</v>
      </c>
      <c r="B37" s="1738"/>
      <c r="C37" s="475"/>
      <c r="D37" s="475"/>
      <c r="E37" s="475"/>
      <c r="F37" s="475"/>
      <c r="G37" s="475"/>
      <c r="H37" s="475"/>
      <c r="I37" s="475"/>
      <c r="J37" s="475"/>
      <c r="K37" s="475"/>
      <c r="L37" s="478"/>
      <c r="M37" s="468"/>
      <c r="N37" s="1685">
        <f>SUM(N36:N36)</f>
        <v>6421716</v>
      </c>
    </row>
    <row r="38" spans="1:14" s="329" customFormat="1" ht="13.5" customHeight="1" thickTop="1" x14ac:dyDescent="0.2">
      <c r="A38" s="493" t="s">
        <v>420</v>
      </c>
      <c r="B38" s="481">
        <v>714</v>
      </c>
      <c r="C38" s="465">
        <v>20380</v>
      </c>
      <c r="D38" s="465">
        <v>0</v>
      </c>
      <c r="E38" s="465">
        <v>0</v>
      </c>
      <c r="F38" s="465">
        <v>0</v>
      </c>
      <c r="G38" s="465">
        <v>119606</v>
      </c>
      <c r="H38" s="465">
        <v>154785</v>
      </c>
      <c r="I38" s="465">
        <v>0</v>
      </c>
      <c r="J38" s="465">
        <v>0</v>
      </c>
      <c r="K38" s="465">
        <v>0</v>
      </c>
      <c r="L38" s="465">
        <v>1548644</v>
      </c>
      <c r="M38" s="494"/>
      <c r="N38" s="494"/>
    </row>
    <row r="39" spans="1:14" s="329" customFormat="1" ht="13.5" customHeight="1" x14ac:dyDescent="0.2">
      <c r="A39" s="493" t="s">
        <v>342</v>
      </c>
      <c r="B39" s="481">
        <v>730</v>
      </c>
      <c r="C39" s="465">
        <v>4262793</v>
      </c>
      <c r="D39" s="465">
        <v>2276061</v>
      </c>
      <c r="E39" s="465">
        <v>859117</v>
      </c>
      <c r="F39" s="465">
        <v>2176515</v>
      </c>
      <c r="G39" s="465">
        <v>375135</v>
      </c>
      <c r="H39" s="465">
        <v>4665629</v>
      </c>
      <c r="I39" s="465">
        <v>1619684</v>
      </c>
      <c r="J39" s="465">
        <v>357744</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31479006</v>
      </c>
      <c r="N40" s="494"/>
    </row>
    <row r="41" spans="1:14" ht="13.5" customHeight="1" thickBot="1" x14ac:dyDescent="0.25">
      <c r="A41" s="1733" t="s">
        <v>655</v>
      </c>
      <c r="B41" s="1703"/>
      <c r="C41" s="1685">
        <f>(SUM(C34,C37,C38,C39))</f>
        <v>4384478</v>
      </c>
      <c r="D41" s="1685">
        <f t="shared" ref="D41:L41" si="2">SUM(D34,D37,D38:D39)</f>
        <v>2276061</v>
      </c>
      <c r="E41" s="1685">
        <f t="shared" si="2"/>
        <v>859117</v>
      </c>
      <c r="F41" s="1685">
        <f t="shared" si="2"/>
        <v>2176515</v>
      </c>
      <c r="G41" s="1685">
        <f t="shared" si="2"/>
        <v>494741</v>
      </c>
      <c r="H41" s="1685">
        <f t="shared" si="2"/>
        <v>4820414</v>
      </c>
      <c r="I41" s="1685">
        <f t="shared" si="2"/>
        <v>1619684</v>
      </c>
      <c r="J41" s="1685">
        <f t="shared" si="2"/>
        <v>357744</v>
      </c>
      <c r="K41" s="1685">
        <f t="shared" si="2"/>
        <v>0</v>
      </c>
      <c r="L41" s="1685">
        <f t="shared" si="2"/>
        <v>1679238</v>
      </c>
      <c r="M41" s="1685">
        <f>SUM(M40)</f>
        <v>31479006</v>
      </c>
      <c r="N41" s="1685">
        <f>SUM(N37)</f>
        <v>6421716</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14" sqref="F1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6" t="s">
        <v>1175</v>
      </c>
      <c r="B3" s="2157"/>
      <c r="C3" s="1570"/>
      <c r="D3" s="1571"/>
      <c r="E3" s="1571"/>
      <c r="F3" s="1571"/>
      <c r="G3" s="1571"/>
      <c r="H3" s="1571"/>
      <c r="I3" s="1571"/>
      <c r="J3" s="1571"/>
      <c r="K3" s="1572"/>
      <c r="L3" s="503"/>
    </row>
    <row r="4" spans="1:13" ht="15.75" customHeight="1" x14ac:dyDescent="0.2">
      <c r="A4" s="1925" t="s">
        <v>1499</v>
      </c>
      <c r="B4" s="1926">
        <v>1000</v>
      </c>
      <c r="C4" s="1739">
        <f>'Revenues 9-14'!C109</f>
        <v>4482778</v>
      </c>
      <c r="D4" s="1739">
        <f>'Revenues 9-14'!D109</f>
        <v>725978</v>
      </c>
      <c r="E4" s="1739">
        <f>'Revenues 9-14'!E109</f>
        <v>1370855</v>
      </c>
      <c r="F4" s="1739">
        <f>'Revenues 9-14'!F109</f>
        <v>512714</v>
      </c>
      <c r="G4" s="1739">
        <f>'Revenues 9-14'!G109</f>
        <v>400073</v>
      </c>
      <c r="H4" s="1739">
        <f>'Revenues 9-14'!H109</f>
        <v>583845</v>
      </c>
      <c r="I4" s="1739">
        <f>'Revenues 9-14'!I109</f>
        <v>93784</v>
      </c>
      <c r="J4" s="1739">
        <f>'Revenues 9-14'!J109</f>
        <v>469356</v>
      </c>
      <c r="K4" s="1739">
        <f>'Revenues 9-14'!K109</f>
        <v>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4418315</v>
      </c>
      <c r="D6" s="1740">
        <f>'Revenues 9-14'!D170</f>
        <v>0</v>
      </c>
      <c r="E6" s="1740">
        <f>'Revenues 9-14'!E170</f>
        <v>0</v>
      </c>
      <c r="F6" s="1740">
        <f>'Revenues 9-14'!F170</f>
        <v>907039</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622647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9523740</v>
      </c>
      <c r="D8" s="1685">
        <f t="shared" ref="D8:K8" si="0">SUM(D4:D7)</f>
        <v>725978</v>
      </c>
      <c r="E8" s="1685">
        <f t="shared" si="0"/>
        <v>1370855</v>
      </c>
      <c r="F8" s="1685">
        <f t="shared" si="0"/>
        <v>1419753</v>
      </c>
      <c r="G8" s="1685">
        <f t="shared" si="0"/>
        <v>400073</v>
      </c>
      <c r="H8" s="1685">
        <f t="shared" si="0"/>
        <v>583845</v>
      </c>
      <c r="I8" s="1685">
        <f t="shared" si="0"/>
        <v>93784</v>
      </c>
      <c r="J8" s="1685">
        <f t="shared" si="0"/>
        <v>469356</v>
      </c>
      <c r="K8" s="1685">
        <f t="shared" si="0"/>
        <v>0</v>
      </c>
      <c r="L8" s="347"/>
    </row>
    <row r="9" spans="1:13" ht="15.75" thickTop="1" x14ac:dyDescent="0.2">
      <c r="A9" s="511" t="s">
        <v>1653</v>
      </c>
      <c r="B9" s="512">
        <v>3998</v>
      </c>
      <c r="C9" s="465">
        <v>3625267</v>
      </c>
      <c r="D9" s="513"/>
      <c r="E9" s="479"/>
      <c r="F9" s="479"/>
      <c r="G9" s="514"/>
      <c r="H9" s="479"/>
      <c r="I9" s="506" t="s">
        <v>1169</v>
      </c>
      <c r="J9" s="476"/>
      <c r="K9" s="479"/>
      <c r="L9" s="347"/>
    </row>
    <row r="10" spans="1:13" s="516" customFormat="1" ht="13.5" thickBot="1" x14ac:dyDescent="0.25">
      <c r="A10" s="1733" t="s">
        <v>1173</v>
      </c>
      <c r="B10" s="1706"/>
      <c r="C10" s="1685">
        <f>SUM(C8:C9)</f>
        <v>13149007</v>
      </c>
      <c r="D10" s="1685">
        <f t="shared" ref="D10:K10" si="1">SUM(D8:D9)</f>
        <v>725978</v>
      </c>
      <c r="E10" s="1685">
        <f t="shared" si="1"/>
        <v>1370855</v>
      </c>
      <c r="F10" s="1685">
        <f t="shared" si="1"/>
        <v>1419753</v>
      </c>
      <c r="G10" s="1685">
        <f t="shared" si="1"/>
        <v>400073</v>
      </c>
      <c r="H10" s="1685">
        <f t="shared" si="1"/>
        <v>583845</v>
      </c>
      <c r="I10" s="1685">
        <f t="shared" si="1"/>
        <v>93784</v>
      </c>
      <c r="J10" s="1685">
        <f t="shared" si="1"/>
        <v>469356</v>
      </c>
      <c r="K10" s="1685">
        <f t="shared" si="1"/>
        <v>0</v>
      </c>
      <c r="L10" s="515"/>
    </row>
    <row r="11" spans="1:13" s="516" customFormat="1" ht="16.7" customHeight="1" thickTop="1" x14ac:dyDescent="0.2">
      <c r="A11" s="2130" t="s">
        <v>1176</v>
      </c>
      <c r="B11" s="2131"/>
      <c r="C11" s="1567"/>
      <c r="D11" s="1568"/>
      <c r="E11" s="1568"/>
      <c r="F11" s="1568"/>
      <c r="G11" s="1568"/>
      <c r="H11" s="1568"/>
      <c r="I11" s="1568"/>
      <c r="J11" s="1568"/>
      <c r="K11" s="1569"/>
      <c r="L11" s="515"/>
    </row>
    <row r="12" spans="1:13" ht="15.75" customHeight="1" x14ac:dyDescent="0.2">
      <c r="A12" s="1573" t="s">
        <v>456</v>
      </c>
      <c r="B12" s="1575">
        <v>1000</v>
      </c>
      <c r="C12" s="1739">
        <f>'Expenditures 15-22'!K33</f>
        <v>6558059</v>
      </c>
      <c r="D12" s="517" t="s">
        <v>1169</v>
      </c>
      <c r="E12" s="468" t="s">
        <v>1169</v>
      </c>
      <c r="F12" s="468" t="s">
        <v>1169</v>
      </c>
      <c r="G12" s="1739">
        <f>'Expenditures 15-22'!K229</f>
        <v>131123</v>
      </c>
      <c r="H12" s="518"/>
      <c r="I12" s="468" t="s">
        <v>1169</v>
      </c>
      <c r="J12" s="468" t="s">
        <v>1169</v>
      </c>
      <c r="K12" s="518" t="s">
        <v>1169</v>
      </c>
      <c r="L12" s="347"/>
    </row>
    <row r="13" spans="1:13" ht="15.75" customHeight="1" x14ac:dyDescent="0.2">
      <c r="A13" s="1573" t="s">
        <v>457</v>
      </c>
      <c r="B13" s="1575">
        <v>2000</v>
      </c>
      <c r="C13" s="1740">
        <f>'Expenditures 15-22'!K74</f>
        <v>3248064</v>
      </c>
      <c r="D13" s="1740">
        <f>'Expenditures 15-22'!K129</f>
        <v>642842</v>
      </c>
      <c r="E13" s="469" t="s">
        <v>1169</v>
      </c>
      <c r="F13" s="1740">
        <f>'Expenditures 15-22'!K184</f>
        <v>1466171</v>
      </c>
      <c r="G13" s="1740">
        <f>'Expenditures 15-22'!K279</f>
        <v>278976</v>
      </c>
      <c r="H13" s="1740">
        <f>'Expenditures 15-22'!K303</f>
        <v>709196</v>
      </c>
      <c r="I13" s="468" t="s">
        <v>1169</v>
      </c>
      <c r="J13" s="1740">
        <f>'Expenditures 15-22'!K330</f>
        <v>498236</v>
      </c>
      <c r="K13" s="1744">
        <f>'Expenditures 15-22'!K352</f>
        <v>1951</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1000114</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1593206</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10806237</v>
      </c>
      <c r="D17" s="1685">
        <f t="shared" si="2"/>
        <v>642842</v>
      </c>
      <c r="E17" s="1685">
        <f t="shared" si="2"/>
        <v>1593206</v>
      </c>
      <c r="F17" s="1685">
        <f t="shared" si="2"/>
        <v>1466171</v>
      </c>
      <c r="G17" s="1685">
        <f t="shared" si="2"/>
        <v>410099</v>
      </c>
      <c r="H17" s="1685">
        <f t="shared" si="2"/>
        <v>709196</v>
      </c>
      <c r="I17" s="468"/>
      <c r="J17" s="1685">
        <f>SUM(J12:J16)</f>
        <v>498236</v>
      </c>
      <c r="K17" s="1685">
        <f>SUM(K12:K16)</f>
        <v>1951</v>
      </c>
      <c r="L17" s="347"/>
    </row>
    <row r="18" spans="1:12" ht="15" customHeight="1" thickTop="1" x14ac:dyDescent="0.2">
      <c r="A18" s="1741" t="s">
        <v>1654</v>
      </c>
      <c r="B18" s="1742">
        <v>4180</v>
      </c>
      <c r="C18" s="1739">
        <f t="shared" ref="C18:H18" si="3">C9</f>
        <v>3625267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14431504</v>
      </c>
      <c r="D19" s="1685">
        <f t="shared" si="4"/>
        <v>642842</v>
      </c>
      <c r="E19" s="1685">
        <f t="shared" si="4"/>
        <v>1593206</v>
      </c>
      <c r="F19" s="1685">
        <f t="shared" si="4"/>
        <v>1466171</v>
      </c>
      <c r="G19" s="1685">
        <f t="shared" si="4"/>
        <v>410099</v>
      </c>
      <c r="H19" s="1685">
        <f t="shared" si="4"/>
        <v>709196</v>
      </c>
      <c r="I19" s="468"/>
      <c r="J19" s="1685">
        <f>SUM(J17:J18)</f>
        <v>498236</v>
      </c>
      <c r="K19" s="1685">
        <f>SUM(K17:K18)</f>
        <v>1951</v>
      </c>
      <c r="L19" s="347"/>
    </row>
    <row r="20" spans="1:12" ht="16.5" thickTop="1" thickBot="1" x14ac:dyDescent="0.25">
      <c r="A20" s="2146" t="s">
        <v>1655</v>
      </c>
      <c r="B20" s="2147"/>
      <c r="C20" s="1743">
        <f>C8-C17</f>
        <v>-1282497</v>
      </c>
      <c r="D20" s="1743">
        <f t="shared" ref="D20:K20" si="5">D8-D17</f>
        <v>83136</v>
      </c>
      <c r="E20" s="1743">
        <f t="shared" si="5"/>
        <v>-222351</v>
      </c>
      <c r="F20" s="1743">
        <f t="shared" si="5"/>
        <v>-46418</v>
      </c>
      <c r="G20" s="1743">
        <f t="shared" si="5"/>
        <v>-10026</v>
      </c>
      <c r="H20" s="1743">
        <f t="shared" si="5"/>
        <v>-125351</v>
      </c>
      <c r="I20" s="1743">
        <f t="shared" si="5"/>
        <v>93784</v>
      </c>
      <c r="J20" s="1743">
        <f t="shared" si="5"/>
        <v>-28880</v>
      </c>
      <c r="K20" s="1743">
        <f t="shared" si="5"/>
        <v>-1951</v>
      </c>
      <c r="L20" s="347"/>
    </row>
    <row r="21" spans="1:12" ht="16.7" customHeight="1" thickTop="1" x14ac:dyDescent="0.2">
      <c r="A21" s="2158" t="s">
        <v>595</v>
      </c>
      <c r="B21" s="2159"/>
      <c r="C21" s="1567"/>
      <c r="D21" s="1568"/>
      <c r="E21" s="1568"/>
      <c r="F21" s="1568"/>
      <c r="G21" s="1568"/>
      <c r="H21" s="1568"/>
      <c r="I21" s="1568"/>
      <c r="J21" s="1568"/>
      <c r="K21" s="1569"/>
      <c r="L21" s="521"/>
    </row>
    <row r="22" spans="1:12" ht="15.75" customHeight="1" collapsed="1" x14ac:dyDescent="0.2">
      <c r="A22" s="2154" t="s">
        <v>596</v>
      </c>
      <c r="B22" s="2155"/>
      <c r="C22" s="475"/>
      <c r="D22" s="475"/>
      <c r="E22" s="475"/>
      <c r="F22" s="475"/>
      <c r="G22" s="475"/>
      <c r="H22" s="475"/>
      <c r="I22" s="475"/>
      <c r="J22" s="475"/>
      <c r="K22" s="475"/>
      <c r="L22" s="347"/>
    </row>
    <row r="23" spans="1:12" s="483" customFormat="1" ht="15.75" customHeight="1" x14ac:dyDescent="0.2">
      <c r="A23" s="2150" t="s">
        <v>293</v>
      </c>
      <c r="B23" s="2151"/>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2" t="s">
        <v>981</v>
      </c>
      <c r="B32" s="2153"/>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4451703</v>
      </c>
      <c r="I33" s="467">
        <v>0</v>
      </c>
      <c r="J33" s="467">
        <v>0</v>
      </c>
      <c r="K33" s="467">
        <v>0</v>
      </c>
      <c r="L33" s="521"/>
    </row>
    <row r="34" spans="1:12" s="483" customFormat="1" x14ac:dyDescent="0.2">
      <c r="A34" s="1486" t="s">
        <v>1001</v>
      </c>
      <c r="B34" s="522">
        <v>7220</v>
      </c>
      <c r="C34" s="465">
        <v>0</v>
      </c>
      <c r="D34" s="467">
        <v>0</v>
      </c>
      <c r="E34" s="467">
        <v>382808</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3800</v>
      </c>
      <c r="I35" s="467">
        <v>0</v>
      </c>
      <c r="J35" s="467">
        <v>0</v>
      </c>
      <c r="K35" s="467">
        <v>0</v>
      </c>
      <c r="L35" s="521"/>
    </row>
    <row r="36" spans="1:12" s="483" customFormat="1" ht="15" x14ac:dyDescent="0.2">
      <c r="A36" s="1486" t="s">
        <v>1658</v>
      </c>
      <c r="B36" s="522">
        <v>7300</v>
      </c>
      <c r="C36" s="465">
        <v>0</v>
      </c>
      <c r="D36" s="467">
        <v>255</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0" t="s">
        <v>374</v>
      </c>
      <c r="B44" s="2161"/>
      <c r="C44" s="1700">
        <f>SUM(C24:C43)</f>
        <v>0</v>
      </c>
      <c r="D44" s="1700">
        <f t="shared" ref="D44:K44" si="6">SUM(D24:D43)</f>
        <v>255</v>
      </c>
      <c r="E44" s="1700">
        <f t="shared" si="6"/>
        <v>382808</v>
      </c>
      <c r="F44" s="1700">
        <f t="shared" si="6"/>
        <v>0</v>
      </c>
      <c r="G44" s="1700">
        <f t="shared" si="6"/>
        <v>0</v>
      </c>
      <c r="H44" s="1700">
        <f t="shared" si="6"/>
        <v>4455503</v>
      </c>
      <c r="I44" s="1700">
        <f t="shared" si="6"/>
        <v>0</v>
      </c>
      <c r="J44" s="1700">
        <f t="shared" si="6"/>
        <v>0</v>
      </c>
      <c r="K44" s="1700">
        <f t="shared" si="6"/>
        <v>0</v>
      </c>
      <c r="L44" s="521"/>
    </row>
    <row r="45" spans="1:12" ht="15.75" customHeight="1" thickTop="1" x14ac:dyDescent="0.2">
      <c r="A45" s="2154" t="s">
        <v>108</v>
      </c>
      <c r="B45" s="2155"/>
      <c r="C45" s="525"/>
      <c r="D45" s="525"/>
      <c r="E45" s="525"/>
      <c r="F45" s="525"/>
      <c r="G45" s="525"/>
      <c r="H45" s="525"/>
      <c r="I45" s="525"/>
      <c r="J45" s="525"/>
      <c r="K45" s="525"/>
      <c r="L45" s="347"/>
    </row>
    <row r="46" spans="1:12" s="483" customFormat="1" ht="15.75" customHeight="1" x14ac:dyDescent="0.2">
      <c r="A46" s="2162" t="s">
        <v>109</v>
      </c>
      <c r="B46" s="2163"/>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6" t="s">
        <v>440</v>
      </c>
      <c r="B76" s="2137"/>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8" t="s">
        <v>1177</v>
      </c>
      <c r="B77" s="2139"/>
      <c r="C77" s="1700">
        <f t="shared" ref="C77:K77" si="8">C44-C76</f>
        <v>0</v>
      </c>
      <c r="D77" s="1700">
        <f t="shared" si="8"/>
        <v>255</v>
      </c>
      <c r="E77" s="1700">
        <f t="shared" si="8"/>
        <v>382808</v>
      </c>
      <c r="F77" s="1700">
        <f t="shared" si="8"/>
        <v>0</v>
      </c>
      <c r="G77" s="1700">
        <f t="shared" si="8"/>
        <v>0</v>
      </c>
      <c r="H77" s="1700">
        <f t="shared" si="8"/>
        <v>4455503</v>
      </c>
      <c r="I77" s="1700">
        <f t="shared" si="8"/>
        <v>0</v>
      </c>
      <c r="J77" s="1700">
        <f t="shared" si="8"/>
        <v>0</v>
      </c>
      <c r="K77" s="1700">
        <f t="shared" si="8"/>
        <v>0</v>
      </c>
      <c r="L77" s="347"/>
    </row>
    <row r="78" spans="1:12" ht="21.75" customHeight="1" thickTop="1" thickBot="1" x14ac:dyDescent="0.25">
      <c r="A78" s="2142" t="s">
        <v>597</v>
      </c>
      <c r="B78" s="2143"/>
      <c r="C78" s="1699">
        <f t="shared" ref="C78:K78" si="9">C20+C77</f>
        <v>-1282497</v>
      </c>
      <c r="D78" s="1699">
        <f t="shared" si="9"/>
        <v>83391</v>
      </c>
      <c r="E78" s="1699">
        <f t="shared" si="9"/>
        <v>160457</v>
      </c>
      <c r="F78" s="1699">
        <f t="shared" si="9"/>
        <v>-46418</v>
      </c>
      <c r="G78" s="1699">
        <f t="shared" si="9"/>
        <v>-10026</v>
      </c>
      <c r="H78" s="1699">
        <f t="shared" si="9"/>
        <v>4330152</v>
      </c>
      <c r="I78" s="1699">
        <f t="shared" si="9"/>
        <v>93784</v>
      </c>
      <c r="J78" s="1699">
        <f t="shared" si="9"/>
        <v>-28880</v>
      </c>
      <c r="K78" s="1699">
        <f t="shared" si="9"/>
        <v>-1951</v>
      </c>
      <c r="L78" s="530"/>
    </row>
    <row r="79" spans="1:12" ht="13.5" thickTop="1" x14ac:dyDescent="0.2">
      <c r="A79" s="1491" t="s">
        <v>1949</v>
      </c>
      <c r="B79" s="531"/>
      <c r="C79" s="476">
        <v>5565670</v>
      </c>
      <c r="D79" s="476">
        <v>2192670</v>
      </c>
      <c r="E79" s="476">
        <v>698660</v>
      </c>
      <c r="F79" s="476">
        <v>2222933</v>
      </c>
      <c r="G79" s="476">
        <v>504767</v>
      </c>
      <c r="H79" s="476">
        <v>490262</v>
      </c>
      <c r="I79" s="476">
        <v>1525900</v>
      </c>
      <c r="J79" s="476">
        <v>386624</v>
      </c>
      <c r="K79" s="476">
        <v>1951</v>
      </c>
      <c r="L79" s="347"/>
    </row>
    <row r="80" spans="1:12" x14ac:dyDescent="0.2">
      <c r="A80" s="2148" t="s">
        <v>1795</v>
      </c>
      <c r="B80" s="2149"/>
      <c r="C80" s="467">
        <v>0</v>
      </c>
      <c r="D80" s="467">
        <v>0</v>
      </c>
      <c r="E80" s="467">
        <v>0</v>
      </c>
      <c r="F80" s="467">
        <v>0</v>
      </c>
      <c r="G80" s="467">
        <v>0</v>
      </c>
      <c r="H80" s="467">
        <v>0</v>
      </c>
      <c r="I80" s="467">
        <v>0</v>
      </c>
      <c r="J80" s="467">
        <v>0</v>
      </c>
      <c r="K80" s="467">
        <v>0</v>
      </c>
      <c r="L80" s="347"/>
    </row>
    <row r="81" spans="1:12" ht="13.5" thickBot="1" x14ac:dyDescent="0.25">
      <c r="A81" s="2140" t="s">
        <v>1950</v>
      </c>
      <c r="B81" s="2141"/>
      <c r="C81" s="1685">
        <f>(SUM(C78:C80))</f>
        <v>4283173</v>
      </c>
      <c r="D81" s="1685">
        <f>SUM(D78:D80)</f>
        <v>2276061</v>
      </c>
      <c r="E81" s="1685">
        <f t="shared" ref="E81:K81" si="10">SUM(E78:E80)</f>
        <v>859117</v>
      </c>
      <c r="F81" s="1685">
        <f t="shared" si="10"/>
        <v>2176515</v>
      </c>
      <c r="G81" s="1685">
        <f t="shared" si="10"/>
        <v>494741</v>
      </c>
      <c r="H81" s="1685">
        <f t="shared" si="10"/>
        <v>4820414</v>
      </c>
      <c r="I81" s="1685">
        <f t="shared" si="10"/>
        <v>1619684</v>
      </c>
      <c r="J81" s="1685">
        <f t="shared" si="10"/>
        <v>357744</v>
      </c>
      <c r="K81" s="1685">
        <f t="shared" si="10"/>
        <v>0</v>
      </c>
      <c r="L81" s="347"/>
    </row>
    <row r="82" spans="1:12" ht="0.75" customHeight="1" thickTop="1" thickBot="1" x14ac:dyDescent="0.25">
      <c r="A82" s="533" t="s">
        <v>343</v>
      </c>
      <c r="B82" s="534"/>
      <c r="C82" s="535">
        <f>(C81-C79)</f>
        <v>-1282497</v>
      </c>
      <c r="D82" s="535">
        <f t="shared" ref="D82:K82" si="11">(D81-D79)</f>
        <v>83391</v>
      </c>
      <c r="E82" s="535">
        <f t="shared" si="11"/>
        <v>160457</v>
      </c>
      <c r="F82" s="535">
        <f t="shared" si="11"/>
        <v>-46418</v>
      </c>
      <c r="G82" s="535">
        <f t="shared" si="11"/>
        <v>-10026</v>
      </c>
      <c r="H82" s="535">
        <f t="shared" si="11"/>
        <v>4330152</v>
      </c>
      <c r="I82" s="535">
        <f t="shared" si="11"/>
        <v>93784</v>
      </c>
      <c r="J82" s="535">
        <f t="shared" si="11"/>
        <v>-28880</v>
      </c>
      <c r="K82" s="535">
        <f t="shared" si="11"/>
        <v>-1951</v>
      </c>
    </row>
    <row r="83" spans="1:12" ht="14.25" hidden="1" thickTop="1" thickBot="1" x14ac:dyDescent="0.25">
      <c r="A83" s="536" t="s">
        <v>344</v>
      </c>
      <c r="B83" s="464"/>
      <c r="C83" s="537">
        <f>C82/C81</f>
        <v>-0.29942685014123877</v>
      </c>
      <c r="D83" s="537">
        <f t="shared" ref="D83:K83" si="12">D82/D81</f>
        <v>3.6638297479724843E-2</v>
      </c>
      <c r="E83" s="537">
        <f t="shared" si="12"/>
        <v>0.18676967165124192</v>
      </c>
      <c r="F83" s="537">
        <f t="shared" si="12"/>
        <v>-2.1326754008127672E-2</v>
      </c>
      <c r="G83" s="537">
        <f t="shared" si="12"/>
        <v>-2.0265148835451278E-2</v>
      </c>
      <c r="H83" s="537">
        <f t="shared" si="12"/>
        <v>0.89829462780582747</v>
      </c>
      <c r="I83" s="537">
        <f t="shared" si="12"/>
        <v>5.7902652616189328E-2</v>
      </c>
      <c r="J83" s="537">
        <f t="shared" si="12"/>
        <v>-8.0728118431056844E-2</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14" sqref="F14"/>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4" t="s">
        <v>1802</v>
      </c>
      <c r="B1" s="452"/>
      <c r="C1" s="453" t="s">
        <v>425</v>
      </c>
      <c r="D1" s="453" t="s">
        <v>426</v>
      </c>
      <c r="E1" s="453" t="s">
        <v>427</v>
      </c>
      <c r="F1" s="453" t="s">
        <v>428</v>
      </c>
      <c r="G1" s="453" t="s">
        <v>429</v>
      </c>
      <c r="H1" s="453" t="s">
        <v>430</v>
      </c>
      <c r="I1" s="453" t="s">
        <v>431</v>
      </c>
      <c r="J1" s="453" t="s">
        <v>432</v>
      </c>
      <c r="K1" s="453" t="s">
        <v>756</v>
      </c>
    </row>
    <row r="2" spans="1:12" ht="36" x14ac:dyDescent="0.2">
      <c r="A2" s="214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3669943</v>
      </c>
      <c r="D5" s="479">
        <v>695147</v>
      </c>
      <c r="E5" s="466">
        <v>1363918</v>
      </c>
      <c r="F5" s="545">
        <v>278059</v>
      </c>
      <c r="G5" s="466">
        <v>188606</v>
      </c>
      <c r="H5" s="466">
        <v>0</v>
      </c>
      <c r="I5" s="466">
        <v>69514</v>
      </c>
      <c r="J5" s="467">
        <v>465957</v>
      </c>
      <c r="K5" s="466">
        <v>0</v>
      </c>
    </row>
    <row r="6" spans="1:12" ht="15" x14ac:dyDescent="0.2">
      <c r="A6" s="463" t="s">
        <v>1662</v>
      </c>
      <c r="B6" s="470">
        <v>1130</v>
      </c>
      <c r="C6" s="466">
        <v>69514</v>
      </c>
      <c r="D6" s="466">
        <v>0</v>
      </c>
      <c r="E6" s="474"/>
      <c r="F6" s="474"/>
      <c r="G6" s="468"/>
      <c r="H6" s="468"/>
      <c r="I6" s="468"/>
      <c r="J6" s="468"/>
      <c r="K6" s="468"/>
    </row>
    <row r="7" spans="1:12" x14ac:dyDescent="0.2">
      <c r="A7" s="463" t="s">
        <v>110</v>
      </c>
      <c r="B7" s="546">
        <v>1140</v>
      </c>
      <c r="C7" s="466">
        <v>55612</v>
      </c>
      <c r="D7" s="466">
        <v>0</v>
      </c>
      <c r="E7" s="468"/>
      <c r="F7" s="467">
        <v>0</v>
      </c>
      <c r="G7" s="467">
        <v>0</v>
      </c>
      <c r="H7" s="467">
        <v>0</v>
      </c>
      <c r="I7" s="468"/>
      <c r="J7" s="468"/>
      <c r="K7" s="468"/>
    </row>
    <row r="8" spans="1:12" x14ac:dyDescent="0.2">
      <c r="A8" s="463" t="s">
        <v>413</v>
      </c>
      <c r="B8" s="470">
        <v>1150</v>
      </c>
      <c r="C8" s="474"/>
      <c r="D8" s="474"/>
      <c r="E8" s="475"/>
      <c r="F8" s="475"/>
      <c r="G8" s="479">
        <v>174632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3795069</v>
      </c>
      <c r="D12" s="1704">
        <f t="shared" si="0"/>
        <v>695147</v>
      </c>
      <c r="E12" s="1704">
        <f t="shared" si="0"/>
        <v>1363918</v>
      </c>
      <c r="F12" s="1704">
        <f t="shared" si="0"/>
        <v>278059</v>
      </c>
      <c r="G12" s="1704">
        <f t="shared" si="0"/>
        <v>363238</v>
      </c>
      <c r="H12" s="1704">
        <f t="shared" si="0"/>
        <v>0</v>
      </c>
      <c r="I12" s="1704">
        <f t="shared" si="0"/>
        <v>69514</v>
      </c>
      <c r="J12" s="1704">
        <f t="shared" si="0"/>
        <v>465957</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1473</v>
      </c>
      <c r="D14" s="466">
        <v>270</v>
      </c>
      <c r="E14" s="466">
        <v>533</v>
      </c>
      <c r="F14" s="466">
        <v>108</v>
      </c>
      <c r="G14" s="466">
        <v>150</v>
      </c>
      <c r="H14" s="466">
        <v>0</v>
      </c>
      <c r="I14" s="466">
        <v>27</v>
      </c>
      <c r="J14" s="467">
        <v>174</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188745</v>
      </c>
      <c r="G16" s="466">
        <v>30604</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1473</v>
      </c>
      <c r="D18" s="1707">
        <f t="shared" ref="D18:K18" si="1">SUM(D14:D17)</f>
        <v>270</v>
      </c>
      <c r="E18" s="1707">
        <f t="shared" si="1"/>
        <v>533</v>
      </c>
      <c r="F18" s="1707">
        <f t="shared" si="1"/>
        <v>188853</v>
      </c>
      <c r="G18" s="1707">
        <f t="shared" si="1"/>
        <v>30754</v>
      </c>
      <c r="H18" s="1707">
        <f t="shared" si="1"/>
        <v>0</v>
      </c>
      <c r="I18" s="1707">
        <f t="shared" si="1"/>
        <v>27</v>
      </c>
      <c r="J18" s="1707">
        <f t="shared" si="1"/>
        <v>174</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1400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115565</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116965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63790</v>
      </c>
      <c r="D65" s="466">
        <v>27066</v>
      </c>
      <c r="E65" s="466">
        <v>6404</v>
      </c>
      <c r="F65" s="467">
        <v>28426</v>
      </c>
      <c r="G65" s="466">
        <v>6081</v>
      </c>
      <c r="H65" s="466">
        <v>13216</v>
      </c>
      <c r="I65" s="466">
        <v>24243</v>
      </c>
      <c r="J65" s="467">
        <v>3225</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63790</v>
      </c>
      <c r="D67" s="1685">
        <f t="shared" ref="D67:K67" si="2">SUM(D65:D66)</f>
        <v>27066</v>
      </c>
      <c r="E67" s="1685">
        <f t="shared" si="2"/>
        <v>6404</v>
      </c>
      <c r="F67" s="1685">
        <f t="shared" si="2"/>
        <v>28426</v>
      </c>
      <c r="G67" s="1685">
        <f t="shared" si="2"/>
        <v>6081</v>
      </c>
      <c r="H67" s="1685">
        <f t="shared" si="2"/>
        <v>13216</v>
      </c>
      <c r="I67" s="1685">
        <f t="shared" si="2"/>
        <v>24243</v>
      </c>
      <c r="J67" s="1685">
        <f t="shared" si="2"/>
        <v>3225</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195414</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85002</v>
      </c>
      <c r="D71" s="468"/>
      <c r="E71" s="468"/>
      <c r="F71" s="468"/>
      <c r="G71" s="468"/>
      <c r="H71" s="468"/>
      <c r="I71" s="468"/>
      <c r="J71" s="468"/>
      <c r="K71" s="468"/>
    </row>
    <row r="72" spans="1:11" ht="12.75" customHeight="1" x14ac:dyDescent="0.2">
      <c r="A72" s="463" t="s">
        <v>24</v>
      </c>
      <c r="B72" s="470">
        <v>1614</v>
      </c>
      <c r="C72" s="548">
        <v>644</v>
      </c>
      <c r="D72" s="468"/>
      <c r="E72" s="468"/>
      <c r="F72" s="468"/>
      <c r="G72" s="468"/>
      <c r="H72" s="468"/>
      <c r="I72" s="468"/>
      <c r="J72" s="468"/>
      <c r="K72" s="468"/>
    </row>
    <row r="73" spans="1:11" ht="12.75" customHeight="1" x14ac:dyDescent="0.2">
      <c r="A73" s="463" t="s">
        <v>998</v>
      </c>
      <c r="B73" s="470">
        <v>1620</v>
      </c>
      <c r="C73" s="548">
        <v>11256</v>
      </c>
      <c r="D73" s="468"/>
      <c r="E73" s="468"/>
      <c r="F73" s="468"/>
      <c r="G73" s="468"/>
      <c r="H73" s="468"/>
      <c r="I73" s="468"/>
      <c r="J73" s="468"/>
      <c r="K73" s="468"/>
    </row>
    <row r="74" spans="1:11" ht="12.75" customHeight="1" x14ac:dyDescent="0.2">
      <c r="A74" s="463" t="s">
        <v>25</v>
      </c>
      <c r="B74" s="470">
        <v>1690</v>
      </c>
      <c r="C74" s="548">
        <v>10423</v>
      </c>
      <c r="D74" s="468"/>
      <c r="E74" s="468"/>
      <c r="F74" s="468"/>
      <c r="G74" s="468"/>
      <c r="H74" s="468"/>
      <c r="I74" s="468"/>
      <c r="J74" s="468"/>
      <c r="K74" s="468"/>
    </row>
    <row r="75" spans="1:11" ht="12.75" customHeight="1" thickBot="1" x14ac:dyDescent="0.25">
      <c r="A75" s="1705" t="s">
        <v>548</v>
      </c>
      <c r="B75" s="1706"/>
      <c r="C75" s="1685">
        <f>SUM(C69:C74)</f>
        <v>302739</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32270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17275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49545</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68381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68381</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135</v>
      </c>
      <c r="E95" s="518"/>
      <c r="F95" s="518"/>
      <c r="G95" s="518"/>
      <c r="H95" s="518"/>
      <c r="I95" s="518"/>
      <c r="J95" s="518"/>
      <c r="K95" s="518"/>
    </row>
    <row r="96" spans="1:11" ht="12.75" customHeight="1" x14ac:dyDescent="0.2">
      <c r="A96" s="463" t="s">
        <v>391</v>
      </c>
      <c r="B96" s="470">
        <v>1920</v>
      </c>
      <c r="C96" s="548">
        <v>500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7662</v>
      </c>
      <c r="D99" s="466">
        <v>1680</v>
      </c>
      <c r="E99" s="466">
        <v>0</v>
      </c>
      <c r="F99" s="466">
        <v>11779</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55235</v>
      </c>
      <c r="I100" s="467">
        <v>0</v>
      </c>
      <c r="J100" s="486">
        <v>0</v>
      </c>
      <c r="K100" s="467">
        <v>0</v>
      </c>
    </row>
    <row r="101" spans="1:12" ht="12.75" customHeight="1" x14ac:dyDescent="0.2">
      <c r="A101" s="463" t="s">
        <v>246</v>
      </c>
      <c r="B101" s="470">
        <v>1970</v>
      </c>
      <c r="C101" s="486">
        <v>4320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515394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72334</v>
      </c>
      <c r="D107" s="466">
        <v>1680</v>
      </c>
      <c r="E107" s="466">
        <v>0</v>
      </c>
      <c r="F107" s="466">
        <v>5597</v>
      </c>
      <c r="G107" s="466">
        <v>0</v>
      </c>
      <c r="H107" s="466">
        <v>0</v>
      </c>
      <c r="I107" s="466">
        <v>0</v>
      </c>
      <c r="J107" s="467">
        <v>0</v>
      </c>
      <c r="K107" s="466">
        <v>0</v>
      </c>
    </row>
    <row r="108" spans="1:12" ht="12.75" customHeight="1" thickBot="1" x14ac:dyDescent="0.25">
      <c r="A108" s="1705" t="s">
        <v>487</v>
      </c>
      <c r="B108" s="1709"/>
      <c r="C108" s="1704">
        <f>SUM(C95:C107)</f>
        <v>84816</v>
      </c>
      <c r="D108" s="1704">
        <f t="shared" ref="D108:K108" si="3">SUM(D95:D107)</f>
        <v>3495</v>
      </c>
      <c r="E108" s="1704">
        <f t="shared" si="3"/>
        <v>0</v>
      </c>
      <c r="F108" s="1704">
        <f t="shared" si="3"/>
        <v>17376</v>
      </c>
      <c r="G108" s="1704">
        <f t="shared" si="3"/>
        <v>0</v>
      </c>
      <c r="H108" s="1704">
        <f t="shared" si="3"/>
        <v>570629</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4482778</v>
      </c>
      <c r="D109" s="1712">
        <f t="shared" si="4"/>
        <v>725978</v>
      </c>
      <c r="E109" s="1712">
        <f t="shared" si="4"/>
        <v>1370855</v>
      </c>
      <c r="F109" s="1712">
        <f t="shared" si="4"/>
        <v>512714</v>
      </c>
      <c r="G109" s="1712">
        <f t="shared" si="4"/>
        <v>400073</v>
      </c>
      <c r="H109" s="1712">
        <f t="shared" si="4"/>
        <v>583845</v>
      </c>
      <c r="I109" s="1712">
        <f t="shared" si="4"/>
        <v>93784</v>
      </c>
      <c r="J109" s="1712">
        <f t="shared" si="4"/>
        <v>469356</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4072183</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4072183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74512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27367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101879</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14131</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13000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27131</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5260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19649</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642126</v>
      </c>
      <c r="G152" s="467">
        <v>0</v>
      </c>
      <c r="H152" s="468"/>
      <c r="I152" s="468"/>
      <c r="J152" s="468"/>
      <c r="K152" s="468"/>
    </row>
    <row r="153" spans="1:11" ht="12.75" customHeight="1" x14ac:dyDescent="0.2">
      <c r="A153" s="463" t="s">
        <v>1057</v>
      </c>
      <c r="B153" s="559">
        <v>3510</v>
      </c>
      <c r="C153" s="548">
        <v>0</v>
      </c>
      <c r="D153" s="466">
        <v>0</v>
      </c>
      <c r="E153" s="558"/>
      <c r="F153" s="466">
        <v>226731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868857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189958</v>
      </c>
      <c r="D159" s="575">
        <v>0</v>
      </c>
      <c r="E159" s="558"/>
      <c r="F159" s="573">
        <v>38182</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2255</v>
      </c>
      <c r="D168" s="577">
        <v>0</v>
      </c>
      <c r="E168" s="577">
        <v>0</v>
      </c>
      <c r="F168" s="577">
        <v>0</v>
      </c>
      <c r="G168" s="578">
        <v>0</v>
      </c>
      <c r="H168" s="579">
        <v>0</v>
      </c>
      <c r="I168" s="578">
        <v>0</v>
      </c>
      <c r="J168" s="578">
        <v>0</v>
      </c>
      <c r="K168" s="579">
        <v>0</v>
      </c>
    </row>
    <row r="169" spans="1:11" ht="12.75" customHeight="1" thickTop="1" thickBot="1" x14ac:dyDescent="0.25">
      <c r="A169" s="2164" t="s">
        <v>398</v>
      </c>
      <c r="B169" s="2165"/>
      <c r="C169" s="1719">
        <f t="shared" ref="C169:K169" si="6">SUM(C132,C141,C145,C146:C150,C155,C156:C167,C168)</f>
        <v>346132</v>
      </c>
      <c r="D169" s="1719">
        <f t="shared" si="6"/>
        <v>0</v>
      </c>
      <c r="E169" s="1719">
        <f t="shared" si="6"/>
        <v>0</v>
      </c>
      <c r="F169" s="1719">
        <f t="shared" si="6"/>
        <v>907039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4418315</v>
      </c>
      <c r="D170" s="1712">
        <f t="shared" si="7"/>
        <v>0</v>
      </c>
      <c r="E170" s="1712">
        <f t="shared" si="7"/>
        <v>0</v>
      </c>
      <c r="F170" s="1712">
        <f t="shared" si="7"/>
        <v>907039</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6" t="s">
        <v>1492</v>
      </c>
      <c r="B172" s="216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0" t="s">
        <v>1665</v>
      </c>
      <c r="B175" s="2171"/>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4" t="s">
        <v>1664</v>
      </c>
      <c r="B176" s="217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2" t="s">
        <v>785</v>
      </c>
      <c r="B181" s="2173"/>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8" t="s">
        <v>1803</v>
      </c>
      <c r="B182" s="2169"/>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243599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62547</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306146</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232617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232617</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17852</v>
      </c>
      <c r="D213" s="466">
        <v>0</v>
      </c>
      <c r="E213" s="468"/>
      <c r="F213" s="466">
        <v>0</v>
      </c>
      <c r="G213" s="466">
        <v>0</v>
      </c>
      <c r="H213" s="468"/>
      <c r="I213" s="468"/>
      <c r="J213" s="468"/>
      <c r="K213" s="468"/>
    </row>
    <row r="214" spans="1:11" ht="12.75" customHeight="1" x14ac:dyDescent="0.2">
      <c r="A214" s="463" t="s">
        <v>1054</v>
      </c>
      <c r="B214" s="470">
        <v>4625</v>
      </c>
      <c r="C214" s="548">
        <v>398</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18250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550</v>
      </c>
      <c r="D220" s="466">
        <v>0</v>
      </c>
      <c r="E220" s="468"/>
      <c r="F220" s="468"/>
      <c r="G220" s="466">
        <v>0</v>
      </c>
      <c r="H220" s="468"/>
      <c r="I220" s="468"/>
      <c r="J220" s="468"/>
      <c r="K220" s="468"/>
    </row>
    <row r="221" spans="1:11" ht="12.75" customHeight="1" thickBot="1" x14ac:dyDescent="0.25">
      <c r="A221" s="1720" t="s">
        <v>1085</v>
      </c>
      <c r="B221" s="1721"/>
      <c r="C221" s="1704">
        <f>SUM(C219:C220)</f>
        <v>550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42791</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22293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622647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622647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9523740</v>
      </c>
      <c r="D268" s="1712">
        <f t="shared" si="12"/>
        <v>725978</v>
      </c>
      <c r="E268" s="1712">
        <f t="shared" si="12"/>
        <v>1370855</v>
      </c>
      <c r="F268" s="1712">
        <f t="shared" si="12"/>
        <v>1419753</v>
      </c>
      <c r="G268" s="1712">
        <f t="shared" si="12"/>
        <v>400073</v>
      </c>
      <c r="H268" s="1712">
        <f t="shared" si="12"/>
        <v>583845</v>
      </c>
      <c r="I268" s="1712">
        <f t="shared" si="12"/>
        <v>93784</v>
      </c>
      <c r="J268" s="1712">
        <f t="shared" si="12"/>
        <v>469356</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14" sqref="F1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4" t="s">
        <v>297</v>
      </c>
      <c r="B3" s="2185"/>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3795982</v>
      </c>
      <c r="D5" s="466">
        <v>984474</v>
      </c>
      <c r="E5" s="466">
        <v>27460</v>
      </c>
      <c r="F5" s="466">
        <v>44243</v>
      </c>
      <c r="G5" s="466">
        <v>9376</v>
      </c>
      <c r="H5" s="466">
        <v>100</v>
      </c>
      <c r="I5" s="467">
        <v>0</v>
      </c>
      <c r="J5" s="467">
        <v>0</v>
      </c>
      <c r="K5" s="1668">
        <f>SUM(C5:J5)</f>
        <v>4861635</v>
      </c>
      <c r="L5" s="471">
        <v>4854610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502421</v>
      </c>
      <c r="D8" s="466">
        <v>164002</v>
      </c>
      <c r="E8" s="466">
        <v>387</v>
      </c>
      <c r="F8" s="466">
        <v>256</v>
      </c>
      <c r="G8" s="466">
        <v>0</v>
      </c>
      <c r="H8" s="466">
        <v>92</v>
      </c>
      <c r="I8" s="467">
        <v>0</v>
      </c>
      <c r="J8" s="467">
        <v>0</v>
      </c>
      <c r="K8" s="1668">
        <f t="shared" si="0"/>
        <v>667158</v>
      </c>
      <c r="L8" s="471">
        <v>696429</v>
      </c>
    </row>
    <row r="9" spans="1:14" x14ac:dyDescent="0.2">
      <c r="A9" s="1501" t="s">
        <v>721</v>
      </c>
      <c r="B9" s="611" t="s">
        <v>968</v>
      </c>
      <c r="C9" s="467">
        <v>76513</v>
      </c>
      <c r="D9" s="467">
        <v>28737</v>
      </c>
      <c r="E9" s="467">
        <v>0</v>
      </c>
      <c r="F9" s="467">
        <v>0</v>
      </c>
      <c r="G9" s="467">
        <v>0</v>
      </c>
      <c r="H9" s="467">
        <v>0</v>
      </c>
      <c r="I9" s="467">
        <v>0</v>
      </c>
      <c r="J9" s="467">
        <v>0</v>
      </c>
      <c r="K9" s="1668">
        <f t="shared" si="0"/>
        <v>105250</v>
      </c>
      <c r="L9" s="471">
        <v>106831</v>
      </c>
    </row>
    <row r="10" spans="1:14" x14ac:dyDescent="0.2">
      <c r="A10" s="1501" t="s">
        <v>722</v>
      </c>
      <c r="B10" s="611">
        <v>1250</v>
      </c>
      <c r="C10" s="466">
        <v>171142</v>
      </c>
      <c r="D10" s="466">
        <v>1899</v>
      </c>
      <c r="E10" s="466">
        <v>0</v>
      </c>
      <c r="F10" s="466">
        <v>31575</v>
      </c>
      <c r="G10" s="466">
        <v>1830</v>
      </c>
      <c r="H10" s="466">
        <v>0</v>
      </c>
      <c r="I10" s="467">
        <v>0</v>
      </c>
      <c r="J10" s="467">
        <v>0</v>
      </c>
      <c r="K10" s="1668">
        <f t="shared" si="0"/>
        <v>206446</v>
      </c>
      <c r="L10" s="471">
        <v>205507</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163219</v>
      </c>
      <c r="D13" s="466">
        <v>41820</v>
      </c>
      <c r="E13" s="466">
        <v>2890</v>
      </c>
      <c r="F13" s="466">
        <v>7717</v>
      </c>
      <c r="G13" s="466">
        <v>528</v>
      </c>
      <c r="H13" s="466">
        <v>246</v>
      </c>
      <c r="I13" s="467">
        <v>0</v>
      </c>
      <c r="J13" s="467">
        <v>0</v>
      </c>
      <c r="K13" s="1668">
        <f t="shared" si="0"/>
        <v>216420</v>
      </c>
      <c r="L13" s="471">
        <v>211758</v>
      </c>
    </row>
    <row r="14" spans="1:14" x14ac:dyDescent="0.2">
      <c r="A14" s="1501" t="s">
        <v>963</v>
      </c>
      <c r="B14" s="611">
        <v>1500</v>
      </c>
      <c r="C14" s="466">
        <v>182616</v>
      </c>
      <c r="D14" s="466">
        <v>2306</v>
      </c>
      <c r="E14" s="466">
        <v>45501</v>
      </c>
      <c r="F14" s="466">
        <v>33069</v>
      </c>
      <c r="G14" s="466">
        <v>3250</v>
      </c>
      <c r="H14" s="466">
        <v>15605</v>
      </c>
      <c r="I14" s="467">
        <v>0</v>
      </c>
      <c r="J14" s="467">
        <v>0</v>
      </c>
      <c r="K14" s="1668">
        <f t="shared" si="0"/>
        <v>282347</v>
      </c>
      <c r="L14" s="471">
        <v>284368</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40143</v>
      </c>
      <c r="D17" s="467">
        <v>11004</v>
      </c>
      <c r="E17" s="467">
        <v>263</v>
      </c>
      <c r="F17" s="467">
        <v>1276</v>
      </c>
      <c r="G17" s="467">
        <v>16003</v>
      </c>
      <c r="H17" s="467">
        <v>0</v>
      </c>
      <c r="I17" s="467">
        <v>0</v>
      </c>
      <c r="J17" s="467">
        <v>0</v>
      </c>
      <c r="K17" s="1668">
        <f t="shared" si="0"/>
        <v>68689</v>
      </c>
      <c r="L17" s="471">
        <v>61169</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150114</v>
      </c>
      <c r="I22" s="613"/>
      <c r="J22" s="475"/>
      <c r="K22" s="1668">
        <f t="shared" si="0"/>
        <v>150114</v>
      </c>
      <c r="L22" s="471">
        <v>163725</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4932036</v>
      </c>
      <c r="D33" s="1667">
        <f t="shared" ref="D33:L33" si="1">SUM(D5:D32)</f>
        <v>1234242</v>
      </c>
      <c r="E33" s="1667">
        <f t="shared" si="1"/>
        <v>76501</v>
      </c>
      <c r="F33" s="1667">
        <f t="shared" si="1"/>
        <v>118136</v>
      </c>
      <c r="G33" s="1667">
        <f t="shared" si="1"/>
        <v>30987</v>
      </c>
      <c r="H33" s="1667">
        <f t="shared" si="1"/>
        <v>166157</v>
      </c>
      <c r="I33" s="1667">
        <f t="shared" si="1"/>
        <v>0</v>
      </c>
      <c r="J33" s="1667">
        <f t="shared" si="1"/>
        <v>0</v>
      </c>
      <c r="K33" s="1667">
        <f t="shared" si="1"/>
        <v>6558059</v>
      </c>
      <c r="L33" s="1667">
        <f t="shared" si="1"/>
        <v>6584397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43866</v>
      </c>
      <c r="D36" s="479">
        <v>11290</v>
      </c>
      <c r="E36" s="479">
        <v>11549</v>
      </c>
      <c r="F36" s="479">
        <v>4189</v>
      </c>
      <c r="G36" s="479">
        <v>0</v>
      </c>
      <c r="H36" s="479">
        <v>0</v>
      </c>
      <c r="I36" s="467">
        <v>0</v>
      </c>
      <c r="J36" s="467">
        <v>0</v>
      </c>
      <c r="K36" s="1668">
        <f t="shared" ref="K36:K41" si="2">SUM(C36:J36)</f>
        <v>70894</v>
      </c>
      <c r="L36" s="466">
        <v>71603</v>
      </c>
    </row>
    <row r="37" spans="1:14" x14ac:dyDescent="0.2">
      <c r="A37" s="1501" t="s">
        <v>1090</v>
      </c>
      <c r="B37" s="611">
        <v>2120</v>
      </c>
      <c r="C37" s="466">
        <v>47735</v>
      </c>
      <c r="D37" s="466">
        <v>10319</v>
      </c>
      <c r="E37" s="466">
        <v>450</v>
      </c>
      <c r="F37" s="466">
        <v>614</v>
      </c>
      <c r="G37" s="466">
        <v>0</v>
      </c>
      <c r="H37" s="466">
        <v>0</v>
      </c>
      <c r="I37" s="467">
        <v>0</v>
      </c>
      <c r="J37" s="467">
        <v>0</v>
      </c>
      <c r="K37" s="1668">
        <f t="shared" si="2"/>
        <v>59118</v>
      </c>
      <c r="L37" s="466">
        <v>59870</v>
      </c>
    </row>
    <row r="38" spans="1:14" x14ac:dyDescent="0.2">
      <c r="A38" s="1501" t="s">
        <v>198</v>
      </c>
      <c r="B38" s="611">
        <v>2130</v>
      </c>
      <c r="C38" s="466">
        <v>75045</v>
      </c>
      <c r="D38" s="466">
        <v>10964</v>
      </c>
      <c r="E38" s="466">
        <v>50</v>
      </c>
      <c r="F38" s="466">
        <v>2694</v>
      </c>
      <c r="G38" s="466">
        <v>0</v>
      </c>
      <c r="H38" s="466">
        <v>0</v>
      </c>
      <c r="I38" s="467">
        <v>0</v>
      </c>
      <c r="J38" s="467">
        <v>0</v>
      </c>
      <c r="K38" s="1668">
        <f t="shared" si="2"/>
        <v>88753</v>
      </c>
      <c r="L38" s="466">
        <v>80844</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166646</v>
      </c>
      <c r="D42" s="1667">
        <f t="shared" ref="D42:L42" si="3">SUM(D36:D41)</f>
        <v>32573</v>
      </c>
      <c r="E42" s="1667">
        <f t="shared" si="3"/>
        <v>12049</v>
      </c>
      <c r="F42" s="1667">
        <f t="shared" si="3"/>
        <v>7497</v>
      </c>
      <c r="G42" s="1667">
        <f t="shared" si="3"/>
        <v>0</v>
      </c>
      <c r="H42" s="1667">
        <f t="shared" si="3"/>
        <v>0</v>
      </c>
      <c r="I42" s="1667">
        <f t="shared" si="3"/>
        <v>0</v>
      </c>
      <c r="J42" s="1667">
        <f t="shared" si="3"/>
        <v>0</v>
      </c>
      <c r="K42" s="1667">
        <f t="shared" si="3"/>
        <v>218765</v>
      </c>
      <c r="L42" s="1667">
        <f t="shared" si="3"/>
        <v>212317</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17698</v>
      </c>
      <c r="D44" s="479">
        <v>1263</v>
      </c>
      <c r="E44" s="479">
        <v>31266</v>
      </c>
      <c r="F44" s="479">
        <v>9496</v>
      </c>
      <c r="G44" s="479">
        <v>0</v>
      </c>
      <c r="H44" s="479">
        <v>0</v>
      </c>
      <c r="I44" s="467">
        <v>0</v>
      </c>
      <c r="J44" s="467">
        <v>0</v>
      </c>
      <c r="K44" s="1669">
        <f>SUM(C44:J44)</f>
        <v>59723</v>
      </c>
      <c r="L44" s="479">
        <v>57865</v>
      </c>
    </row>
    <row r="45" spans="1:14" x14ac:dyDescent="0.2">
      <c r="A45" s="1501" t="s">
        <v>815</v>
      </c>
      <c r="B45" s="611">
        <v>2220</v>
      </c>
      <c r="C45" s="466">
        <v>114136</v>
      </c>
      <c r="D45" s="466">
        <v>17498</v>
      </c>
      <c r="E45" s="466">
        <v>400</v>
      </c>
      <c r="F45" s="466">
        <v>15226</v>
      </c>
      <c r="G45" s="466">
        <v>0</v>
      </c>
      <c r="H45" s="466">
        <v>1500</v>
      </c>
      <c r="I45" s="467">
        <v>0</v>
      </c>
      <c r="J45" s="467">
        <v>0</v>
      </c>
      <c r="K45" s="1669">
        <f>SUM(C45:J45)</f>
        <v>148760</v>
      </c>
      <c r="L45" s="466">
        <v>151233</v>
      </c>
    </row>
    <row r="46" spans="1:14" x14ac:dyDescent="0.2">
      <c r="A46" s="1501" t="s">
        <v>816</v>
      </c>
      <c r="B46" s="611">
        <v>2230</v>
      </c>
      <c r="C46" s="466">
        <v>11000</v>
      </c>
      <c r="D46" s="466">
        <v>0</v>
      </c>
      <c r="E46" s="466">
        <v>6875</v>
      </c>
      <c r="F46" s="466">
        <v>0</v>
      </c>
      <c r="G46" s="466">
        <v>0</v>
      </c>
      <c r="H46" s="466">
        <v>0</v>
      </c>
      <c r="I46" s="467">
        <v>0</v>
      </c>
      <c r="J46" s="467">
        <v>0</v>
      </c>
      <c r="K46" s="1669">
        <f>SUM(C46:J46)</f>
        <v>17875</v>
      </c>
      <c r="L46" s="466">
        <v>17875</v>
      </c>
    </row>
    <row r="47" spans="1:14" ht="12.75" customHeight="1" thickBot="1" x14ac:dyDescent="0.25">
      <c r="A47" s="1665" t="s">
        <v>561</v>
      </c>
      <c r="B47" s="1666" t="s">
        <v>32</v>
      </c>
      <c r="C47" s="1667">
        <f>SUM(C44:C46)</f>
        <v>142834</v>
      </c>
      <c r="D47" s="1667">
        <f t="shared" ref="D47:K47" si="4">SUM(D44:D46)</f>
        <v>18761</v>
      </c>
      <c r="E47" s="1667">
        <f t="shared" si="4"/>
        <v>38541</v>
      </c>
      <c r="F47" s="1667">
        <f t="shared" si="4"/>
        <v>24722</v>
      </c>
      <c r="G47" s="1667">
        <f t="shared" si="4"/>
        <v>0</v>
      </c>
      <c r="H47" s="1667">
        <f t="shared" si="4"/>
        <v>1500</v>
      </c>
      <c r="I47" s="1667">
        <f t="shared" si="4"/>
        <v>0</v>
      </c>
      <c r="J47" s="1667">
        <f t="shared" si="4"/>
        <v>0</v>
      </c>
      <c r="K47" s="1667">
        <f t="shared" si="4"/>
        <v>226358</v>
      </c>
      <c r="L47" s="1667">
        <f>SUM(L44:L46)</f>
        <v>226973</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46334</v>
      </c>
      <c r="D49" s="479">
        <v>21906</v>
      </c>
      <c r="E49" s="479">
        <v>92609</v>
      </c>
      <c r="F49" s="479">
        <v>12243</v>
      </c>
      <c r="G49" s="479">
        <v>17820</v>
      </c>
      <c r="H49" s="479">
        <v>5319</v>
      </c>
      <c r="I49" s="467">
        <v>0</v>
      </c>
      <c r="J49" s="467">
        <v>0</v>
      </c>
      <c r="K49" s="1669">
        <f>SUM(C49:J49)</f>
        <v>196231</v>
      </c>
      <c r="L49" s="479">
        <v>196529</v>
      </c>
    </row>
    <row r="50" spans="1:14" x14ac:dyDescent="0.2">
      <c r="A50" s="1501" t="s">
        <v>818</v>
      </c>
      <c r="B50" s="611">
        <v>2320</v>
      </c>
      <c r="C50" s="467">
        <v>240223</v>
      </c>
      <c r="D50" s="466">
        <v>37156</v>
      </c>
      <c r="E50" s="466">
        <v>8767</v>
      </c>
      <c r="F50" s="466">
        <v>13873</v>
      </c>
      <c r="G50" s="466">
        <v>0</v>
      </c>
      <c r="H50" s="466">
        <v>2310</v>
      </c>
      <c r="I50" s="467">
        <v>0</v>
      </c>
      <c r="J50" s="467">
        <v>0</v>
      </c>
      <c r="K50" s="1669">
        <f>SUM(C50:J50)</f>
        <v>302329</v>
      </c>
      <c r="L50" s="466">
        <v>295296</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286557</v>
      </c>
      <c r="D53" s="1667">
        <f t="shared" ref="D53:L53" si="5">SUM(D49:D52)</f>
        <v>59062</v>
      </c>
      <c r="E53" s="1667">
        <f t="shared" si="5"/>
        <v>101376</v>
      </c>
      <c r="F53" s="1667">
        <f t="shared" si="5"/>
        <v>26116</v>
      </c>
      <c r="G53" s="1667">
        <f t="shared" si="5"/>
        <v>17820</v>
      </c>
      <c r="H53" s="1667">
        <f t="shared" si="5"/>
        <v>7629</v>
      </c>
      <c r="I53" s="1667">
        <f t="shared" si="5"/>
        <v>0</v>
      </c>
      <c r="J53" s="1667">
        <f t="shared" si="5"/>
        <v>0</v>
      </c>
      <c r="K53" s="1667">
        <f t="shared" si="5"/>
        <v>498560</v>
      </c>
      <c r="L53" s="1667">
        <f t="shared" si="5"/>
        <v>491825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478133</v>
      </c>
      <c r="D55" s="479">
        <v>131512</v>
      </c>
      <c r="E55" s="479">
        <v>4631</v>
      </c>
      <c r="F55" s="479">
        <v>5583</v>
      </c>
      <c r="G55" s="479">
        <v>0</v>
      </c>
      <c r="H55" s="479">
        <v>1744</v>
      </c>
      <c r="I55" s="467">
        <v>0</v>
      </c>
      <c r="J55" s="467">
        <v>0</v>
      </c>
      <c r="K55" s="1669">
        <f>SUM(C55:J55)</f>
        <v>621603</v>
      </c>
      <c r="L55" s="479">
        <v>623849</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478133</v>
      </c>
      <c r="D57" s="1671">
        <f t="shared" ref="D57:K57" si="6">SUM(D55:D56)</f>
        <v>131512</v>
      </c>
      <c r="E57" s="1671">
        <f t="shared" si="6"/>
        <v>4631</v>
      </c>
      <c r="F57" s="1671">
        <f t="shared" si="6"/>
        <v>5583</v>
      </c>
      <c r="G57" s="1671">
        <f t="shared" si="6"/>
        <v>0</v>
      </c>
      <c r="H57" s="1671">
        <f t="shared" si="6"/>
        <v>1744</v>
      </c>
      <c r="I57" s="1671">
        <f t="shared" si="6"/>
        <v>0</v>
      </c>
      <c r="J57" s="1671">
        <f t="shared" si="6"/>
        <v>0</v>
      </c>
      <c r="K57" s="1671">
        <f t="shared" si="6"/>
        <v>621603</v>
      </c>
      <c r="L57" s="1667">
        <f>SUM(L55:L56)</f>
        <v>623849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58772</v>
      </c>
      <c r="D60" s="466">
        <v>13104</v>
      </c>
      <c r="E60" s="466">
        <v>305</v>
      </c>
      <c r="F60" s="466">
        <v>1514</v>
      </c>
      <c r="G60" s="466">
        <v>0</v>
      </c>
      <c r="H60" s="466">
        <v>472</v>
      </c>
      <c r="I60" s="467">
        <v>0</v>
      </c>
      <c r="J60" s="467">
        <v>0</v>
      </c>
      <c r="K60" s="1669">
        <f t="shared" si="7"/>
        <v>74167</v>
      </c>
      <c r="L60" s="466">
        <v>75270</v>
      </c>
      <c r="M60" s="606"/>
      <c r="N60" s="606"/>
    </row>
    <row r="61" spans="1:14" s="343" customFormat="1" x14ac:dyDescent="0.2">
      <c r="A61" s="1501" t="s">
        <v>197</v>
      </c>
      <c r="B61" s="611">
        <v>2540</v>
      </c>
      <c r="C61" s="466">
        <v>423804</v>
      </c>
      <c r="D61" s="466">
        <v>124894</v>
      </c>
      <c r="E61" s="466">
        <v>105674</v>
      </c>
      <c r="F61" s="466">
        <v>0</v>
      </c>
      <c r="G61" s="466">
        <v>0</v>
      </c>
      <c r="H61" s="466">
        <v>0</v>
      </c>
      <c r="I61" s="467">
        <v>0</v>
      </c>
      <c r="J61" s="467">
        <v>0</v>
      </c>
      <c r="K61" s="1669">
        <f t="shared" si="7"/>
        <v>654372</v>
      </c>
      <c r="L61" s="466">
        <v>621811</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307390</v>
      </c>
      <c r="D63" s="466">
        <v>21799</v>
      </c>
      <c r="E63" s="466">
        <v>408</v>
      </c>
      <c r="F63" s="466">
        <v>274713</v>
      </c>
      <c r="G63" s="466">
        <v>10509</v>
      </c>
      <c r="H63" s="466">
        <v>2416</v>
      </c>
      <c r="I63" s="467">
        <v>0</v>
      </c>
      <c r="J63" s="467">
        <v>0</v>
      </c>
      <c r="K63" s="1669">
        <f t="shared" si="7"/>
        <v>617235</v>
      </c>
      <c r="L63" s="466">
        <v>638332</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789966</v>
      </c>
      <c r="D65" s="1667">
        <f t="shared" ref="D65:L65" si="8">SUM(D59:D64)</f>
        <v>159797</v>
      </c>
      <c r="E65" s="1667">
        <f t="shared" si="8"/>
        <v>106387</v>
      </c>
      <c r="F65" s="1667">
        <f t="shared" si="8"/>
        <v>276227</v>
      </c>
      <c r="G65" s="1667">
        <f t="shared" si="8"/>
        <v>10509</v>
      </c>
      <c r="H65" s="1667">
        <f t="shared" si="8"/>
        <v>2888</v>
      </c>
      <c r="I65" s="1667">
        <f t="shared" si="8"/>
        <v>0</v>
      </c>
      <c r="J65" s="1667">
        <f t="shared" si="8"/>
        <v>0</v>
      </c>
      <c r="K65" s="1667">
        <f t="shared" si="8"/>
        <v>1345774</v>
      </c>
      <c r="L65" s="1667">
        <f t="shared" si="8"/>
        <v>1335413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101351</v>
      </c>
      <c r="D71" s="466">
        <v>11277</v>
      </c>
      <c r="E71" s="466">
        <v>122268</v>
      </c>
      <c r="F71" s="466">
        <v>56731</v>
      </c>
      <c r="G71" s="466">
        <v>45377</v>
      </c>
      <c r="H71" s="466">
        <v>0</v>
      </c>
      <c r="I71" s="467">
        <v>0</v>
      </c>
      <c r="J71" s="467">
        <v>0</v>
      </c>
      <c r="K71" s="1669">
        <f>SUM(C71:J71)</f>
        <v>337004</v>
      </c>
      <c r="L71" s="466">
        <v>342533</v>
      </c>
      <c r="M71" s="606"/>
      <c r="N71" s="606"/>
    </row>
    <row r="72" spans="1:14" s="343" customFormat="1" ht="12.75" customHeight="1" thickBot="1" x14ac:dyDescent="0.25">
      <c r="A72" s="1665" t="s">
        <v>37</v>
      </c>
      <c r="B72" s="1672" t="s">
        <v>36</v>
      </c>
      <c r="C72" s="1667">
        <f>SUM(C67:C71)</f>
        <v>101351</v>
      </c>
      <c r="D72" s="1667">
        <f t="shared" ref="D72:K72" si="9">SUM(D67:D71)</f>
        <v>11277</v>
      </c>
      <c r="E72" s="1667">
        <f t="shared" si="9"/>
        <v>122268</v>
      </c>
      <c r="F72" s="1667">
        <f t="shared" si="9"/>
        <v>56731</v>
      </c>
      <c r="G72" s="1667">
        <f t="shared" si="9"/>
        <v>45377</v>
      </c>
      <c r="H72" s="1667">
        <f t="shared" si="9"/>
        <v>0</v>
      </c>
      <c r="I72" s="1667">
        <f t="shared" si="9"/>
        <v>0</v>
      </c>
      <c r="J72" s="1667">
        <f t="shared" si="9"/>
        <v>0</v>
      </c>
      <c r="K72" s="1667">
        <f t="shared" si="9"/>
        <v>337004</v>
      </c>
      <c r="L72" s="1667">
        <f>SUM(L67:L71)</f>
        <v>342533</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250</v>
      </c>
      <c r="M73" s="606"/>
      <c r="N73" s="606"/>
    </row>
    <row r="74" spans="1:14" ht="12.75" customHeight="1" thickTop="1" thickBot="1" x14ac:dyDescent="0.25">
      <c r="A74" s="1665" t="s">
        <v>811</v>
      </c>
      <c r="B74" s="1673">
        <v>2000</v>
      </c>
      <c r="C74" s="1674">
        <f>SUM(C42,C47,C53,C57,C65,C72,C73)</f>
        <v>1965487</v>
      </c>
      <c r="D74" s="1674">
        <f t="shared" ref="D74:K74" si="10">SUM(D42,D47,D53,D57,D65,D72,D73)</f>
        <v>412982</v>
      </c>
      <c r="E74" s="1674">
        <f t="shared" si="10"/>
        <v>385252</v>
      </c>
      <c r="F74" s="1674">
        <f t="shared" si="10"/>
        <v>396876</v>
      </c>
      <c r="G74" s="1674">
        <f t="shared" si="10"/>
        <v>73706</v>
      </c>
      <c r="H74" s="1674">
        <f t="shared" si="10"/>
        <v>13761</v>
      </c>
      <c r="I74" s="1674">
        <f t="shared" si="10"/>
        <v>0</v>
      </c>
      <c r="J74" s="1674">
        <f t="shared" si="10"/>
        <v>0</v>
      </c>
      <c r="K74" s="1674">
        <f t="shared" si="10"/>
        <v>3248064</v>
      </c>
      <c r="L74" s="1674">
        <f>SUM(L42,L47,L53,L57,L65,L72,L73)</f>
        <v>3233160</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17370</v>
      </c>
      <c r="F79" s="613"/>
      <c r="G79" s="613"/>
      <c r="H79" s="466">
        <v>981377</v>
      </c>
      <c r="I79" s="475"/>
      <c r="J79" s="475"/>
      <c r="K79" s="1668">
        <f t="shared" si="11"/>
        <v>998747</v>
      </c>
      <c r="L79" s="466">
        <v>1009452</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1367</v>
      </c>
      <c r="F81" s="613"/>
      <c r="G81" s="613"/>
      <c r="H81" s="466">
        <v>0</v>
      </c>
      <c r="I81" s="475"/>
      <c r="J81" s="475"/>
      <c r="K81" s="1668">
        <f t="shared" si="11"/>
        <v>1367</v>
      </c>
      <c r="L81" s="466">
        <v>1367</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18737</v>
      </c>
      <c r="F84" s="613"/>
      <c r="G84" s="613"/>
      <c r="H84" s="1667">
        <f>SUM(H78:H83)</f>
        <v>981377</v>
      </c>
      <c r="I84" s="475"/>
      <c r="J84" s="475"/>
      <c r="K84" s="1667">
        <f>SUM(K78:K83)</f>
        <v>1000114</v>
      </c>
      <c r="L84" s="1667">
        <f>SUM(L78:L83)</f>
        <v>1010819</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18737</v>
      </c>
      <c r="F102" s="613"/>
      <c r="G102" s="613"/>
      <c r="H102" s="1674">
        <f>SUM(H84,H92,H100,H101)</f>
        <v>981377</v>
      </c>
      <c r="I102" s="475"/>
      <c r="J102" s="475"/>
      <c r="K102" s="1674">
        <f>SUM(K84,K92,K100,K101)</f>
        <v>1000114</v>
      </c>
      <c r="L102" s="1674">
        <f>SUM(L84,L92,L100,L101)</f>
        <v>1010819</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6897523</v>
      </c>
      <c r="D114" s="1667">
        <f t="shared" ref="D114:K114" si="13">SUM(D33,D74,D75,D102,D112,D113)</f>
        <v>1647224</v>
      </c>
      <c r="E114" s="1667">
        <f t="shared" si="13"/>
        <v>480490</v>
      </c>
      <c r="F114" s="1667">
        <f t="shared" si="13"/>
        <v>515012</v>
      </c>
      <c r="G114" s="1667">
        <f t="shared" si="13"/>
        <v>104693</v>
      </c>
      <c r="H114" s="1667">
        <f>SUM(H33,H74,H75,H102,H112,H113)</f>
        <v>1161295</v>
      </c>
      <c r="I114" s="1667">
        <f t="shared" si="13"/>
        <v>0</v>
      </c>
      <c r="J114" s="1667">
        <f t="shared" si="13"/>
        <v>0</v>
      </c>
      <c r="K114" s="1667">
        <f t="shared" si="13"/>
        <v>10806237</v>
      </c>
      <c r="L114" s="1667">
        <f>SUM(L33,L74,L75,L102,L112,L113)</f>
        <v>10828376</v>
      </c>
    </row>
    <row r="115" spans="1:14" ht="13.5" thickTop="1" x14ac:dyDescent="0.2">
      <c r="A115" s="2176" t="s">
        <v>996</v>
      </c>
      <c r="B115" s="2177"/>
      <c r="C115" s="615"/>
      <c r="D115" s="615"/>
      <c r="E115" s="615"/>
      <c r="F115" s="615"/>
      <c r="G115" s="615"/>
      <c r="H115" s="615"/>
      <c r="I115" s="615"/>
      <c r="J115" s="615"/>
      <c r="K115" s="1681">
        <f>'Revenues 9-14'!C268-'Expenditures 15-22'!K114</f>
        <v>-1282497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1" t="s">
        <v>296</v>
      </c>
      <c r="B117" s="2182"/>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41553</v>
      </c>
      <c r="D124" s="466">
        <v>7429</v>
      </c>
      <c r="E124" s="466">
        <v>245391</v>
      </c>
      <c r="F124" s="466">
        <v>322857</v>
      </c>
      <c r="G124" s="466">
        <v>16449</v>
      </c>
      <c r="H124" s="466">
        <v>0</v>
      </c>
      <c r="I124" s="467">
        <v>0</v>
      </c>
      <c r="J124" s="467">
        <v>0</v>
      </c>
      <c r="K124" s="1667">
        <f>SUM(C124:J124)</f>
        <v>633679</v>
      </c>
      <c r="L124" s="466">
        <v>635315</v>
      </c>
    </row>
    <row r="125" spans="1:14" ht="14.25" thickTop="1" thickBot="1" x14ac:dyDescent="0.25">
      <c r="A125" s="1501" t="s">
        <v>953</v>
      </c>
      <c r="B125" s="611">
        <v>2550</v>
      </c>
      <c r="C125" s="466">
        <v>0</v>
      </c>
      <c r="D125" s="466">
        <v>0</v>
      </c>
      <c r="E125" s="466">
        <v>867</v>
      </c>
      <c r="F125" s="466">
        <v>8296</v>
      </c>
      <c r="G125" s="466">
        <v>0</v>
      </c>
      <c r="H125" s="466">
        <v>0</v>
      </c>
      <c r="I125" s="467">
        <v>0</v>
      </c>
      <c r="J125" s="467">
        <v>0</v>
      </c>
      <c r="K125" s="1667">
        <f>SUM(C125:J125)</f>
        <v>9163</v>
      </c>
      <c r="L125" s="466">
        <v>9938</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41553</v>
      </c>
      <c r="D127" s="1667">
        <f t="shared" ref="D127:L127" si="14">SUM(D122:D126)</f>
        <v>7429</v>
      </c>
      <c r="E127" s="1667">
        <f t="shared" si="14"/>
        <v>246258</v>
      </c>
      <c r="F127" s="1667">
        <f t="shared" si="14"/>
        <v>331153</v>
      </c>
      <c r="G127" s="1667">
        <f t="shared" si="14"/>
        <v>16449</v>
      </c>
      <c r="H127" s="1667">
        <f t="shared" si="14"/>
        <v>0</v>
      </c>
      <c r="I127" s="1667">
        <f t="shared" si="14"/>
        <v>0</v>
      </c>
      <c r="J127" s="1667">
        <f t="shared" si="14"/>
        <v>0</v>
      </c>
      <c r="K127" s="1667">
        <f t="shared" si="14"/>
        <v>642842</v>
      </c>
      <c r="L127" s="1667">
        <f t="shared" si="14"/>
        <v>645253</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41553</v>
      </c>
      <c r="D129" s="1674">
        <f t="shared" ref="D129:L129" si="15">SUM(D120,D127,D128)</f>
        <v>7429</v>
      </c>
      <c r="E129" s="1674">
        <f t="shared" si="15"/>
        <v>246258</v>
      </c>
      <c r="F129" s="1674">
        <f t="shared" si="15"/>
        <v>331153</v>
      </c>
      <c r="G129" s="1674">
        <f t="shared" si="15"/>
        <v>16449</v>
      </c>
      <c r="H129" s="1674">
        <f t="shared" si="15"/>
        <v>0</v>
      </c>
      <c r="I129" s="1674">
        <f t="shared" si="15"/>
        <v>0</v>
      </c>
      <c r="J129" s="1674">
        <f t="shared" si="15"/>
        <v>0</v>
      </c>
      <c r="K129" s="1674">
        <f t="shared" si="15"/>
        <v>642842</v>
      </c>
      <c r="L129" s="1674">
        <f t="shared" si="15"/>
        <v>645253</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3" t="s">
        <v>620</v>
      </c>
      <c r="B151" s="2173"/>
      <c r="C151" s="1667">
        <f>SUM(C129,C130,C139,C149,C150)</f>
        <v>41553</v>
      </c>
      <c r="D151" s="1667">
        <f t="shared" ref="D151:K151" si="16">SUM(D129,D130,D139,D149,D150)</f>
        <v>7429</v>
      </c>
      <c r="E151" s="1667">
        <f t="shared" si="16"/>
        <v>246258</v>
      </c>
      <c r="F151" s="1667">
        <f t="shared" si="16"/>
        <v>331153</v>
      </c>
      <c r="G151" s="1667">
        <f t="shared" si="16"/>
        <v>16449</v>
      </c>
      <c r="H151" s="1667">
        <f t="shared" si="16"/>
        <v>0</v>
      </c>
      <c r="I151" s="1667">
        <f t="shared" si="16"/>
        <v>0</v>
      </c>
      <c r="J151" s="1667">
        <f t="shared" si="16"/>
        <v>0</v>
      </c>
      <c r="K151" s="1667">
        <f t="shared" si="16"/>
        <v>642842</v>
      </c>
      <c r="L151" s="1667">
        <f>SUM(L129,L130,L139,L149,L150)</f>
        <v>645253</v>
      </c>
    </row>
    <row r="152" spans="1:14" ht="12.75" customHeight="1" thickTop="1" x14ac:dyDescent="0.2">
      <c r="A152" s="2196" t="s">
        <v>1178</v>
      </c>
      <c r="B152" s="2197"/>
      <c r="C152" s="615"/>
      <c r="D152" s="615"/>
      <c r="E152" s="615"/>
      <c r="F152" s="615"/>
      <c r="G152" s="615"/>
      <c r="H152" s="615"/>
      <c r="I152" s="615"/>
      <c r="J152" s="613"/>
      <c r="K152" s="1681">
        <f>'Revenues 9-14'!D268-'Expenditures 15-22'!K151</f>
        <v>83136</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1" t="s">
        <v>621</v>
      </c>
      <c r="B154" s="2183"/>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956697</v>
      </c>
      <c r="I169" s="613"/>
      <c r="J169" s="613"/>
      <c r="K169" s="1668">
        <f>SUM(C169:H169)</f>
        <v>956697</v>
      </c>
      <c r="L169" s="653">
        <v>956697</v>
      </c>
    </row>
    <row r="170" spans="1:14" ht="33.75" customHeight="1" x14ac:dyDescent="0.2">
      <c r="A170" s="666" t="s">
        <v>1670</v>
      </c>
      <c r="B170" s="668" t="s">
        <v>31</v>
      </c>
      <c r="C170" s="613"/>
      <c r="D170" s="613"/>
      <c r="E170" s="613"/>
      <c r="F170" s="613"/>
      <c r="G170" s="613"/>
      <c r="H170" s="566">
        <v>635009</v>
      </c>
      <c r="I170" s="613"/>
      <c r="J170" s="613"/>
      <c r="K170" s="1668">
        <f>SUM(C170:J170)</f>
        <v>635009</v>
      </c>
      <c r="L170" s="566">
        <v>635009</v>
      </c>
    </row>
    <row r="171" spans="1:14" ht="15.75" customHeight="1" x14ac:dyDescent="0.2">
      <c r="A171" s="618" t="s">
        <v>766</v>
      </c>
      <c r="B171" s="669" t="s">
        <v>84</v>
      </c>
      <c r="C171" s="613"/>
      <c r="D171" s="613"/>
      <c r="E171" s="466">
        <v>0</v>
      </c>
      <c r="F171" s="613"/>
      <c r="G171" s="613"/>
      <c r="H171" s="566">
        <v>1500</v>
      </c>
      <c r="I171" s="475"/>
      <c r="J171" s="613"/>
      <c r="K171" s="1668">
        <f>SUM(C171:J171)</f>
        <v>1500</v>
      </c>
      <c r="L171" s="566">
        <v>1500</v>
      </c>
    </row>
    <row r="172" spans="1:14" ht="12.75" customHeight="1" thickBot="1" x14ac:dyDescent="0.25">
      <c r="A172" s="1665" t="s">
        <v>638</v>
      </c>
      <c r="B172" s="1666" t="s">
        <v>492</v>
      </c>
      <c r="C172" s="613"/>
      <c r="D172" s="613"/>
      <c r="E172" s="1674">
        <f>SUM(E168,E169,E170,E171)</f>
        <v>0</v>
      </c>
      <c r="F172" s="613"/>
      <c r="G172" s="613"/>
      <c r="H172" s="1674">
        <f>SUM(H168,H169,H170,H171)</f>
        <v>1593206</v>
      </c>
      <c r="I172" s="635"/>
      <c r="J172" s="613"/>
      <c r="K172" s="1674">
        <f>SUM(K168,K169,K170,K171)</f>
        <v>1593206</v>
      </c>
      <c r="L172" s="1674">
        <f>SUM(L168,L169,L170,L171)</f>
        <v>1593206</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1593206</v>
      </c>
      <c r="I174" s="635"/>
      <c r="J174" s="613"/>
      <c r="K174" s="1674">
        <f>SUM(K160,K172,K173)</f>
        <v>1593206</v>
      </c>
      <c r="L174" s="1674">
        <f>SUM(L160,L172,L173)</f>
        <v>1593206</v>
      </c>
    </row>
    <row r="175" spans="1:14" ht="13.5" thickTop="1" x14ac:dyDescent="0.2">
      <c r="A175" s="2176" t="s">
        <v>996</v>
      </c>
      <c r="B175" s="2177"/>
      <c r="C175" s="613"/>
      <c r="D175" s="613"/>
      <c r="E175" s="613"/>
      <c r="F175" s="613"/>
      <c r="G175" s="613"/>
      <c r="H175" s="615"/>
      <c r="I175" s="613"/>
      <c r="J175" s="613"/>
      <c r="K175" s="1681">
        <f>'Revenues 9-14'!E268-'Expenditures 15-22'!K174</f>
        <v>-222351</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1371839</v>
      </c>
      <c r="F182" s="466">
        <v>94232</v>
      </c>
      <c r="G182" s="466">
        <v>0</v>
      </c>
      <c r="H182" s="466">
        <v>100</v>
      </c>
      <c r="I182" s="467">
        <v>0</v>
      </c>
      <c r="J182" s="467">
        <v>0</v>
      </c>
      <c r="K182" s="1668">
        <f>SUM(C182:J182)</f>
        <v>1466171</v>
      </c>
      <c r="L182" s="466">
        <v>1459878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1371839</v>
      </c>
      <c r="F184" s="1674">
        <f t="shared" si="17"/>
        <v>94232</v>
      </c>
      <c r="G184" s="1674">
        <f t="shared" si="17"/>
        <v>0</v>
      </c>
      <c r="H184" s="1674">
        <f t="shared" si="17"/>
        <v>100</v>
      </c>
      <c r="I184" s="1674">
        <f t="shared" si="17"/>
        <v>0</v>
      </c>
      <c r="J184" s="1674">
        <f t="shared" si="17"/>
        <v>0</v>
      </c>
      <c r="K184" s="1674">
        <f>SUM(K180,K182,K183)</f>
        <v>1466171</v>
      </c>
      <c r="L184" s="1674">
        <f>SUM(L180, L182:L183)</f>
        <v>1459878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1371839</v>
      </c>
      <c r="F210" s="1667">
        <f>SUM(F184,F185)</f>
        <v>94232</v>
      </c>
      <c r="G210" s="1667">
        <f>SUM(G184,G185)</f>
        <v>0</v>
      </c>
      <c r="H210" s="1667">
        <f>SUM(H184,H185,H196,H208,H209)</f>
        <v>100</v>
      </c>
      <c r="I210" s="1667">
        <f>SUM(I184,I185)</f>
        <v>0</v>
      </c>
      <c r="J210" s="1667">
        <f>SUM(J184,J185)</f>
        <v>0</v>
      </c>
      <c r="K210" s="1668">
        <f>SUM(K184,K185,K196,K208,K209)</f>
        <v>1466171</v>
      </c>
      <c r="L210" s="1667">
        <f>SUM(L184,L185,L196,L208,L209)</f>
        <v>1459878</v>
      </c>
    </row>
    <row r="211" spans="1:14" ht="13.5" thickTop="1" x14ac:dyDescent="0.2">
      <c r="A211" s="2176" t="s">
        <v>996</v>
      </c>
      <c r="B211" s="2177"/>
      <c r="C211" s="615"/>
      <c r="D211" s="615"/>
      <c r="E211" s="615"/>
      <c r="F211" s="615"/>
      <c r="G211" s="615"/>
      <c r="H211" s="615"/>
      <c r="I211" s="613"/>
      <c r="J211" s="613"/>
      <c r="K211" s="1681">
        <f>'Revenues 9-14'!F268-'Expenditures 15-22'!K210</f>
        <v>-46418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8" t="s">
        <v>965</v>
      </c>
      <c r="B213" s="2199"/>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63079</v>
      </c>
      <c r="E215" s="613"/>
      <c r="F215" s="613"/>
      <c r="G215" s="613"/>
      <c r="H215" s="613"/>
      <c r="I215" s="613"/>
      <c r="J215" s="613"/>
      <c r="K215" s="1668">
        <f>D215</f>
        <v>63079</v>
      </c>
      <c r="L215" s="466">
        <v>63467</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27520</v>
      </c>
      <c r="E217" s="613"/>
      <c r="F217" s="613"/>
      <c r="G217" s="613"/>
      <c r="H217" s="613"/>
      <c r="I217" s="613"/>
      <c r="J217" s="613"/>
      <c r="K217" s="1668">
        <f t="shared" si="19"/>
        <v>27520</v>
      </c>
      <c r="L217" s="466">
        <v>28914</v>
      </c>
    </row>
    <row r="218" spans="1:14" x14ac:dyDescent="0.2">
      <c r="A218" s="1501" t="s">
        <v>278</v>
      </c>
      <c r="B218" s="611" t="s">
        <v>968</v>
      </c>
      <c r="C218" s="613"/>
      <c r="D218" s="467">
        <v>6026</v>
      </c>
      <c r="E218" s="613"/>
      <c r="F218" s="613"/>
      <c r="G218" s="613"/>
      <c r="H218" s="613"/>
      <c r="I218" s="613"/>
      <c r="J218" s="613"/>
      <c r="K218" s="1668">
        <f t="shared" si="19"/>
        <v>6026</v>
      </c>
      <c r="L218" s="466">
        <v>6051</v>
      </c>
    </row>
    <row r="219" spans="1:14" x14ac:dyDescent="0.2">
      <c r="A219" s="1501" t="s">
        <v>279</v>
      </c>
      <c r="B219" s="611">
        <v>1250</v>
      </c>
      <c r="C219" s="613"/>
      <c r="D219" s="466">
        <v>29505</v>
      </c>
      <c r="E219" s="613"/>
      <c r="F219" s="613"/>
      <c r="G219" s="613"/>
      <c r="H219" s="613"/>
      <c r="I219" s="613"/>
      <c r="J219" s="613"/>
      <c r="K219" s="1668">
        <f t="shared" si="19"/>
        <v>29505</v>
      </c>
      <c r="L219" s="466">
        <v>30596</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2378</v>
      </c>
      <c r="E222" s="613"/>
      <c r="F222" s="613"/>
      <c r="G222" s="613"/>
      <c r="H222" s="613"/>
      <c r="I222" s="613"/>
      <c r="J222" s="613"/>
      <c r="K222" s="1668">
        <f t="shared" si="19"/>
        <v>2378</v>
      </c>
      <c r="L222" s="466">
        <v>2311</v>
      </c>
    </row>
    <row r="223" spans="1:14" x14ac:dyDescent="0.2">
      <c r="A223" s="1501" t="s">
        <v>963</v>
      </c>
      <c r="B223" s="611">
        <v>1500</v>
      </c>
      <c r="C223" s="613"/>
      <c r="D223" s="466">
        <v>2063</v>
      </c>
      <c r="E223" s="613"/>
      <c r="F223" s="613"/>
      <c r="G223" s="613"/>
      <c r="H223" s="613"/>
      <c r="I223" s="613"/>
      <c r="J223" s="613"/>
      <c r="K223" s="1668">
        <f t="shared" si="19"/>
        <v>2063</v>
      </c>
      <c r="L223" s="466">
        <v>2062</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552</v>
      </c>
      <c r="E226" s="613"/>
      <c r="F226" s="613"/>
      <c r="G226" s="613"/>
      <c r="H226" s="613"/>
      <c r="I226" s="613"/>
      <c r="J226" s="613"/>
      <c r="K226" s="1668">
        <f t="shared" si="19"/>
        <v>552</v>
      </c>
      <c r="L226" s="466">
        <v>552</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131123</v>
      </c>
      <c r="E229" s="613"/>
      <c r="F229" s="613"/>
      <c r="G229" s="613"/>
      <c r="H229" s="613"/>
      <c r="I229" s="613"/>
      <c r="J229" s="613"/>
      <c r="K229" s="1667">
        <f>SUM(K215:K228)</f>
        <v>131123</v>
      </c>
      <c r="L229" s="1667">
        <f>SUM(L215:L228)</f>
        <v>133953</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676</v>
      </c>
      <c r="E232" s="613"/>
      <c r="F232" s="613"/>
      <c r="G232" s="613"/>
      <c r="H232" s="613"/>
      <c r="I232" s="613"/>
      <c r="J232" s="613"/>
      <c r="K232" s="1668">
        <f t="shared" ref="K232:K237" si="20">D232</f>
        <v>676</v>
      </c>
      <c r="L232" s="466">
        <v>628</v>
      </c>
    </row>
    <row r="233" spans="1:12" x14ac:dyDescent="0.2">
      <c r="A233" s="1501" t="s">
        <v>1090</v>
      </c>
      <c r="B233" s="611">
        <v>2120</v>
      </c>
      <c r="C233" s="613"/>
      <c r="D233" s="466">
        <v>692</v>
      </c>
      <c r="E233" s="613"/>
      <c r="F233" s="613"/>
      <c r="G233" s="613"/>
      <c r="H233" s="613"/>
      <c r="I233" s="613"/>
      <c r="J233" s="613"/>
      <c r="K233" s="1668">
        <f t="shared" si="20"/>
        <v>692</v>
      </c>
      <c r="L233" s="466">
        <v>692</v>
      </c>
    </row>
    <row r="234" spans="1:12" x14ac:dyDescent="0.2">
      <c r="A234" s="1501" t="s">
        <v>198</v>
      </c>
      <c r="B234" s="611">
        <v>2130</v>
      </c>
      <c r="C234" s="613"/>
      <c r="D234" s="466">
        <v>12246</v>
      </c>
      <c r="E234" s="613"/>
      <c r="F234" s="613"/>
      <c r="G234" s="613"/>
      <c r="H234" s="613"/>
      <c r="I234" s="613"/>
      <c r="J234" s="613"/>
      <c r="K234" s="1668">
        <f t="shared" si="20"/>
        <v>12246</v>
      </c>
      <c r="L234" s="466">
        <v>12241</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13614</v>
      </c>
      <c r="E238" s="613"/>
      <c r="F238" s="613"/>
      <c r="G238" s="613"/>
      <c r="H238" s="613"/>
      <c r="I238" s="613"/>
      <c r="J238" s="613"/>
      <c r="K238" s="1667">
        <f>SUM(K232:K237)</f>
        <v>13614</v>
      </c>
      <c r="L238" s="1667">
        <f>SUM(L232:L237)</f>
        <v>13561</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252</v>
      </c>
      <c r="E240" s="613"/>
      <c r="F240" s="613"/>
      <c r="G240" s="613"/>
      <c r="H240" s="613"/>
      <c r="I240" s="613"/>
      <c r="J240" s="613"/>
      <c r="K240" s="1669">
        <f>D240</f>
        <v>252</v>
      </c>
      <c r="L240" s="479">
        <v>210</v>
      </c>
    </row>
    <row r="241" spans="1:12" x14ac:dyDescent="0.2">
      <c r="A241" s="1501" t="s">
        <v>815</v>
      </c>
      <c r="B241" s="611">
        <v>2220</v>
      </c>
      <c r="C241" s="613"/>
      <c r="D241" s="466">
        <v>13051</v>
      </c>
      <c r="E241" s="613"/>
      <c r="F241" s="613"/>
      <c r="G241" s="613"/>
      <c r="H241" s="613"/>
      <c r="I241" s="613"/>
      <c r="J241" s="613"/>
      <c r="K241" s="1669">
        <f>D241</f>
        <v>13051</v>
      </c>
      <c r="L241" s="466">
        <v>13340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13303</v>
      </c>
      <c r="E243" s="613"/>
      <c r="F243" s="613"/>
      <c r="G243" s="613"/>
      <c r="H243" s="613"/>
      <c r="I243" s="613"/>
      <c r="J243" s="613"/>
      <c r="K243" s="1667">
        <f>SUM(K240:K242)</f>
        <v>13303</v>
      </c>
      <c r="L243" s="1667">
        <f>SUM(L240:L242)</f>
        <v>13550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8697</v>
      </c>
      <c r="E245" s="613"/>
      <c r="F245" s="613"/>
      <c r="G245" s="613"/>
      <c r="H245" s="613"/>
      <c r="I245" s="613"/>
      <c r="J245" s="613"/>
      <c r="K245" s="1669">
        <f>D245</f>
        <v>8697</v>
      </c>
      <c r="L245" s="479">
        <v>8680</v>
      </c>
    </row>
    <row r="246" spans="1:12" x14ac:dyDescent="0.2">
      <c r="A246" s="1501" t="s">
        <v>818</v>
      </c>
      <c r="B246" s="611">
        <v>2320</v>
      </c>
      <c r="C246" s="613"/>
      <c r="D246" s="466">
        <v>22499</v>
      </c>
      <c r="E246" s="613"/>
      <c r="F246" s="613"/>
      <c r="G246" s="613"/>
      <c r="H246" s="613"/>
      <c r="I246" s="613"/>
      <c r="J246" s="613"/>
      <c r="K246" s="1669">
        <f t="shared" ref="K246:K256" si="21">D246</f>
        <v>22499</v>
      </c>
      <c r="L246" s="466">
        <v>22339</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31196</v>
      </c>
      <c r="E257" s="613"/>
      <c r="F257" s="613"/>
      <c r="G257" s="613"/>
      <c r="H257" s="613"/>
      <c r="I257" s="613"/>
      <c r="J257" s="613"/>
      <c r="K257" s="1667">
        <f>SUM(K245:K256)</f>
        <v>31196</v>
      </c>
      <c r="L257" s="1667">
        <f>SUM(L245:L256)</f>
        <v>31019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46667</v>
      </c>
      <c r="E259" s="613"/>
      <c r="F259" s="613"/>
      <c r="G259" s="613"/>
      <c r="H259" s="613"/>
      <c r="I259" s="613"/>
      <c r="J259" s="613"/>
      <c r="K259" s="1669">
        <f>D259</f>
        <v>46667</v>
      </c>
      <c r="L259" s="479">
        <v>46856</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46667</v>
      </c>
      <c r="E261" s="613"/>
      <c r="F261" s="613"/>
      <c r="G261" s="613"/>
      <c r="H261" s="613"/>
      <c r="I261" s="613"/>
      <c r="J261" s="613"/>
      <c r="K261" s="1667">
        <f>SUM(K259:K260)</f>
        <v>46667</v>
      </c>
      <c r="L261" s="1667">
        <f>SUM(L259:L260)</f>
        <v>46856</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10506</v>
      </c>
      <c r="E264" s="613"/>
      <c r="F264" s="613"/>
      <c r="G264" s="613"/>
      <c r="H264" s="613"/>
      <c r="I264" s="613"/>
      <c r="J264" s="613"/>
      <c r="K264" s="1669">
        <f t="shared" ref="K264:K269" si="22">D264</f>
        <v>10506</v>
      </c>
      <c r="L264" s="466">
        <v>10507</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88111</v>
      </c>
      <c r="E266" s="613"/>
      <c r="F266" s="613"/>
      <c r="G266" s="613"/>
      <c r="H266" s="613"/>
      <c r="I266" s="613"/>
      <c r="J266" s="613"/>
      <c r="K266" s="1669">
        <f t="shared" si="22"/>
        <v>88111</v>
      </c>
      <c r="L266" s="466">
        <v>88089</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56307</v>
      </c>
      <c r="E268" s="613"/>
      <c r="F268" s="613"/>
      <c r="G268" s="613"/>
      <c r="H268" s="613"/>
      <c r="I268" s="613"/>
      <c r="J268" s="613"/>
      <c r="K268" s="1669">
        <f t="shared" si="22"/>
        <v>56307</v>
      </c>
      <c r="L268" s="466">
        <v>58306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154924</v>
      </c>
      <c r="E270" s="613"/>
      <c r="F270" s="613"/>
      <c r="G270" s="613"/>
      <c r="H270" s="613"/>
      <c r="I270" s="613"/>
      <c r="J270" s="613"/>
      <c r="K270" s="1667">
        <f>SUM(K263:K269)</f>
        <v>154924</v>
      </c>
      <c r="L270" s="1667">
        <f>SUM(L263:L269)</f>
        <v>156902</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19272</v>
      </c>
      <c r="E276" s="613"/>
      <c r="F276" s="613"/>
      <c r="G276" s="613"/>
      <c r="H276" s="613"/>
      <c r="I276" s="613"/>
      <c r="J276" s="613"/>
      <c r="K276" s="1669">
        <f>D276</f>
        <v>19272</v>
      </c>
      <c r="L276" s="466">
        <v>19272</v>
      </c>
    </row>
    <row r="277" spans="1:12" ht="12.75" customHeight="1" thickBot="1" x14ac:dyDescent="0.25">
      <c r="A277" s="1688" t="s">
        <v>37</v>
      </c>
      <c r="B277" s="1666" t="s">
        <v>36</v>
      </c>
      <c r="C277" s="613"/>
      <c r="D277" s="1667">
        <f>SUM(D272:D276)</f>
        <v>19272</v>
      </c>
      <c r="E277" s="613"/>
      <c r="F277" s="613"/>
      <c r="G277" s="613"/>
      <c r="H277" s="613"/>
      <c r="I277" s="613"/>
      <c r="J277" s="613"/>
      <c r="K277" s="1667">
        <f>SUM(K272:K276)</f>
        <v>19272</v>
      </c>
      <c r="L277" s="1667">
        <f>SUM(L272:L276)</f>
        <v>19272</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278976</v>
      </c>
      <c r="E279" s="613"/>
      <c r="F279" s="613"/>
      <c r="G279" s="613"/>
      <c r="H279" s="613"/>
      <c r="I279" s="613"/>
      <c r="J279" s="613"/>
      <c r="K279" s="1674">
        <f>SUM(K238,K243,K257,K261,K270,K277,K278)</f>
        <v>278976</v>
      </c>
      <c r="L279" s="1674">
        <f>SUM(L238,L243,L257,L261,L270,L277,L278)</f>
        <v>281160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4" t="s">
        <v>505</v>
      </c>
      <c r="B295" s="2195"/>
      <c r="C295" s="613"/>
      <c r="D295" s="1667">
        <f>SUM(D229,D279,D280,D285)</f>
        <v>410099</v>
      </c>
      <c r="E295" s="613"/>
      <c r="F295" s="613"/>
      <c r="G295" s="613"/>
      <c r="H295" s="1667">
        <f>H293</f>
        <v>0</v>
      </c>
      <c r="I295" s="613"/>
      <c r="J295" s="613"/>
      <c r="K295" s="1667">
        <f>SUM(K229,K279,K280,K285,K293,K294)</f>
        <v>410099</v>
      </c>
      <c r="L295" s="1667">
        <f>SUM(L229,L279,L280,L285,L293,L294)</f>
        <v>415113</v>
      </c>
    </row>
    <row r="296" spans="1:14" ht="13.5" thickTop="1" x14ac:dyDescent="0.2">
      <c r="A296" s="2176" t="s">
        <v>996</v>
      </c>
      <c r="B296" s="2177"/>
      <c r="C296" s="613"/>
      <c r="D296" s="615"/>
      <c r="E296" s="613"/>
      <c r="F296" s="613"/>
      <c r="G296" s="613"/>
      <c r="H296" s="684"/>
      <c r="I296" s="613"/>
      <c r="J296" s="613"/>
      <c r="K296" s="1681">
        <f>'Revenues 9-14'!G268-'Expenditures 15-22'!K295</f>
        <v>-10026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6" t="s">
        <v>143</v>
      </c>
      <c r="B298" s="2180"/>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656480</v>
      </c>
      <c r="F301" s="466">
        <v>10392</v>
      </c>
      <c r="G301" s="466">
        <v>42324</v>
      </c>
      <c r="H301" s="466">
        <v>0</v>
      </c>
      <c r="I301" s="467">
        <v>0</v>
      </c>
      <c r="J301" s="467">
        <v>0</v>
      </c>
      <c r="K301" s="1668">
        <f>SUM(C301:J301)</f>
        <v>709196</v>
      </c>
      <c r="L301" s="467">
        <v>786113</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656480</v>
      </c>
      <c r="F303" s="1674">
        <f t="shared" si="23"/>
        <v>10392</v>
      </c>
      <c r="G303" s="1674">
        <f t="shared" si="23"/>
        <v>42324</v>
      </c>
      <c r="H303" s="1674">
        <f t="shared" si="23"/>
        <v>0</v>
      </c>
      <c r="I303" s="1674">
        <f t="shared" si="23"/>
        <v>0</v>
      </c>
      <c r="J303" s="1674">
        <f t="shared" si="23"/>
        <v>0</v>
      </c>
      <c r="K303" s="1674">
        <f t="shared" si="23"/>
        <v>709196</v>
      </c>
      <c r="L303" s="1674">
        <f t="shared" si="23"/>
        <v>786113</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91" t="s">
        <v>277</v>
      </c>
      <c r="B312" s="2192"/>
      <c r="C312" s="1667">
        <f>SUM(C303)</f>
        <v>0</v>
      </c>
      <c r="D312" s="1667">
        <f>SUM(D303)</f>
        <v>0</v>
      </c>
      <c r="E312" s="1667">
        <f>SUM(E303,E310)</f>
        <v>656480</v>
      </c>
      <c r="F312" s="1667">
        <f>SUM(F303)</f>
        <v>10392</v>
      </c>
      <c r="G312" s="1667">
        <f>SUM(G303)</f>
        <v>42324</v>
      </c>
      <c r="H312" s="1667">
        <f>SUM(H303,H310)</f>
        <v>0</v>
      </c>
      <c r="I312" s="1667">
        <f>SUM(I303)</f>
        <v>0</v>
      </c>
      <c r="J312" s="1667">
        <f>SUM(J303)</f>
        <v>0</v>
      </c>
      <c r="K312" s="1667">
        <f>SUM(K303,K310,K311)</f>
        <v>709196</v>
      </c>
      <c r="L312" s="1667">
        <f>SUM(L303,L310,L311)</f>
        <v>786113</v>
      </c>
      <c r="M312" s="662"/>
      <c r="N312" s="662"/>
    </row>
    <row r="313" spans="1:14" ht="13.5" thickTop="1" x14ac:dyDescent="0.2">
      <c r="A313" s="2187" t="s">
        <v>996</v>
      </c>
      <c r="B313" s="2188"/>
      <c r="C313" s="623"/>
      <c r="D313" s="623"/>
      <c r="E313" s="623"/>
      <c r="F313" s="623"/>
      <c r="G313" s="623"/>
      <c r="H313" s="623"/>
      <c r="I313" s="623"/>
      <c r="J313" s="623"/>
      <c r="K313" s="1682">
        <f>'Revenues 9-14'!H268-'Expenditures 15-22'!K312</f>
        <v>-125351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0" t="s">
        <v>149</v>
      </c>
      <c r="B315" s="2201"/>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2" t="s">
        <v>898</v>
      </c>
      <c r="B317" s="2201"/>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49250</v>
      </c>
      <c r="F320" s="467">
        <v>0</v>
      </c>
      <c r="G320" s="467">
        <v>0</v>
      </c>
      <c r="H320" s="467">
        <v>0</v>
      </c>
      <c r="I320" s="467">
        <v>0</v>
      </c>
      <c r="J320" s="467">
        <v>0</v>
      </c>
      <c r="K320" s="1668">
        <f t="shared" ref="K320:K327" si="24">SUM(C320:J320)</f>
        <v>49250</v>
      </c>
      <c r="L320" s="467">
        <v>49250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86960</v>
      </c>
      <c r="F322" s="467">
        <v>0</v>
      </c>
      <c r="G322" s="467">
        <v>0</v>
      </c>
      <c r="H322" s="467">
        <v>0</v>
      </c>
      <c r="I322" s="467">
        <v>0</v>
      </c>
      <c r="J322" s="467">
        <v>0</v>
      </c>
      <c r="K322" s="1668">
        <f t="shared" si="24"/>
        <v>86960</v>
      </c>
      <c r="L322" s="467">
        <v>86960</v>
      </c>
      <c r="M322" s="662"/>
      <c r="N322" s="662"/>
    </row>
    <row r="323" spans="1:14" s="671" customFormat="1" x14ac:dyDescent="0.2">
      <c r="A323" s="1516" t="s">
        <v>702</v>
      </c>
      <c r="B323" s="694" t="s">
        <v>285</v>
      </c>
      <c r="C323" s="467">
        <v>0</v>
      </c>
      <c r="D323" s="467">
        <v>0</v>
      </c>
      <c r="E323" s="467">
        <v>5446</v>
      </c>
      <c r="F323" s="467">
        <v>0</v>
      </c>
      <c r="G323" s="467">
        <v>0</v>
      </c>
      <c r="H323" s="467">
        <v>0</v>
      </c>
      <c r="I323" s="467">
        <v>0</v>
      </c>
      <c r="J323" s="467">
        <v>0</v>
      </c>
      <c r="K323" s="1668">
        <f t="shared" si="24"/>
        <v>5446</v>
      </c>
      <c r="L323" s="467">
        <v>6000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199067</v>
      </c>
      <c r="D325" s="467">
        <v>0</v>
      </c>
      <c r="E325" s="467">
        <v>78976</v>
      </c>
      <c r="F325" s="467">
        <v>23325</v>
      </c>
      <c r="G325" s="467">
        <v>33773</v>
      </c>
      <c r="H325" s="467">
        <v>0</v>
      </c>
      <c r="I325" s="467">
        <v>0</v>
      </c>
      <c r="J325" s="467">
        <v>0</v>
      </c>
      <c r="K325" s="1668">
        <f t="shared" si="24"/>
        <v>335141</v>
      </c>
      <c r="L325" s="467">
        <v>361812</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21439</v>
      </c>
      <c r="F329" s="473">
        <v>0</v>
      </c>
      <c r="G329" s="473">
        <v>0</v>
      </c>
      <c r="H329" s="473">
        <v>0</v>
      </c>
      <c r="I329" s="473">
        <v>0</v>
      </c>
      <c r="J329" s="473">
        <v>0</v>
      </c>
      <c r="K329" s="1696">
        <f>SUM(C329:J329)</f>
        <v>21439</v>
      </c>
      <c r="L329" s="473">
        <v>21439</v>
      </c>
      <c r="M329" s="662"/>
      <c r="N329" s="662"/>
    </row>
    <row r="330" spans="1:14" s="671" customFormat="1" ht="12.75" customHeight="1" thickBot="1" x14ac:dyDescent="0.25">
      <c r="A330" s="1697" t="s">
        <v>717</v>
      </c>
      <c r="B330" s="1666" t="s">
        <v>569</v>
      </c>
      <c r="C330" s="1667">
        <f>SUM(C319:C329)</f>
        <v>199067</v>
      </c>
      <c r="D330" s="1667">
        <f t="shared" ref="D330:J330" si="25">SUM(D319:D329)</f>
        <v>0</v>
      </c>
      <c r="E330" s="1667">
        <f t="shared" si="25"/>
        <v>242071</v>
      </c>
      <c r="F330" s="1667">
        <f t="shared" si="25"/>
        <v>23325</v>
      </c>
      <c r="G330" s="1667">
        <f t="shared" si="25"/>
        <v>33773</v>
      </c>
      <c r="H330" s="1667">
        <f t="shared" si="25"/>
        <v>0</v>
      </c>
      <c r="I330" s="1667">
        <f t="shared" si="25"/>
        <v>0</v>
      </c>
      <c r="J330" s="1667">
        <f t="shared" si="25"/>
        <v>0</v>
      </c>
      <c r="K330" s="1667">
        <f>SUM(K319:K329)</f>
        <v>498236</v>
      </c>
      <c r="L330" s="1667">
        <f>SUM(L319:L329)</f>
        <v>525461</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199067</v>
      </c>
      <c r="D342" s="1667">
        <f>SUM(D330)</f>
        <v>0</v>
      </c>
      <c r="E342" s="1667">
        <f>SUM(E330)</f>
        <v>242071</v>
      </c>
      <c r="F342" s="1667">
        <f>SUM(F330)</f>
        <v>23325</v>
      </c>
      <c r="G342" s="1667">
        <f>SUM(G330)</f>
        <v>33773</v>
      </c>
      <c r="H342" s="1667">
        <f>SUM(H330,H334,H340)</f>
        <v>0</v>
      </c>
      <c r="I342" s="1667">
        <f>SUM(I330)</f>
        <v>0</v>
      </c>
      <c r="J342" s="1667">
        <f>SUM(J330)</f>
        <v>0</v>
      </c>
      <c r="K342" s="1667">
        <f>SUM(K330,K334,K340)</f>
        <v>498236</v>
      </c>
      <c r="L342" s="1674">
        <f>SUM(L330,L340,L341)</f>
        <v>525461</v>
      </c>
    </row>
    <row r="343" spans="1:14" ht="12.75" customHeight="1" thickTop="1" x14ac:dyDescent="0.2">
      <c r="A343" s="2189" t="s">
        <v>996</v>
      </c>
      <c r="B343" s="2190"/>
      <c r="C343" s="613"/>
      <c r="D343" s="613"/>
      <c r="E343" s="613"/>
      <c r="F343" s="613"/>
      <c r="G343" s="613"/>
      <c r="H343" s="613"/>
      <c r="I343" s="613"/>
      <c r="J343" s="613"/>
      <c r="K343" s="1681">
        <f>'Revenues 9-14'!J268-'Expenditures 15-22'!K342</f>
        <v>-28880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9" t="s">
        <v>966</v>
      </c>
      <c r="B345" s="2180"/>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1951</v>
      </c>
      <c r="F348" s="466">
        <v>0</v>
      </c>
      <c r="G348" s="466">
        <v>0</v>
      </c>
      <c r="H348" s="466">
        <v>0</v>
      </c>
      <c r="I348" s="467">
        <v>0</v>
      </c>
      <c r="J348" s="467">
        <v>0</v>
      </c>
      <c r="K348" s="1668">
        <f>SUM(C348:J348)</f>
        <v>1951</v>
      </c>
      <c r="L348" s="466">
        <v>1951</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1951</v>
      </c>
      <c r="F350" s="1667">
        <f t="shared" si="26"/>
        <v>0</v>
      </c>
      <c r="G350" s="1667">
        <f t="shared" si="26"/>
        <v>0</v>
      </c>
      <c r="H350" s="1667">
        <f t="shared" si="26"/>
        <v>0</v>
      </c>
      <c r="I350" s="1667">
        <f t="shared" si="26"/>
        <v>0</v>
      </c>
      <c r="J350" s="1667">
        <f t="shared" si="26"/>
        <v>0</v>
      </c>
      <c r="K350" s="1667">
        <f t="shared" si="26"/>
        <v>1951</v>
      </c>
      <c r="L350" s="1667">
        <f t="shared" si="26"/>
        <v>1951</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1951</v>
      </c>
      <c r="F352" s="1667">
        <f t="shared" si="27"/>
        <v>0</v>
      </c>
      <c r="G352" s="1667">
        <f t="shared" si="27"/>
        <v>0</v>
      </c>
      <c r="H352" s="1667">
        <f t="shared" si="27"/>
        <v>0</v>
      </c>
      <c r="I352" s="1667">
        <f t="shared" si="27"/>
        <v>0</v>
      </c>
      <c r="J352" s="1667">
        <f t="shared" si="27"/>
        <v>0</v>
      </c>
      <c r="K352" s="1667">
        <f t="shared" si="27"/>
        <v>1951</v>
      </c>
      <c r="L352" s="1667">
        <f t="shared" si="27"/>
        <v>1951</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1951</v>
      </c>
      <c r="F367" s="1667">
        <f t="shared" si="28"/>
        <v>0</v>
      </c>
      <c r="G367" s="1667">
        <f t="shared" si="28"/>
        <v>0</v>
      </c>
      <c r="H367" s="1667">
        <f t="shared" si="28"/>
        <v>0</v>
      </c>
      <c r="I367" s="1667">
        <f t="shared" si="28"/>
        <v>0</v>
      </c>
      <c r="J367" s="1667">
        <f t="shared" si="28"/>
        <v>0</v>
      </c>
      <c r="K367" s="1667">
        <f t="shared" si="28"/>
        <v>1951</v>
      </c>
      <c r="L367" s="1667">
        <f t="shared" si="28"/>
        <v>1951</v>
      </c>
    </row>
    <row r="368" spans="1:14" ht="13.5" thickTop="1" x14ac:dyDescent="0.2">
      <c r="A368" s="2176" t="s">
        <v>996</v>
      </c>
      <c r="B368" s="2177"/>
      <c r="C368" s="651"/>
      <c r="D368" s="651"/>
      <c r="E368" s="623"/>
      <c r="F368" s="623"/>
      <c r="G368" s="623"/>
      <c r="H368" s="623"/>
      <c r="I368" s="623"/>
      <c r="J368" s="620"/>
      <c r="K368" s="1668">
        <f>'Revenues 9-14'!K268-'Expenditures 15-22'!K367</f>
        <v>-1951</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elements/1.1/"/>
    <ds:schemaRef ds:uri="http://schemas.microsoft.com/office/2006/metadata/properties"/>
    <ds:schemaRef ds:uri="4d435f69-8686-490b-bd6d-b153bf22ab50"/>
    <ds:schemaRef ds:uri="6ce3111e-7420-4802-b50a-75d4e9a0b980"/>
    <ds:schemaRef ds:uri="http://schemas.openxmlformats.org/package/2006/metadata/core-properties"/>
    <ds:schemaRef ds:uri="http://schemas.microsoft.com/office/infopath/2007/PartnerControls"/>
    <ds:schemaRef ds:uri="http://purl.org/dc/dcmitype/"/>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16</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Finding 2019-001</vt:lpstr>
      <vt:lpstr>Finding 2019-002</vt:lpstr>
      <vt:lpstr>Finding 2019-003</vt:lpstr>
      <vt:lpstr>SF&amp;QC Sec-3</vt:lpstr>
      <vt:lpstr>SSPAF</vt:lpstr>
      <vt:lpstr>CAP 2019-001</vt:lpstr>
      <vt:lpstr>CAP 2019-002</vt:lpstr>
      <vt:lpstr>CAP 2019-003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2019-12-26T15:30:28Z</cp:lastPrinted>
  <dcterms:created xsi:type="dcterms:W3CDTF">2003-10-29T19:06:34Z</dcterms:created>
  <dcterms:modified xsi:type="dcterms:W3CDTF">2020-01-06T21:23:32Z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