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13_ncr:1_{C5FC907F-C245-4A53-A58B-5B5D0E7E2376}" xr6:coauthVersionLast="36" xr6:coauthVersionMax="36" xr10:uidLastSave="{00000000-0000-0000-0000-000000000000}"/>
  <bookViews>
    <workbookView xWindow="0" yWindow="0" windowWidth="23040" windowHeight="9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16">'Shared Outsourced Services 31'!$A$1:$F$54</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B7718" i="106" s="1"/>
  <c r="D7718" i="106" s="1"/>
  <c r="J21" i="12"/>
  <c r="B7727" i="106" s="1"/>
  <c r="D7727" i="106"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K130" i="29"/>
  <c r="B2805" i="106" s="1"/>
  <c r="D2805" i="106" s="1"/>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9" i="36"/>
  <c r="D71" i="36"/>
  <c r="D72" i="36"/>
  <c r="D79" i="36"/>
  <c r="B60" i="127"/>
  <c r="B61" i="127"/>
  <c r="D26" i="108"/>
  <c r="E26" i="108"/>
  <c r="F26" i="108"/>
  <c r="G26" i="108"/>
  <c r="D27" i="108"/>
  <c r="E27" i="108"/>
  <c r="F27" i="108"/>
  <c r="G27" i="108"/>
  <c r="F31" i="108"/>
  <c r="F36" i="108"/>
  <c r="F37" i="108"/>
  <c r="G28" i="108"/>
  <c r="E29" i="108"/>
  <c r="G29"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D11" i="37"/>
  <c r="D22" i="37"/>
  <c r="J22" i="37"/>
  <c r="L22" i="37"/>
  <c r="L5" i="11"/>
  <c r="B2056" i="106" s="1"/>
  <c r="D2056" i="106" s="1"/>
  <c r="D9" i="7"/>
  <c r="B1767" i="106" s="1"/>
  <c r="D1767" i="106" s="1"/>
  <c r="B5752" i="106"/>
  <c r="D5752" i="106" s="1"/>
  <c r="D17" i="7"/>
  <c r="B4104" i="106" s="1"/>
  <c r="D4104" i="106" s="1"/>
  <c r="F49" i="34" l="1"/>
  <c r="F44" i="34"/>
  <c r="B7235" i="106"/>
  <c r="D7235" i="106" s="1"/>
  <c r="J77" i="4"/>
  <c r="B6262" i="106" s="1"/>
  <c r="D6262" i="106" s="1"/>
  <c r="D6103" i="106"/>
  <c r="B3647" i="106"/>
  <c r="D3647" i="106" s="1"/>
  <c r="K76" i="4"/>
  <c r="B3586" i="106" s="1"/>
  <c r="D3586" i="106" s="1"/>
  <c r="B1308" i="106"/>
  <c r="D1308" i="106" s="1"/>
  <c r="E174" i="29"/>
  <c r="B1309" i="106" s="1"/>
  <c r="D1309" i="106" s="1"/>
  <c r="F34" i="34"/>
  <c r="D7245" i="106"/>
  <c r="K28" i="118"/>
  <c r="O27" i="118" s="1"/>
  <c r="O29" i="118" s="1"/>
  <c r="I24" i="12"/>
  <c r="G210" i="29"/>
  <c r="B1274" i="106"/>
  <c r="D1274" i="106" s="1"/>
  <c r="B1124" i="106"/>
  <c r="D1124" i="106" s="1"/>
  <c r="G15" i="145"/>
  <c r="J23" i="12"/>
  <c r="D24" i="37"/>
  <c r="B4270" i="106" s="1"/>
  <c r="D4270" i="106" s="1"/>
  <c r="L342" i="29"/>
  <c r="F19" i="7"/>
  <c r="B1807" i="106" s="1"/>
  <c r="D1807" i="106" s="1"/>
  <c r="H33" i="118"/>
  <c r="B4268" i="106"/>
  <c r="D4268" i="106" s="1"/>
  <c r="L15" i="11"/>
  <c r="B3459" i="106" s="1"/>
  <c r="D3459" i="106" s="1"/>
  <c r="L13" i="11"/>
  <c r="B2060" i="106" s="1"/>
  <c r="D2060" i="106" s="1"/>
  <c r="D68" i="36"/>
  <c r="C342" i="29"/>
  <c r="B7216" i="106" s="1"/>
  <c r="D7216" i="106" s="1"/>
  <c r="K184" i="29"/>
  <c r="F13" i="4" s="1"/>
  <c r="B2596" i="106" s="1"/>
  <c r="D2596" i="106" s="1"/>
  <c r="F28" i="108"/>
  <c r="F41" i="108" s="1"/>
  <c r="G43" i="108" s="1"/>
  <c r="E28" i="108"/>
  <c r="G30" i="108"/>
  <c r="E30" i="108"/>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B5770" i="106" l="1"/>
  <c r="D5770" i="106" s="1"/>
  <c r="B5778" i="106"/>
  <c r="D5778" i="106" s="1"/>
  <c r="G6" i="4"/>
  <c r="B2604" i="106" s="1"/>
  <c r="D2604" i="106" s="1"/>
  <c r="I26" i="12"/>
  <c r="B7741" i="106" s="1"/>
  <c r="D7741" i="106" s="1"/>
  <c r="B1996" i="106"/>
  <c r="D1996" i="106" s="1"/>
  <c r="B1365" i="106"/>
  <c r="D1365" i="106" s="1"/>
  <c r="F65" i="34"/>
  <c r="L114" i="29"/>
  <c r="L16" i="11"/>
  <c r="B2061" i="106" s="1"/>
  <c r="D2061" i="106" s="1"/>
  <c r="K342" i="29"/>
  <c r="F13" i="34" s="1"/>
  <c r="B1381" i="106"/>
  <c r="D1381" i="106" s="1"/>
  <c r="B1317" i="106"/>
  <c r="D1317" i="106" s="1"/>
  <c r="B5527" i="106"/>
  <c r="D5527" i="106" s="1"/>
  <c r="C114" i="29"/>
  <c r="B757" i="106" s="1"/>
  <c r="D757" i="106" s="1"/>
  <c r="F174"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20" i="4" l="1"/>
  <c r="J19" i="4"/>
  <c r="B6229" i="106" s="1"/>
  <c r="D6229"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78" i="4"/>
  <c r="F175" i="34" l="1"/>
  <c r="F79" i="34"/>
  <c r="B6215" i="106"/>
  <c r="D6215" i="106" s="1"/>
  <c r="J41" i="3"/>
  <c r="B3588" i="106"/>
  <c r="D3588" i="106" s="1"/>
  <c r="K81" i="4"/>
  <c r="K39" i="3" s="1"/>
  <c r="F78" i="4"/>
  <c r="B2601" i="106"/>
  <c r="D2601" i="106" s="1"/>
  <c r="B3320" i="106"/>
  <c r="D3320" i="106" s="1"/>
  <c r="I81" i="4"/>
  <c r="I39" i="3" s="1"/>
  <c r="K17" i="118"/>
  <c r="B3300" i="106"/>
  <c r="D3300" i="106" s="1"/>
  <c r="H81" i="4"/>
  <c r="H39" i="3"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K41" i="3" l="1"/>
  <c r="B3567" i="106"/>
  <c r="D3567" i="106" s="1"/>
  <c r="D51" i="36"/>
  <c r="B6216" i="106"/>
  <c r="D6216" i="106" s="1"/>
  <c r="B2912" i="106"/>
  <c r="D2912" i="106" s="1"/>
  <c r="I41" i="3"/>
  <c r="B212" i="106"/>
  <c r="D212" i="106" s="1"/>
  <c r="H41" i="3"/>
  <c r="B123" i="106"/>
  <c r="D123" i="106" s="1"/>
  <c r="D41" i="3"/>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3568" i="106" l="1"/>
  <c r="D3568" i="106" s="1"/>
  <c r="D52" i="36"/>
  <c r="B2913" i="106"/>
  <c r="D2913" i="106" s="1"/>
  <c r="D50" i="36"/>
  <c r="B213" i="106"/>
  <c r="D213" i="106" s="1"/>
  <c r="D49" i="36"/>
  <c r="B189" i="106"/>
  <c r="D189" i="106" s="1"/>
  <c r="G41" i="3"/>
  <c r="B170" i="106"/>
  <c r="D170" i="106" s="1"/>
  <c r="F41" i="3"/>
  <c r="B140" i="106"/>
  <c r="D140" i="106" s="1"/>
  <c r="E41" i="3"/>
  <c r="B124" i="106"/>
  <c r="D124" i="106" s="1"/>
  <c r="D45" i="36"/>
  <c r="J16" i="37"/>
  <c r="B4269" i="106" s="1"/>
  <c r="D4269" i="106" s="1"/>
  <c r="D76" i="36"/>
  <c r="B92" i="106"/>
  <c r="D92" i="106" s="1"/>
  <c r="C41" i="3"/>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B171" i="106"/>
  <c r="D171" i="106" s="1"/>
  <c r="D47" i="36"/>
  <c r="B141" i="106"/>
  <c r="D141" i="106" s="1"/>
  <c r="D46"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<sst xmlns="http://schemas.openxmlformats.org/spreadsheetml/2006/main" count="5128" uniqueCount="2116">
  <si>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</si>
  <si>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</si>
  <si>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</si>
  <si>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</si>
  <si>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</si>
  <si>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</si>
  <si>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</si>
  <si>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</si>
  <si>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</si>
  <si>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</si>
  <si>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</si>
  <si>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</si>
  <si>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</si>
  <si>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</si>
  <si>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</si>
  <si>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</si>
  <si>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</si>
  <si>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</si>
  <si>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</si>
  <si>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</si>
  <si>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</si>
  <si>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</si>
  <si>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</si>
  <si>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</si>
  <si>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</si>
  <si>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</si>
  <si>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</si>
  <si>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</si>
  <si>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</si>
  <si>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</si>
  <si>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</si>
  <si>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</si>
  <si>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</si>
  <si>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</si>
  <si>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</si>
  <si>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</si>
  <si>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</si>
  <si>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</si>
  <si>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</si>
  <si>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</si>
  <si>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</si>
  <si>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</si>
  <si>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</si>
  <si>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</si>
  <si>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</si>
  <si>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</si>
  <si>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</si>
  <si>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</si>
  <si>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</si>
  <si>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</si>
  <si>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</si>
  <si>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</si>
  <si>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</si>
  <si>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</si>
  <si>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</si>
  <si>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</si>
  <si>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</si>
  <si>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</si>
  <si>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</si>
  <si>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</si>
  <si>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</si>
  <si>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</si>
  <si>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</si>
  <si>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</si>
  <si>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</si>
  <si>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</si>
  <si>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</si>
  <si>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</si>
  <si>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</si>
  <si>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</si>
  <si>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</si>
  <si>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</si>
  <si>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</si>
  <si>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</si>
  <si>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</si>
  <si>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</si>
  <si>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</si>
  <si>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</si>
  <si>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</si>
  <si>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</si>
  <si>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</si>
  <si>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</si>
  <si>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</si>
  <si>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</si>
  <si>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</si>
  <si>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</si>
  <si>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</si>
  <si>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</si>
  <si>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</si>
  <si>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</si>
  <si>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</si>
  <si>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</si>
  <si>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</si>
  <si>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</si>
  <si>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</si>
  <si>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</si>
  <si>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</si>
  <si>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</si>
  <si>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</si>
  <si>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</si>
  <si>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</si>
  <si>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</si>
  <si>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</si>
  <si>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</si>
  <si>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</si>
  <si>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</si>
  <si>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</si>
  <si>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</si>
  <si>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</si>
  <si>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</si>
  <si>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</si>
  <si>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</si>
  <si>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</si>
  <si>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</si>
  <si>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</si>
  <si>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</si>
  <si>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</si>
  <si>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</si>
  <si>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</si>
  <si>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</si>
  <si>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</si>
  <si>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</si>
  <si>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</si>
  <si>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</si>
  <si>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</si>
  <si>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</si>
  <si>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</si>
  <si>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</si>
  <si>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</si>
  <si>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</si>
  <si>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</si>
  <si>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</si>
  <si>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</si>
  <si>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</si>
  <si>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</si>
  <si>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</si>
  <si>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</si>
  <si>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</si>
  <si>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</si>
  <si>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</si>
  <si>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</si>
  <si>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</si>
  <si>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</si>
  <si>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</si>
  <si>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</si>
  <si>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</si>
  <si>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</si>
  <si>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</si>
  <si>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</si>
  <si>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</si>
  <si>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</si>
  <si>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</si>
  <si>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</si>
  <si>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</si>
  <si>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</si>
  <si>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</si>
  <si>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</si>
  <si>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</si>
  <si>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</si>
  <si>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</si>
  <si>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</si>
  <si>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</si>
  <si>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</si>
  <si>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</si>
  <si>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</si>
  <si>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</si>
  <si>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</si>
  <si>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</si>
  <si>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</si>
  <si>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</si>
  <si>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</si>
  <si>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</si>
  <si>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</si>
  <si>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</si>
  <si>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</si>
  <si>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</si>
  <si>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</si>
  <si>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</si>
  <si>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</si>
  <si>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</si>
  <si>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</si>
  <si>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</si>
  <si>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</si>
  <si>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</si>
  <si>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</si>
  <si>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</si>
  <si>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</si>
  <si>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</si>
  <si>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</si>
  <si>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</si>
  <si>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</si>
  <si>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</si>
  <si>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</si>
  <si>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</si>
  <si>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</si>
  <si>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</si>
  <si>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</si>
  <si>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</si>
  <si>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</si>
  <si>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</si>
  <si>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</si>
  <si>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</si>
  <si>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</si>
  <si>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</si>
  <si>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</si>
  <si>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</si>
  <si>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</si>
  <si>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</si>
  <si>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</si>
  <si>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</si>
  <si>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</si>
  <si>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</si>
  <si>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</si>
  <si>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</si>
  <si>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</si>
  <si>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</si>
  <si>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</si>
  <si>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</si>
  <si>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</si>
  <si>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</si>
  <si>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</si>
  <si>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</si>
  <si>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</si>
  <si>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</si>
  <si>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</si>
  <si>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</si>
  <si>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</si>
  <si>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</si>
  <si>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</si>
  <si>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</si>
  <si>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</si>
  <si>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</si>
  <si>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</si>
  <si>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</si>
  <si>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</si>
  <si>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</si>
  <si>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</si>
  <si>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</si>
  <si>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</si>
  <si>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</si>
  <si>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</si>
  <si>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</si>
  <si>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</si>
  <si>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</si>
  <si>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</si>
  <si>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</si>
  <si>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</si>
  <si>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</si>
  <si>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</si>
  <si>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</si>
  <si>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</si>
  <si>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</si>
  <si>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</si>
  <si>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</si>
  <si>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</si>
  <si>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</si>
  <si>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</si>
  <si>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</si>
  <si>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</si>
  <si>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</si>
  <si>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</si>
  <si>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</si>
  <si>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</si>
  <si>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</si>
  <si>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</si>
  <si>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</si>
  <si>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</si>
  <si>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</si>
  <si>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</si>
  <si>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</si>
  <si>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</si>
  <si>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</si>
  <si>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</si>
  <si>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</si>
  <si>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</si>
  <si>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</si>
  <si>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</si>
  <si>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</si>
  <si>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</si>
  <si>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</si>
  <si>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</si>
  <si>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</si>
  <si>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</si>
  <si>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</si>
  <si>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</si>
  <si>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</si>
  <si>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</si>
  <si>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</si>
  <si>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</si>
  <si>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</si>
  <si>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</si>
  <si>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</si>
  <si>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</si>
  <si>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</si>
  <si>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</si>
  <si>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</si>
  <si>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</si>
  <si>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</si>
  <si>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</si>
  <si>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</si>
  <si>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</si>
  <si>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</si>
  <si>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</si>
  <si>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</si>
  <si>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</si>
  <si>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</si>
  <si>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</si>
  <si>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</si>
  <si>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</si>
  <si>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</si>
  <si>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</si>
  <si>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</si>
  <si>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</si>
  <si>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</si>
  <si>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</si>
  <si>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</si>
  <si>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</si>
  <si>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</si>
  <si>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</si>
  <si>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</si>
  <si>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</si>
  <si>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</si>
  <si>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</si>
  <si>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</si>
  <si>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</si>
  <si>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</si>
  <si>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</si>
  <si>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</si>
  <si>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</si>
  <si>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</si>
  <si>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</si>
  <si>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</si>
  <si>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</si>
  <si>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</si>
  <si>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</si>
  <si>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</si>
  <si>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</si>
  <si>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</si>
  <si>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</si>
  <si>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</si>
  <si>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</si>
  <si>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</si>
  <si>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</si>
  <si>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</si>
  <si>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</si>
  <si>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</si>
  <si>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</si>
  <si>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</si>
  <si>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</si>
  <si>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</si>
  <si>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</si>
  <si>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</si>
  <si>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</si>
  <si>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</si>
  <si>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</si>
  <si>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</si>
  <si>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</si>
  <si>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</si>
  <si>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</si>
  <si>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</si>
  <si>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</si>
  <si>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</si>
  <si>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</si>
  <si>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</si>
  <si>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</si>
  <si>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</si>
  <si>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</si>
  <si>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</si>
  <si>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</si>
  <si>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</si>
  <si>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</si>
  <si>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</si>
  <si>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</si>
  <si>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</si>
  <si>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</si>
  <si>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</si>
  <si>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</si>
  <si>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</si>
  <si>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</si>
  <si>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</si>
  <si>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</si>
  <si>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</si>
  <si>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</si>
  <si>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</si>
  <si>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</si>
  <si>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</si>
  <si>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</si>
  <si>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</si>
  <si>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</si>
  <si>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</si>
  <si>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</si>
  <si>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</si>
  <si>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</si>
  <si>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</si>
  <si>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</si>
  <si>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</si>
  <si>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</si>
  <si>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</si>
  <si>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</si>
  <si>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</si>
  <si>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</si>
  <si>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</si>
  <si>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</si>
  <si>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</si>
  <si>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</si>
  <si>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</si>
  <si>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</si>
  <si>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</si>
  <si>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</si>
  <si>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</si>
  <si>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</si>
  <si>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</si>
  <si>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</si>
  <si>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</si>
  <si>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</si>
  <si>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</si>
  <si>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</si>
  <si>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</si>
  <si>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</si>
  <si>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</si>
  <si>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</si>
  <si>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</si>
  <si>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</si>
  <si>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</si>
  <si>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</si>
  <si>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</si>
  <si>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</si>
  <si>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</si>
  <si>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</si>
  <si>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</si>
  <si>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</si>
  <si>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</si>
  <si>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</si>
  <si>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</si>
  <si>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</si>
  <si>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</si>
  <si>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</si>
  <si>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</si>
  <si>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</si>
  <si>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</si>
  <si>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</si>
  <si>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</si>
  <si>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</si>
  <si>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</si>
  <si>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</si>
  <si>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</si>
  <si>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</si>
  <si>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</si>
  <si>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</si>
  <si>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</si>
  <si>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</si>
  <si>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</si>
  <si>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</si>
  <si>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</si>
  <si>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</si>
  <si>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</si>
  <si>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</si>
  <si>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</si>
  <si>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</si>
  <si>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</si>
  <si>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</si>
  <si>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</si>
  <si>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</si>
  <si>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</si>
  <si>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</si>
  <si>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</si>
  <si>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</si>
  <si>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</si>
  <si>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</si>
  <si>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</si>
  <si>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</si>
  <si>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</si>
  <si>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</si>
  <si>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</si>
  <si>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</si>
  <si>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</si>
  <si>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</si>
  <si>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</si>
  <si>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</si>
  <si>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</si>
  <si>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</si>
  <si>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</si>
  <si>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</si>
  <si>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</si>
  <si>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</si>
  <si>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</si>
  <si>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</si>
  <si>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</si>
  <si>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</si>
  <si>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</si>
  <si>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</si>
  <si>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</si>
  <si>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</si>
  <si>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</si>
  <si>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</si>
  <si>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</si>
  <si>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</si>
  <si>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</si>
  <si>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</si>
  <si>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</si>
  <si>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</si>
  <si>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</si>
  <si>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</si>
  <si>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</si>
  <si>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</si>
  <si>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</si>
  <si>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</si>
  <si>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</si>
  <si>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</si>
  <si>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</si>
  <si>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</si>
  <si>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</si>
  <si>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</si>
  <si>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</si>
  <si>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</si>
  <si>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</si>
  <si>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</si>
  <si>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</si>
  <si>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</si>
  <si>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</si>
  <si>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</si>
  <si>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</si>
  <si>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</si>
  <si>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</si>
  <si>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</si>
  <si>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</si>
  <si>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</si>
  <si>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</si>
  <si>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</si>
  <si>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</si>
  <si>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</si>
  <si>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</si>
  <si>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</si>
  <si>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</si>
  <si>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</si>
  <si>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</si>
  <si>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</si>
  <si>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</si>
  <si>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</si>
  <si>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</si>
  <si>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</si>
  <si>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</si>
  <si>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</si>
  <si>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</si>
  <si>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</si>
  <si>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</si>
  <si>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</si>
  <si>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</si>
  <si>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</si>
  <si>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</si>
  <si>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</si>
  <si>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</si>
  <si>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</si>
  <si>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</si>
  <si>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</si>
  <si>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</si>
  <si>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</si>
  <si>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</si>
  <si>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</si>
  <si>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</si>
  <si>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</si>
  <si>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</si>
  <si>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</si>
  <si>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</si>
  <si>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</si>
  <si>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</si>
  <si>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</si>
  <si>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</si>
  <si>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</si>
  <si>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</si>
  <si>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</si>
  <si>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</si>
  <si>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</si>
  <si>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</si>
  <si>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</si>
  <si>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</si>
  <si>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</si>
  <si>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</si>
  <si>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</si>
  <si>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</si>
  <si>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</si>
  <si>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</si>
  <si>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</si>
  <si>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</si>
  <si>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</si>
  <si>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</si>
  <si>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</si>
  <si>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</si>
  <si>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</si>
  <si>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</si>
  <si>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</si>
  <si>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</si>
  <si>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</si>
  <si>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</si>
  <si>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</si>
  <si>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</si>
  <si>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</si>
  <si>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</si>
  <si>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</si>
  <si>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</si>
  <si>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</si>
  <si>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</si>
  <si>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</si>
  <si>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</si>
  <si>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</si>
  <si>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</si>
  <si>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</si>
  <si>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</si>
  <si>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</si>
  <si>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</si>
  <si>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</si>
  <si>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</si>
  <si>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</si>
  <si>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</si>
  <si>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</si>
  <si>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</si>
  <si>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</si>
  <si>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</si>
  <si>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</si>
  <si>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</si>
  <si>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</si>
  <si>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</si>
  <si>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</si>
  <si>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</si>
  <si>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</si>
  <si>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</si>
  <si>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</si>
  <si>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</si>
  <si>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</si>
  <si>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</si>
  <si>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</si>
  <si>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</si>
  <si>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</si>
  <si>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</si>
  <si>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</si>
  <si>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</si>
  <si>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</si>
  <si>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</si>
  <si>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</si>
  <si>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</si>
  <si>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</si>
  <si>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</si>
  <si>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</si>
  <si>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</si>
  <si>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</si>
  <si>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</si>
  <si>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</si>
  <si>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</si>
  <si>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</si>
  <si>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</si>
  <si>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</si>
  <si>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</si>
  <si>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</si>
  <si>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</si>
  <si>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</si>
  <si>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</si>
  <si>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</si>
  <si>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</si>
  <si>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</si>
  <si>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</si>
  <si>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</si>
  <si>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</si>
  <si>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</si>
  <si>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</si>
  <si>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</si>
  <si>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</si>
  <si>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</si>
  <si>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</si>
  <si>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</si>
  <si>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</si>
  <si>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</si>
  <si>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</si>
  <si>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</si>
  <si>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</si>
  <si>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</si>
  <si>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</si>
  <si>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</si>
  <si>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</si>
  <si>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</si>
  <si>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</si>
  <si>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</si>
  <si>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</si>
  <si>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</si>
  <si>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</si>
  <si>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</si>
  <si>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</si>
  <si>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</si>
  <si>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</si>
  <si>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</si>
  <si>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</si>
  <si>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</si>
  <si>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</si>
  <si>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</si>
  <si>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</si>
  <si>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</si>
  <si>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</si>
  <si>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</si>
  <si>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</si>
  <si>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</si>
  <si>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</si>
  <si>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</si>
  <si>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</si>
  <si>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</si>
  <si>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</si>
  <si>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</si>
  <si>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</si>
  <si>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</si>
  <si>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</si>
  <si>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</si>
  <si>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</si>
  <si>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</si>
  <si>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</si>
  <si>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</si>
  <si>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</si>
  <si>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</si>
  <si>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</si>
  <si>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</si>
  <si>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</si>
  <si>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</si>
  <si>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</si>
  <si>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</si>
  <si>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</si>
  <si>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</si>
  <si>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</si>
  <si>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</si>
  <si>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</si>
  <si>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</si>
  <si>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</si>
  <si>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</si>
  <si>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</si>
  <si>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</si>
  <si>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</si>
  <si>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</si>
  <si>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</si>
  <si>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</si>
  <si>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</si>
  <si>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</si>
  <si>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</si>
  <si>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</si>
  <si>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</si>
  <si>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</si>
  <si>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</si>
  <si>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</si>
  <si>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</si>
  <si>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</si>
  <si>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</si>
  <si>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</si>
  <si>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</si>
  <si>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</si>
  <si>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</si>
  <si>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</si>
  <si>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</si>
  <si>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</si>
  <si>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</si>
  <si>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</si>
  <si>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</si>
  <si>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</si>
  <si>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</si>
  <si>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</si>
  <si>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</si>
  <si>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</si>
  <si>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</si>
  <si>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</si>
  <si>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</si>
  <si>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</si>
  <si>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</si>
  <si>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</si>
  <si>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</si>
  <si>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</si>
  <si>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</si>
  <si>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</si>
  <si>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</si>
  <si>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</si>
  <si>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</si>
  <si>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</si>
  <si>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</si>
  <si>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</si>
  <si>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</si>
  <si>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</si>
  <si>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</si>
  <si>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</si>
  <si>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</si>
  <si>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</si>
  <si>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</si>
  <si>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</si>
  <si>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</si>
  <si>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</si>
  <si>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</si>
  <si>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</si>
  <si>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</si>
  <si>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</si>
  <si>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</si>
  <si>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</si>
  <si>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</si>
  <si>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</si>
  <si>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</si>
  <si>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</si>
  <si>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</si>
  <si>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</si>
  <si>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</si>
  <si>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</si>
  <si>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</si>
  <si>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</si>
  <si>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</si>
  <si>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</si>
  <si>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</si>
  <si>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</si>
  <si>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</si>
  <si>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</si>
  <si>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</si>
  <si>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</si>
  <si>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</si>
  <si>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</si>
  <si>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</si>
  <si>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</si>
  <si>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</si>
  <si>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</si>
  <si>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</si>
  <si>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</si>
  <si>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</si>
  <si>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</si>
  <si>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</si>
  <si>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</si>
  <si>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</si>
  <si>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</si>
  <si>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</si>
  <si>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</si>
  <si>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</si>
  <si>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</si>
  <si>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</si>
  <si>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</si>
  <si>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</si>
  <si>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</si>
  <si>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</si>
  <si>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</si>
  <si>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</si>
  <si>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</si>
  <si>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</si>
  <si>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</si>
  <si>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</si>
  <si>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</si>
  <si>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</si>
  <si>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</si>
  <si>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</si>
  <si>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</si>
  <si>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</si>
  <si>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</si>
  <si>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</si>
  <si>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</si>
  <si>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</si>
  <si>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</si>
  <si>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</si>
  <si>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</si>
  <si>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</si>
  <si>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</si>
  <si>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</si>
  <si>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</si>
  <si>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</si>
  <si>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</si>
  <si>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</si>
  <si>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</si>
  <si>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</si>
  <si>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</si>
  <si>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</si>
  <si>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</si>
  <si>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</si>
  <si>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</si>
  <si>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</si>
  <si>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</si>
  <si>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</si>
  <si>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</si>
  <si>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</si>
  <si>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</si>
  <si>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</si>
  <si>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</si>
  <si>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</si>
  <si>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</si>
  <si>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</si>
  <si>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</si>
  <si>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</si>
  <si>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</si>
  <si>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</si>
  <si>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</si>
  <si>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</si>
  <si>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</si>
  <si>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</si>
  <si>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</si>
  <si>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</si>
  <si>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</si>
  <si>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</si>
  <si>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</si>
  <si>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</si>
  <si>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</si>
  <si>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</si>
  <si>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</si>
  <si>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</si>
  <si>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</si>
  <si>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</si>
  <si>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</si>
  <si>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</si>
  <si>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</si>
  <si>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</si>
  <si>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</si>
  <si>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</si>
  <si>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</si>
  <si>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</si>
  <si>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</si>
  <si>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</si>
  <si>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</si>
  <si>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</si>
  <si>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</si>
  <si>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</si>
  <si>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</si>
  <si>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</si>
  <si>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</si>
  <si>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</si>
  <si>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</si>
  <si>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</si>
  <si>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</si>
  <si>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</si>
  <si>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</si>
  <si>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</si>
  <si>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</si>
  <si>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</si>
  <si>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</si>
  <si>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</si>
  <si>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</si>
  <si>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</si>
  <si>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</si>
  <si>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</si>
  <si>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</si>
  <si>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</si>
  <si>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</si>
  <si>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</si>
  <si>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</si>
  <si>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</si>
  <si>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</si>
  <si>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</si>
  <si>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</si>
  <si>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</si>
  <si>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</si>
  <si>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</si>
  <si>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</si>
  <si>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</si>
  <si>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</si>
  <si>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</si>
  <si>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</si>
  <si>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</si>
  <si>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</si>
  <si>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</si>
  <si>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</si>
  <si>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</si>
  <si>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</si>
  <si>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</si>
  <si>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</si>
  <si>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</si>
  <si>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</si>
  <si>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</si>
  <si>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</si>
  <si>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</si>
  <si>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</si>
  <si>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</si>
  <si>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</si>
  <si>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</si>
  <si>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</si>
  <si>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</si>
  <si>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</si>
  <si>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</si>
  <si>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</si>
  <si>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</si>
  <si>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</si>
  <si>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</si>
  <si>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</si>
  <si>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</si>
  <si>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</si>
  <si>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</si>
  <si>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</si>
  <si>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</si>
  <si>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</si>
  <si>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</si>
  <si>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</si>
  <si>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</si>
  <si>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</si>
  <si>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</si>
  <si>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</si>
  <si>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</si>
  <si>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</si>
  <si>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</si>
  <si>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</si>
  <si>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</si>
  <si>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</si>
  <si>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</si>
  <si>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</si>
  <si>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</si>
  <si>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</si>
  <si>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</si>
  <si>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</si>
  <si>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</si>
  <si>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</si>
  <si>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</si>
  <si>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</si>
  <si>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</si>
  <si>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</si>
  <si>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</si>
  <si>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</si>
  <si>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</si>
  <si>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</si>
  <si>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</si>
  <si>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</si>
  <si>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</si>
  <si>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</si>
  <si>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</si>
  <si>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</si>
  <si>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</si>
  <si>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</si>
  <si>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</si>
  <si>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</si>
  <si>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</si>
  <si>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</si>
  <si>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</si>
  <si>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</si>
  <si>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</si>
  <si>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</si>
  <si>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</si>
  <si>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</si>
  <si>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</si>
  <si>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</si>
  <si>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</si>
  <si>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</si>
  <si>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</si>
  <si>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</si>
  <si>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</si>
  <si>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</si>
  <si>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</si>
  <si>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</si>
  <si>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</si>
  <si>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</si>
  <si>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</si>
  <si>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</si>
  <si>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</si>
  <si>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</si>
  <si>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</si>
  <si>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</si>
  <si>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</si>
  <si>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</si>
  <si>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</si>
  <si>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</si>
  <si>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</si>
  <si>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</si>
  <si>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</si>
  <si>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</si>
  <si>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</si>
  <si>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</si>
  <si>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</si>
  <si>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</si>
  <si>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</si>
  <si>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</si>
  <si>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</si>
  <si>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</si>
  <si>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</si>
  <si>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</si>
  <si>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</si>
  <si>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</si>
  <si>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</si>
  <si>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</si>
  <si>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</si>
  <si>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</si>
  <si>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</si>
  <si>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</si>
  <si>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</si>
  <si>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</si>
  <si>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</si>
  <si>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</si>
  <si>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</si>
  <si>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</si>
  <si>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</si>
  <si>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</si>
  <si>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</si>
  <si>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</si>
  <si>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</si>
  <si>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</si>
  <si>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</si>
  <si>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</si>
  <si>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</si>
  <si>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</si>
  <si>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</si>
  <si>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</si>
  <si>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</si>
  <si>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</si>
  <si>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</si>
  <si>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</si>
  <si>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</si>
  <si>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</si>
  <si>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</si>
  <si>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</si>
  <si>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</si>
  <si>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</si>
  <si>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</si>
  <si>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</si>
  <si>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</si>
  <si>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</si>
  <si>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</si>
  <si>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</si>
  <si>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</si>
  <si>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</si>
  <si>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</si>
  <si>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</si>
  <si>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</si>
  <si>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</si>
  <si>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</si>
  <si>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</si>
  <si>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</si>
  <si>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</si>
  <si>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</si>
  <si>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</si>
  <si>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</si>
  <si>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</si>
  <si>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</si>
  <si>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</si>
  <si>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</si>
  <si>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</si>
  <si>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</si>
  <si>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</si>
  <si>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</si>
  <si>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</si>
  <si>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</si>
  <si>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</si>
  <si>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</si>
  <si>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</si>
  <si>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</si>
  <si>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</si>
  <si>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</si>
  <si>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</si>
  <si>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</si>
  <si>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</si>
  <si>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</si>
  <si>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</si>
  <si>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</si>
  <si>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</si>
  <si>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</si>
  <si>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</si>
  <si>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</si>
  <si>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</si>
  <si>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</si>
  <si>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</si>
  <si>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</si>
  <si>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</si>
  <si>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</si>
  <si>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</si>
  <si>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</si>
  <si>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</si>
  <si>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</si>
  <si>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</si>
  <si>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</si>
  <si>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</si>
  <si>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</si>
  <si>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</si>
  <si>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</si>
  <si>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</si>
  <si>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</si>
  <si>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</si>
  <si>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</si>
  <si>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</si>
  <si>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</si>
  <si>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</si>
  <si>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</si>
  <si>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</si>
  <si>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</si>
  <si>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</si>
  <si>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</si>
  <si>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</si>
  <si>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</si>
  <si>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</si>
  <si>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</si>
  <si>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</si>
  <si>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</si>
  <si>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</si>
  <si>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</si>
  <si>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</si>
  <si>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</si>
  <si>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</si>
  <si>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</si>
  <si>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</si>
  <si>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</si>
  <si>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</si>
  <si>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</si>
  <si>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</si>
  <si>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</si>
  <si>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</si>
  <si>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</si>
  <si>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</si>
  <si>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</si>
  <si>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</si>
  <si>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</si>
  <si>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</si>
  <si>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</si>
  <si>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</si>
  <si>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</si>
  <si>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</si>
  <si>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</si>
  <si>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</si>
  <si>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</si>
  <si>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</si>
  <si>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</si>
  <si>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</si>
  <si>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</si>
  <si>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</si>
  <si>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</si>
  <si>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</si>
  <si>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</si>
  <si>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</si>
  <si>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</si>
  <si>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</si>
  <si>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</si>
  <si>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</si>
  <si>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</si>
  <si>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</si>
  <si>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</si>
  <si>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</si>
  <si>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</si>
  <si>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</si>
  <si>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</si>
  <si>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</si>
  <si>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</si>
  <si>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</si>
  <si>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</si>
  <si>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</si>
  <si>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</si>
  <si>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</si>
  <si>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</si>
  <si>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</si>
  <si>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</si>
  <si>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</si>
  <si>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</si>
  <si>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</si>
  <si>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</si>
  <si>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</si>
  <si>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</si>
  <si>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</si>
  <si>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</si>
  <si>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</si>
  <si>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</si>
  <si>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</si>
  <si>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</si>
  <si>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</si>
  <si>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</si>
  <si>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</si>
  <si>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</si>
  <si>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</si>
  <si>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</si>
  <si>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</si>
  <si>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</si>
  <si>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</si>
  <si>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</si>
  <si>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</si>
  <si>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</si>
  <si>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</si>
  <si>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</si>
  <si>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</si>
  <si>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</si>
  <si>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</si>
  <si>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</si>
  <si>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</si>
  <si>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</si>
  <si>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</si>
  <si>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</si>
  <si>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</si>
  <si>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</si>
  <si>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</si>
  <si>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</si>
  <si>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</si>
  <si>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</si>
  <si>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</si>
  <si>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</si>
  <si>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</si>
  <si>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</si>
  <si>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</si>
  <si>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</si>
  <si>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</si>
  <si>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</si>
  <si>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</si>
  <si>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</si>
  <si>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</si>
  <si>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</si>
  <si>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</si>
  <si>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</si>
  <si>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</si>
  <si>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</si>
  <si>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</si>
  <si>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</si>
  <si>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</si>
  <si>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</si>
  <si>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</si>
  <si>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</si>
  <si>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</si>
  <si>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</si>
  <si>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</si>
  <si>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</si>
  <si>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</si>
  <si>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</si>
  <si>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</si>
  <si>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</si>
  <si>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</si>
  <si>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</si>
  <si>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</si>
  <si>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</si>
  <si>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</si>
  <si>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</si>
  <si>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</si>
  <si>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</si>
  <si>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</si>
  <si>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</si>
  <si>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</si>
  <si>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</si>
  <si>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</si>
  <si>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</si>
  <si>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</si>
  <si>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</si>
  <si>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</si>
  <si>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</si>
  <si>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</si>
  <si>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</si>
  <si>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</si>
  <si>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</si>
  <si>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</si>
  <si>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</si>
  <si>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</si>
  <si>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</si>
  <si>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</si>
  <si>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</si>
  <si>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</si>
  <si>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</si>
  <si>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</si>
  <si>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</si>
  <si>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</si>
  <si>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</si>
  <si>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</si>
  <si>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</si>
  <si>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</si>
  <si>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</si>
  <si>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</si>
  <si>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</si>
  <si>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</si>
  <si>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</si>
  <si>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</si>
  <si>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</si>
  <si>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</si>
  <si>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</si>
  <si>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</si>
  <si>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</si>
  <si>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</si>
  <si>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</si>
  <si>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</si>
  <si>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</si>
  <si>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</si>
  <si>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</si>
  <si>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</si>
  <si>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</si>
  <si>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</si>
  <si>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</si>
  <si>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</si>
  <si>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</si>
  <si>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</si>
  <si>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</si>
  <si>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</si>
  <si>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</si>
  <si>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</si>
  <si>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</si>
  <si>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</si>
  <si>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</si>
  <si>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</si>
  <si>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</si>
  <si>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</si>
  <si>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</si>
  <si>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</si>
  <si>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</si>
  <si>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</si>
  <si>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</si>
  <si>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</si>
  <si>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</si>
  <si>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</si>
  <si>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</si>
  <si>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</si>
  <si>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</si>
  <si>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</si>
  <si>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</si>
  <si>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</si>
  <si>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</si>
  <si>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</si>
  <si>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</si>
  <si>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</si>
  <si>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</si>
  <si>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</si>
  <si>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</si>
  <si>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</si>
  <si>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</si>
  <si>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</si>
  <si>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</si>
  <si>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</si>
  <si>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</si>
  <si>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</si>
  <si>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</si>
  <si>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</si>
  <si>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</si>
  <si>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</si>
  <si>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</si>
  <si>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</si>
  <si>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</si>
  <si>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</si>
  <si>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</si>
  <si>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</si>
  <si>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</si>
  <si>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</si>
  <si>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</si>
  <si>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</si>
  <si>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</si>
  <si>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</si>
  <si>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</si>
  <si>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</si>
  <si>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</si>
  <si>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</si>
  <si>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</si>
  <si>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</si>
  <si>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</si>
  <si>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</si>
  <si>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</si>
  <si>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</si>
  <si>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</si>
  <si>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</si>
  <si>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</si>
  <si>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</si>
  <si>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</si>
  <si>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</si>
  <si>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</si>
  <si>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</si>
  <si>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</si>
  <si>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</si>
  <si>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</si>
  <si>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</si>
  <si>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</si>
  <si>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</si>
  <si>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</si>
  <si>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</si>
  <si>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</si>
  <si>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</si>
  <si>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</si>
  <si>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</si>
  <si>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</si>
  <si>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</si>
  <si>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</si>
  <si>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</si>
  <si>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</si>
  <si>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</si>
  <si>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</si>
  <si>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</si>
  <si>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</si>
  <si>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</si>
  <si>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</si>
  <si>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</si>
  <si>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</si>
  <si>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</si>
  <si>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</si>
  <si>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</si>
  <si>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</si>
  <si>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</si>
  <si>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</si>
  <si>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</si>
  <si>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</si>
  <si>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</si>
  <si>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</si>
  <si>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</si>
  <si>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</si>
  <si>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</si>
  <si>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</si>
  <si>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</si>
  <si>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</si>
  <si>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</si>
  <si>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</si>
  <si>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</si>
  <si>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</si>
  <si>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</si>
  <si>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</si>
  <si>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</si>
  <si>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</si>
  <si>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</si>
  <si>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</si>
  <si>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</si>
  <si>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</si>
  <si>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</si>
  <si>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</si>
  <si>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</si>
  <si>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</si>
  <si>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</si>
  <si>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</si>
  <si>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</si>
  <si>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</si>
  <si>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</si>
  <si>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</si>
  <si>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</si>
  <si>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</si>
  <si>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</si>
  <si>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</si>
  <si>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</si>
  <si>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</si>
  <si>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</si>
  <si>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</si>
  <si>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</si>
  <si>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</si>
  <si>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</si>
  <si>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</si>
  <si>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</si>
  <si>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</si>
  <si>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</si>
  <si>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</si>
  <si>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</si>
  <si>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</si>
  <si>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</si>
  <si>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</si>
  <si>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</si>
  <si>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</si>
  <si>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</si>
  <si>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</si>
  <si>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</si>
  <si>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</si>
  <si>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</si>
  <si>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</si>
  <si>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</si>
  <si>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</si>
  <si>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</si>
  <si>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</si>
  <si>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</si>
  <si>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</si>
  <si>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</si>
  <si>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</si>
  <si>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</si>
  <si>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</si>
  <si>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</si>
  <si>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</si>
  <si>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</si>
  <si>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</si>
  <si>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</si>
  <si>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</si>
  <si>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</si>
  <si>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</si>
  <si>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</si>
  <si>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</si>
  <si>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</si>
  <si>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</si>
  <si>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</si>
  <si>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</si>
  <si>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</si>
  <si>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</si>
  <si>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</si>
  <si>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</si>
  <si>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</si>
  <si>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</si>
  <si>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</si>
  <si>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</si>
  <si>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</si>
  <si>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</si>
  <si>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</si>
  <si>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</si>
  <si>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</si>
  <si>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</si>
  <si>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</si>
  <si>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</si>
  <si>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</si>
  <si>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</si>
  <si>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</si>
  <si>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</si>
  <si>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</si>
  <si>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</si>
  <si>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</si>
  <si>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</si>
  <si>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</si>
  <si>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</si>
  <si>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</si>
  <si>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</si>
  <si>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</si>
  <si>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</si>
  <si>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</si>
  <si>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</si>
  <si>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</si>
  <si>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</si>
  <si>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</si>
  <si>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</si>
  <si>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</si>
  <si>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</si>
  <si>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</si>
  <si>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</si>
  <si>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</si>
  <si>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</si>
  <si>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</si>
  <si>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</si>
  <si>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</si>
  <si>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</si>
  <si>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</si>
  <si>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</si>
  <si>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</si>
  <si>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</si>
  <si>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</si>
  <si>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</si>
  <si>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</si>
  <si>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</si>
  <si>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</si>
  <si>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</si>
  <si>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</si>
  <si>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</si>
  <si>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</si>
  <si>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</si>
  <si>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</si>
  <si>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</si>
  <si>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</si>
  <si>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</si>
  <si>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</si>
  <si>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</si>
  <si>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</si>
  <si>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</si>
  <si>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</si>
  <si>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</si>
  <si>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</si>
  <si>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</si>
  <si>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</si>
  <si>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</si>
  <si>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</si>
  <si>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</si>
  <si>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</si>
  <si>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</si>
  <si>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</si>
  <si>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</si>
  <si>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</si>
  <si>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</si>
  <si>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</si>
  <si>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</si>
  <si>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</si>
  <si>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</si>
  <si>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</si>
  <si>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</si>
  <si>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</si>
  <si>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</si>
  <si>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</si>
  <si>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</si>
  <si>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</si>
  <si>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</si>
  <si>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</si>
  <si>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</si>
  <si>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</si>
  <si>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</si>
  <si>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</si>
  <si>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</si>
  <si>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</si>
  <si>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</si>
  <si>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</si>
  <si>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</si>
  <si>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</si>
  <si>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</si>
  <si>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</si>
  <si>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</si>
  <si>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</si>
  <si>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</si>
  <si>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</si>
  <si>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</si>
  <si>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</si>
  <si>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</si>
  <si>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</si>
  <si>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</si>
  <si>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</si>
  <si>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</si>
  <si>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</si>
  <si>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</si>
  <si>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</si>
  <si>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</si>
  <si>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</si>
  <si>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</si>
  <si>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</si>
  <si>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</si>
  <si>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</si>
  <si>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</si>
  <si>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</si>
  <si>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</si>
  <si>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</si>
  <si>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</si>
  <si>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</si>
  <si>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</si>
  <si>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</si>
  <si>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</si>
  <si>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</si>
  <si>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</si>
  <si>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</si>
  <si>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</si>
  <si>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</si>
  <si>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</si>
  <si>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</si>
  <si>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</si>
  <si>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</si>
  <si>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</si>
  <si>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</si>
  <si>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</si>
  <si>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</si>
  <si>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</si>
  <si>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</si>
  <si>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</si>
  <si>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</si>
  <si>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</si>
  <si>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</si>
  <si>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</si>
  <si>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</si>
  <si>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</si>
  <si>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</si>
  <si>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</si>
  <si>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</si>
  <si>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</si>
  <si>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</si>
  <si>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</si>
  <si>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</si>
  <si>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</si>
  <si>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</si>
  <si>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</si>
  <si>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</si>
  <si>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</si>
  <si>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</si>
  <si>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</si>
  <si>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</si>
  <si>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</si>
  <si>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</si>
  <si>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</si>
  <si>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</si>
  <si>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</si>
  <si>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</si>
  <si>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</si>
  <si>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</si>
  <si>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</si>
  <si>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</si>
  <si>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</si>
  <si>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</si>
  <si>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</si>
  <si>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</si>
  <si>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</si>
  <si>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</si>
  <si>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</si>
  <si>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</si>
  <si>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</si>
  <si>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</si>
  <si>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</si>
  <si>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</si>
  <si>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</si>
  <si>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</si>
  <si>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</si>
  <si>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</si>
  <si>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</si>
  <si>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</si>
  <si>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</si>
  <si>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</si>
  <si>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</si>
  <si>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</si>
  <si>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</si>
  <si>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</si>
  <si>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</si>
  <si>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</si>
  <si>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</si>
  <si>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</si>
  <si>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</si>
  <si>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</si>
  <si>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</si>
  <si>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</si>
  <si>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</si>
  <si>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</si>
  <si>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</si>
  <si>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</si>
  <si>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</si>
  <si>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</si>
  <si>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</si>
  <si>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</si>
  <si>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</si>
  <si>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</si>
  <si>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</si>
  <si>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</si>
  <si>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</si>
  <si>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</si>
  <si>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</si>
  <si>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</si>
  <si>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</si>
  <si>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</si>
  <si>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</si>
  <si>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</si>
  <si>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</si>
  <si>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</si>
  <si>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</si>
  <si>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</si>
  <si>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</si>
  <si>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</si>
  <si>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</si>
  <si>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</si>
  <si>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</si>
  <si>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</si>
  <si>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</si>
  <si>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</si>
  <si>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</si>
  <si>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</si>
  <si>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</si>
  <si>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</si>
  <si>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</si>
  <si>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</si>
  <si>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</si>
  <si>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</si>
  <si>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</si>
  <si>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</si>
  <si>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</si>
  <si>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</si>
  <si>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</si>
  <si>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</si>
  <si>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</si>
  <si>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</si>
  <si>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</si>
  <si>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</si>
  <si>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</si>
  <si>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</si>
  <si>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</si>
  <si>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</si>
  <si>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</si>
  <si>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</si>
  <si>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</si>
  <si>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</si>
  <si>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</si>
  <si>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</si>
  <si>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</si>
  <si>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</si>
  <si>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</si>
  <si>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</si>
  <si>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</si>
  <si>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</si>
  <si>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</si>
  <si>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</si>
  <si>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</si>
  <si>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</si>
  <si>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</si>
  <si>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</si>
  <si>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</si>
  <si>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</si>
  <si>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</si>
  <si>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</si>
  <si>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</si>
  <si>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</si>
  <si>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</si>
  <si>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</si>
  <si>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</si>
  <si>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</si>
  <si>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</si>
  <si>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</si>
  <si>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</si>
  <si>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</si>
  <si>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</si>
  <si>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</si>
  <si>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</si>
  <si>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</si>
  <si>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</si>
  <si>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</si>
  <si>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</si>
  <si>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</si>
  <si>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</si>
  <si>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</si>
  <si>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</si>
  <si>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</si>
  <si>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</si>
  <si>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</si>
  <si>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</si>
  <si>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</si>
  <si>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</si>
  <si>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</si>
  <si>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</si>
  <si>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</si>
  <si>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</si>
  <si>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</si>
  <si>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</si>
  <si>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</si>
  <si>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</si>
  <si>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</si>
  <si>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</si>
  <si>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</si>
  <si>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</si>
  <si>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</si>
  <si>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</si>
  <si>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</si>
  <si>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</si>
  <si>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</si>
  <si>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</si>
  <si>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</si>
  <si>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</si>
  <si>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</si>
  <si>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</si>
  <si>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</si>
  <si>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</si>
  <si>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</si>
  <si>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</si>
  <si>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</si>
  <si>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</si>
  <si>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</si>
  <si>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</si>
  <si>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</si>
  <si>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</si>
  <si>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</si>
  <si>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</si>
  <si>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</si>
  <si>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</si>
  <si>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</si>
  <si>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</si>
  <si>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</si>
  <si>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</si>
  <si>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</si>
  <si>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</si>
  <si>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</si>
  <si>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</si>
  <si>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</si>
  <si>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</si>
  <si>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</si>
  <si>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</si>
  <si>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</si>
  <si>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</si>
  <si>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</si>
  <si>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</si>
  <si>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</si>
  <si>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</si>
  <si>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</si>
  <si>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</si>
  <si>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</si>
  <si>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</si>
  <si>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</si>
  <si>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</si>
  <si>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</si>
  <si>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</si>
  <si>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</si>
  <si>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</si>
  <si>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</si>
  <si>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</si>
  <si>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</si>
  <si>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</si>
  <si>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</si>
  <si>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</si>
  <si>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</si>
  <si>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</si>
  <si>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</si>
  <si>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</si>
  <si>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</si>
  <si>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</si>
  <si>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</si>
  <si>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</si>
  <si>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</si>
  <si>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</si>
  <si>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</si>
  <si>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</si>
  <si>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</si>
  <si>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</si>
  <si>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</si>
  <si>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</si>
  <si>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</si>
  <si>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</si>
  <si>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</si>
  <si>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</si>
  <si>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</si>
  <si>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</si>
  <si>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</si>
  <si>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</si>
  <si>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</si>
  <si>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</si>
  <si>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</si>
  <si>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</si>
  <si>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</si>
  <si>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</si>
  <si>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</si>
  <si>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</si>
  <si>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</si>
  <si>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</si>
  <si>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</si>
  <si>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</si>
  <si>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</si>
  <si>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</si>
  <si>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</si>
  <si>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</si>
  <si>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</si>
  <si>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</si>
  <si>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</si>
  <si>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</si>
  <si>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</si>
  <si>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</si>
  <si>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</si>
  <si>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</si>
  <si>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</si>
  <si>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</si>
  <si>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</si>
  <si>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</si>
  <si>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</si>
  <si>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</si>
  <si>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</si>
  <si>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</si>
  <si>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</si>
  <si>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</si>
  <si>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</si>
  <si>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</si>
  <si>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</si>
  <si>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</si>
  <si>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</si>
  <si>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</si>
  <si>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</si>
  <si>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</si>
  <si>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</si>
  <si>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</si>
  <si>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</si>
  <si>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</si>
  <si>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</si>
  <si>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</si>
  <si>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</si>
  <si>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</si>
  <si>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</si>
  <si>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</si>
  <si>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</si>
  <si>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</si>
  <si>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</si>
  <si>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</si>
  <si>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</si>
  <si>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</si>
  <si>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</si>
  <si>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</si>
  <si>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</si>
  <si>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</si>
  <si>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</si>
  <si>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</si>
  <si>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</si>
  <si>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</si>
  <si>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</si>
  <si>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</si>
  <si>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</si>
  <si>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</si>
  <si>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</si>
  <si>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</si>
  <si>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</si>
  <si>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</si>
  <si>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</si>
  <si>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</si>
  <si>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</si>
  <si>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</si>
  <si>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</si>
  <si>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</si>
  <si>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</si>
  <si>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</si>
  <si>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</si>
  <si>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</si>
  <si>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</si>
  <si>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</si>
  <si>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</si>
  <si>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</si>
  <si>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</si>
  <si>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</si>
  <si>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</si>
  <si>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</si>
  <si>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</si>
  <si>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</si>
  <si>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</si>
  <si>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</si>
  <si>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</si>
  <si>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</si>
  <si>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</si>
  <si>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</si>
  <si>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</si>
  <si>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</si>
  <si>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Meister, Hilton, Chitwood &amp; Associates, Inc.</t>
  </si>
  <si>
    <t>Ron Hilton</t>
  </si>
  <si>
    <t>809 W. Detweiller Drive, Suite 806</t>
  </si>
  <si>
    <t>Peoria</t>
  </si>
  <si>
    <t>IL</t>
  </si>
  <si>
    <t>(309) 692-0492</t>
  </si>
  <si>
    <t>066-004769</t>
  </si>
  <si>
    <t>5137 West Cisna Road</t>
  </si>
  <si>
    <t>Bartonville</t>
  </si>
  <si>
    <t>dreiley@monroe70.org</t>
  </si>
  <si>
    <t>Darrick Reiley</t>
  </si>
  <si>
    <t>309-697-3120</t>
  </si>
  <si>
    <t>309-697-3185</t>
  </si>
  <si>
    <t>ron.hilton1@comcast.net</t>
  </si>
  <si>
    <t>(309) 683-0441</t>
  </si>
  <si>
    <t>General Obligation School Bonds, Series 2016</t>
  </si>
  <si>
    <t>Capital lease agreements</t>
  </si>
  <si>
    <t>Capital lease</t>
  </si>
  <si>
    <t>B</t>
  </si>
  <si>
    <t>A</t>
  </si>
  <si>
    <t>Special Education Association of Peoria County</t>
  </si>
  <si>
    <t xml:space="preserve">A. Oak Grove, Pleasant Hill, SEAPCO, Brimfield, Norwood, Bartonville, Hollis, Dunlap, Elmwood, Limestone Walters, Robein, Delavan, ROE 48, Area 111 Tech </t>
  </si>
  <si>
    <t>B. Oak Grove, Pleasant Hill, Norwood, Bartonville Grade, Hollis, Limestone Walters, Pleasant Valley, Limestone High School</t>
  </si>
  <si>
    <t>Page 5 - Line 190 - Other Current Assets: Education Fund - Employee Insurance paid in advance $5,214,</t>
  </si>
  <si>
    <t xml:space="preserve">                                  Municipal Retirement/Social Security Fund - Refund of previously paid expenditures $172</t>
  </si>
  <si>
    <t>Page 10 - Line 1790 - Other District/School Activity Revenue: Education Fund - Daycare and aftercare revenues $57,678</t>
  </si>
  <si>
    <t>Page 18 - Line 5400 - Debt services - Other - Bond agent fees $500</t>
  </si>
  <si>
    <t>Page 24 - Other Short-term Borrowing - Short-term capital leases - Proceeds included on page 8, line 7990 - other sources not classified elsewhere</t>
  </si>
  <si>
    <t xml:space="preserve">                  1100 - Regular Programs, object 600 - other objects</t>
  </si>
  <si>
    <t>Page 24 - Capital lease principal retired July 1, 2018 thru June 30, 2019 - short-term $6,529 and long-term $7,498 is include on page 15, function</t>
  </si>
  <si>
    <t>Total Federal Expenditures for 7/1/18-6/30/19</t>
  </si>
  <si>
    <t>Effective internal controls should be implemented to ensure that an adequate segregation of duties over the accounting function exists.  Responsibilities for authorizing, approving, executing and recording transactions in the general ledger should be segregated between two or more individuals.</t>
  </si>
  <si>
    <t>The District has one office personnel that is involved in the accounting function.  Therefore, the District does not have an adequate segregation of duties over accounting transactions as the employee is responsible for initiating and recording transactions in the general ledger as well as performing reconciliations.</t>
  </si>
  <si>
    <t>One employee is responsible for most aspects of the cash receipts and disbursements, payroll functions and also responsible for recording these transactions in the general ledger.</t>
  </si>
  <si>
    <t>This condition increases the possibility that errors or fraud may occur and not be detected on a timely basis.</t>
  </si>
  <si>
    <t>Due to the small size of the District, duties have been segregated to the extent possible.  Duties have been assigned based on the experience and availability of office personnel.</t>
  </si>
  <si>
    <t>When this condition exists, the Superintendent’s and Board of Education's close oversight and review of accounting information on a regular basis is the best means of preventing or detecting errors or fraud.</t>
  </si>
  <si>
    <t>Due to the small size of the District, it is not practical to hire additional personnel solely for the purpose of achieving an ideal segregation of duties over the accounting function.  Some segregation of duties has occurred to the extent possible.</t>
  </si>
  <si>
    <t>In an ideal control setting, the District would have personnel possessing a thorough understanding of applicable generally accepted accounting principles and staying abreast of recent accounting developments.  Such personnel would perform a comprehensive review procedure to ensure that the preparation of its annual financial statements, including disclosures, are complete and accurate.</t>
  </si>
  <si>
    <t>The Board of Education and management share the ultimate responsibility for the District's internal control system.  While it is acceptable to outsource various accounting functions, the responsibility for internal control cannot be outsourced to the external auditors and still be considered part of the on-going internal control of the organization.  The District engages the external auditors to assist in preparing its financial statements and accompanying disclosures.  However, as independent auditors, external auditors cannot be considered part of the District's internal control system.</t>
  </si>
  <si>
    <t>The District prepares accurate non-full disclosure financial reports (i.e. without note disclosure) on a monthly basis.  Changes in accounting standards may not be identified and implemented by the Board of Education and management.</t>
  </si>
  <si>
    <t>It is possible that a misstatement of the District's financial statements could occur and not be prevented or detected by the District's internal control over financial reporting.</t>
  </si>
  <si>
    <t>Due to the small size of the District, the District has not made it a practice to send District officials or other personnel to training classes to update them on the on-going changes and complexities of generally accepted accounting principles.</t>
  </si>
  <si>
    <t>We make no recommendation as to whether management should or should not invest in additional personnel or additional training for existing personnel to acquire the capacity to maintain the level of expertise necessary to prepare financial statements in accordance with generally accepted accounting principles including all disclosures.</t>
  </si>
  <si>
    <t>The District does not have qualified internal personnel to perform a complete review of the District's  financial statements.  In addition, it is not economically practical to hire an outside consultant to conduct this review.  However, the District does have an external treasurer that reviews the annual  financial report.  The District believes that the treasurer's and management's review of the balances and amounts are adequate in the circumstances and no additional procedures are considered necessary.</t>
  </si>
  <si>
    <t>Trans-Pupil Transportation Services-purchased services</t>
  </si>
  <si>
    <t>40-2550-300</t>
  </si>
  <si>
    <t>First Student</t>
  </si>
  <si>
    <t>Page 10 - Line 1999 - Other Local Revenues: Education Fund -  Miscellaneous refunds $633, Operations &amp; Maintenance Fund:</t>
  </si>
  <si>
    <t xml:space="preserve">                                       e-rate reimbursement $2,722</t>
  </si>
  <si>
    <t>2.   The amount of funds on hand exceed the amount of the Treasurer's bond for three months during the year ended June 30, 2019.                                                                                                                                           23. The District has prepared these financial statements using accounting practices prescribed or permitted by the Illinois State Board of Education, which differs from accounting principles generally accepted in the United States of America.</t>
  </si>
  <si>
    <t>Monroe SD 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</si>
</sst>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16" t="s">
        <v>405</v>
      </c>
      <c r="J1" s="2017"/>
      <c r="K1" s="2017"/>
      <c r="L1" s="2017"/>
      <c r="M1" s="2017"/>
      <c r="N1" s="2017"/>
      <c r="O1" s="2017"/>
      <c r="P1" s="2017"/>
      <c r="Q1" s="2017"/>
      <c r="R1" s="2017"/>
      <c r="S1" s="2017"/>
    </row>
    <row r="2" spans="1:28" ht="12" customHeight="1" x14ac:dyDescent="0.2">
      <c r="A2" s="47" t="s">
        <v>1992</v>
      </c>
      <c r="D2" s="48"/>
      <c r="I2" s="2018" t="s">
        <v>979</v>
      </c>
      <c r="J2" s="2017"/>
      <c r="K2" s="2017"/>
      <c r="L2" s="2017"/>
      <c r="M2" s="2017"/>
      <c r="N2" s="2017"/>
      <c r="O2" s="2017"/>
      <c r="P2" s="2017"/>
      <c r="Q2" s="2017"/>
      <c r="R2" s="2017"/>
      <c r="S2" s="2017"/>
    </row>
    <row r="3" spans="1:28" ht="12" customHeight="1" x14ac:dyDescent="0.2">
      <c r="A3" s="155" t="s">
        <v>1944</v>
      </c>
      <c r="B3" s="156"/>
      <c r="C3" s="156"/>
      <c r="D3" s="157"/>
      <c r="I3" s="2018" t="s">
        <v>52</v>
      </c>
      <c r="J3" s="2017"/>
      <c r="K3" s="2017"/>
      <c r="L3" s="2017"/>
      <c r="M3" s="2017"/>
      <c r="N3" s="2017"/>
      <c r="O3" s="2017"/>
      <c r="P3" s="2017"/>
      <c r="Q3" s="2017"/>
      <c r="R3" s="2017"/>
      <c r="S3" s="2017"/>
    </row>
    <row r="4" spans="1:28" ht="12" customHeight="1" x14ac:dyDescent="0.2">
      <c r="A4" s="37"/>
      <c r="I4" s="2018" t="s">
        <v>524</v>
      </c>
      <c r="J4" s="2017"/>
      <c r="K4" s="2017"/>
      <c r="L4" s="2017"/>
      <c r="M4" s="2017"/>
      <c r="N4" s="2017"/>
      <c r="O4" s="2017"/>
      <c r="P4" s="2017"/>
      <c r="Q4" s="2017"/>
      <c r="R4" s="2017"/>
      <c r="S4" s="2017"/>
    </row>
    <row r="5" spans="1:28" ht="14.1" customHeight="1" x14ac:dyDescent="0.2">
      <c r="B5" s="104" t="s">
        <v>2063</v>
      </c>
      <c r="C5" s="26" t="s">
        <v>910</v>
      </c>
      <c r="D5" s="84"/>
      <c r="E5" s="84"/>
      <c r="H5" s="38"/>
      <c r="I5" s="2025" t="s">
        <v>680</v>
      </c>
      <c r="J5" s="1970"/>
      <c r="K5" s="1970"/>
      <c r="L5" s="1970"/>
      <c r="M5" s="1970"/>
      <c r="N5" s="1970"/>
      <c r="O5" s="1970"/>
      <c r="P5" s="1970"/>
      <c r="Q5" s="1970"/>
      <c r="R5" s="1970"/>
      <c r="S5" s="1970"/>
    </row>
    <row r="6" spans="1:28" ht="14.1" customHeight="1" x14ac:dyDescent="0.2">
      <c r="B6" s="104"/>
      <c r="C6" s="26" t="s">
        <v>911</v>
      </c>
      <c r="D6" s="84"/>
      <c r="E6" s="84"/>
      <c r="I6" s="2024" t="s">
        <v>883</v>
      </c>
      <c r="J6" s="1970"/>
      <c r="K6" s="1970"/>
      <c r="L6" s="1970"/>
      <c r="M6" s="1970"/>
      <c r="N6" s="1970"/>
      <c r="O6" s="1970"/>
      <c r="P6" s="1970"/>
      <c r="Q6" s="1970"/>
      <c r="R6" s="1970"/>
      <c r="S6" s="1970"/>
    </row>
    <row r="7" spans="1:28" ht="12.2" customHeight="1" x14ac:dyDescent="0.2">
      <c r="I7" s="2019">
        <v>43646</v>
      </c>
      <c r="J7" s="2020"/>
      <c r="K7" s="2020"/>
      <c r="L7" s="2020"/>
      <c r="M7" s="2020"/>
      <c r="N7" s="2020"/>
      <c r="O7" s="2020"/>
      <c r="P7" s="2020"/>
      <c r="Q7" s="2020"/>
      <c r="R7" s="2020"/>
      <c r="S7" s="20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674</v>
      </c>
      <c r="J9" s="2022"/>
      <c r="K9" s="2022"/>
      <c r="L9" s="2022"/>
      <c r="M9" s="2022"/>
      <c r="N9" s="2022"/>
      <c r="O9" s="2022"/>
      <c r="P9" s="2022"/>
      <c r="Q9" s="2022"/>
      <c r="R9" s="2022"/>
      <c r="S9" s="2023"/>
      <c r="T9" s="1966" t="s">
        <v>533</v>
      </c>
      <c r="U9" s="1967"/>
      <c r="V9" s="1967"/>
      <c r="W9" s="1967"/>
      <c r="X9" s="1967"/>
      <c r="Y9" s="1967"/>
      <c r="Z9" s="1967"/>
      <c r="AA9" s="1968"/>
    </row>
    <row r="10" spans="1:28" ht="13.5" customHeight="1" x14ac:dyDescent="0.2">
      <c r="A10" s="1975" t="s">
        <v>675</v>
      </c>
      <c r="B10" s="1976"/>
      <c r="C10" s="1976"/>
      <c r="D10" s="1976"/>
      <c r="E10" s="1976"/>
      <c r="F10" s="1976"/>
      <c r="G10" s="1976"/>
      <c r="H10" s="1977"/>
      <c r="I10" s="29"/>
      <c r="J10" s="30"/>
      <c r="K10" s="28"/>
      <c r="R10" s="30"/>
      <c r="S10" s="30"/>
      <c r="T10" s="1969"/>
      <c r="U10" s="1970"/>
      <c r="V10" s="1970"/>
      <c r="W10" s="1970"/>
      <c r="X10" s="1970"/>
      <c r="Y10" s="1970"/>
      <c r="Z10" s="1970"/>
      <c r="AA10" s="1971"/>
    </row>
    <row r="11" spans="1:28" ht="14.25" customHeight="1" x14ac:dyDescent="0.2">
      <c r="A11" s="1978" t="s">
        <v>955</v>
      </c>
      <c r="B11" s="1979"/>
      <c r="C11" s="1979"/>
      <c r="D11" s="1979"/>
      <c r="E11" s="1979"/>
      <c r="F11" s="1979"/>
      <c r="G11" s="1979"/>
      <c r="H11" s="1980"/>
      <c r="I11" s="27"/>
      <c r="J11" s="74"/>
      <c r="K11" s="27"/>
      <c r="O11" s="148" t="s">
        <v>2063</v>
      </c>
      <c r="P11" s="100" t="s">
        <v>201</v>
      </c>
      <c r="Q11" s="30"/>
      <c r="R11" s="28"/>
      <c r="S11" s="27"/>
      <c r="T11" s="1972"/>
      <c r="U11" s="1973"/>
      <c r="V11" s="1973"/>
      <c r="W11" s="1973"/>
      <c r="X11" s="1973"/>
      <c r="Y11" s="1973"/>
      <c r="Z11" s="1973"/>
      <c r="AA11" s="197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6">
        <v>48072070002</v>
      </c>
      <c r="B13" s="1987"/>
      <c r="C13" s="1987"/>
      <c r="D13" s="1987"/>
      <c r="E13" s="1987"/>
      <c r="F13" s="1987"/>
      <c r="G13" s="1987"/>
      <c r="H13" s="1988"/>
      <c r="I13" s="31"/>
      <c r="J13" s="30"/>
      <c r="K13" s="28"/>
      <c r="L13" s="30"/>
      <c r="M13" s="30"/>
      <c r="N13" s="30"/>
      <c r="O13" s="30"/>
      <c r="P13" s="30"/>
      <c r="Q13" s="30"/>
      <c r="R13" s="30"/>
      <c r="S13" s="30"/>
      <c r="T13" s="1991" t="s">
        <v>2064</v>
      </c>
      <c r="U13" s="1992"/>
      <c r="V13" s="1992"/>
      <c r="W13" s="1992"/>
      <c r="X13" s="1992"/>
      <c r="Y13" s="1993"/>
      <c r="Z13" s="1993"/>
      <c r="AA13" s="199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4" t="s">
        <v>2067</v>
      </c>
      <c r="B15" s="1989"/>
      <c r="C15" s="1989"/>
      <c r="D15" s="1989"/>
      <c r="E15" s="1989"/>
      <c r="F15" s="1989"/>
      <c r="G15" s="1989"/>
      <c r="H15" s="1990"/>
      <c r="T15" s="1952" t="s">
        <v>2065</v>
      </c>
      <c r="U15" s="1953"/>
      <c r="V15" s="1953"/>
      <c r="W15" s="1953"/>
      <c r="X15" s="1953"/>
      <c r="Y15" s="1995"/>
      <c r="Z15" s="1995"/>
      <c r="AA15" s="199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4" t="s">
        <v>2115</v>
      </c>
      <c r="B17" s="2014"/>
      <c r="C17" s="2014"/>
      <c r="D17" s="2014"/>
      <c r="E17" s="2014"/>
      <c r="F17" s="2014"/>
      <c r="G17" s="2014"/>
      <c r="H17" s="2015"/>
      <c r="T17" s="2001" t="s">
        <v>2066</v>
      </c>
      <c r="U17" s="2002"/>
      <c r="V17" s="2002"/>
      <c r="W17" s="2002"/>
      <c r="X17" s="2002"/>
      <c r="Y17" s="2002"/>
      <c r="Z17" s="2002"/>
      <c r="AA17" s="2003"/>
    </row>
    <row r="18" spans="1:27" ht="13.5" customHeight="1" x14ac:dyDescent="0.2">
      <c r="A18" s="85" t="s">
        <v>530</v>
      </c>
      <c r="B18" s="76"/>
      <c r="C18" s="72"/>
      <c r="D18" s="76"/>
      <c r="E18" s="76"/>
      <c r="F18" s="76"/>
      <c r="G18" s="76"/>
      <c r="H18" s="56"/>
      <c r="I18" s="2011" t="s">
        <v>676</v>
      </c>
      <c r="J18" s="2012"/>
      <c r="K18" s="2012"/>
      <c r="L18" s="2012"/>
      <c r="M18" s="2012"/>
      <c r="N18" s="2012"/>
      <c r="O18" s="2012"/>
      <c r="P18" s="2012"/>
      <c r="Q18" s="2012"/>
      <c r="R18" s="2012"/>
      <c r="S18" s="2013"/>
      <c r="T18" s="85" t="s">
        <v>711</v>
      </c>
      <c r="U18" s="51"/>
      <c r="V18" s="72"/>
      <c r="W18" s="50"/>
      <c r="X18" s="85" t="s">
        <v>266</v>
      </c>
      <c r="Y18" s="81"/>
      <c r="Z18" s="159" t="s">
        <v>677</v>
      </c>
      <c r="AA18" s="46"/>
    </row>
    <row r="19" spans="1:27" ht="13.5" customHeight="1" x14ac:dyDescent="0.2">
      <c r="A19" s="1984" t="s">
        <v>2071</v>
      </c>
      <c r="B19" s="1985"/>
      <c r="C19" s="1985"/>
      <c r="D19" s="1985"/>
      <c r="E19" s="1985"/>
      <c r="F19" s="1985"/>
      <c r="G19" s="1985"/>
      <c r="H19" s="1983"/>
      <c r="I19" s="30"/>
      <c r="J19" s="99"/>
      <c r="K19" s="40"/>
      <c r="L19" s="38"/>
      <c r="M19" s="112" t="s">
        <v>315</v>
      </c>
      <c r="P19" s="27"/>
      <c r="Q19" s="27"/>
      <c r="R19" s="27"/>
      <c r="S19" s="31"/>
      <c r="T19" s="1984" t="s">
        <v>2067</v>
      </c>
      <c r="U19" s="1982"/>
      <c r="V19" s="1982"/>
      <c r="W19" s="1983"/>
      <c r="X19" s="1999" t="s">
        <v>2068</v>
      </c>
      <c r="Y19" s="2000"/>
      <c r="Z19" s="1997">
        <v>61615</v>
      </c>
      <c r="AA19" s="199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1" t="s">
        <v>2072</v>
      </c>
      <c r="B21" s="1982"/>
      <c r="C21" s="1982"/>
      <c r="D21" s="1982"/>
      <c r="E21" s="1982"/>
      <c r="F21" s="1982"/>
      <c r="G21" s="1982"/>
      <c r="H21" s="1983"/>
      <c r="I21" s="2007" t="s">
        <v>678</v>
      </c>
      <c r="J21" s="1970"/>
      <c r="K21" s="1970"/>
      <c r="L21" s="1970"/>
      <c r="M21" s="1970"/>
      <c r="N21" s="1970"/>
      <c r="O21" s="1970"/>
      <c r="P21" s="1970"/>
      <c r="Q21" s="1970"/>
      <c r="R21" s="1970"/>
      <c r="S21" s="1971"/>
      <c r="T21" s="1949" t="s">
        <v>2078</v>
      </c>
      <c r="U21" s="1950"/>
      <c r="V21" s="1950"/>
      <c r="W21" s="1950"/>
      <c r="X21" s="1963" t="s">
        <v>2069</v>
      </c>
      <c r="Y21" s="1964"/>
      <c r="Z21" s="1964"/>
      <c r="AA21" s="1965"/>
    </row>
    <row r="22" spans="1:27" ht="13.5" customHeight="1" x14ac:dyDescent="0.2">
      <c r="A22" s="87" t="s">
        <v>531</v>
      </c>
      <c r="B22" s="59"/>
      <c r="C22" s="59"/>
      <c r="D22" s="59"/>
      <c r="E22" s="59"/>
      <c r="F22" s="59"/>
      <c r="G22" s="59"/>
      <c r="H22" s="60"/>
      <c r="I22" s="2008" t="s">
        <v>1429</v>
      </c>
      <c r="J22" s="2009"/>
      <c r="K22" s="2009"/>
      <c r="L22" s="2009"/>
      <c r="M22" s="2009"/>
      <c r="N22" s="2009"/>
      <c r="O22" s="2009"/>
      <c r="P22" s="2009"/>
      <c r="Q22" s="2009"/>
      <c r="R22" s="2009"/>
      <c r="S22" s="2010"/>
      <c r="T22" s="85" t="s">
        <v>1516</v>
      </c>
      <c r="U22" s="51"/>
      <c r="V22" s="72"/>
      <c r="W22" s="51"/>
      <c r="X22" s="160" t="s">
        <v>1318</v>
      </c>
      <c r="Z22" s="45"/>
      <c r="AA22" s="46"/>
    </row>
    <row r="23" spans="1:27" ht="13.5" customHeight="1" x14ac:dyDescent="0.2">
      <c r="A23" s="2004" t="s">
        <v>2073</v>
      </c>
      <c r="B23" s="2005"/>
      <c r="C23" s="2005"/>
      <c r="D23" s="2005"/>
      <c r="E23" s="2005"/>
      <c r="F23" s="2005"/>
      <c r="G23" s="2005"/>
      <c r="H23" s="2006"/>
      <c r="T23" s="1944" t="s">
        <v>2070</v>
      </c>
      <c r="U23" s="1945"/>
      <c r="V23" s="1945"/>
      <c r="W23" s="1945"/>
      <c r="X23" s="1960">
        <v>44530</v>
      </c>
      <c r="Y23" s="1961"/>
      <c r="Z23" s="1961"/>
      <c r="AA23" s="1962"/>
    </row>
    <row r="24" spans="1:27" ht="14.1" customHeight="1" x14ac:dyDescent="0.2">
      <c r="A24" s="88" t="s">
        <v>677</v>
      </c>
      <c r="B24" s="49"/>
      <c r="C24" s="49"/>
      <c r="D24" s="49"/>
      <c r="E24" s="49"/>
      <c r="F24" s="49"/>
      <c r="G24" s="49"/>
      <c r="H24" s="61"/>
      <c r="J24" s="2046">
        <f>IF(B5="x",IF(AUDITCHECK!D29="AFR form Incomplete.","",IF(AUDITCHECK!D29="Deficit reduction plan is required.","School District must complete a deficit reduction plan in the 2019-2020 Budget",)),"")</f>
        <v>0</v>
      </c>
      <c r="K24" s="2046"/>
      <c r="L24" s="2046"/>
      <c r="M24" s="2046"/>
      <c r="N24" s="2046"/>
      <c r="O24" s="2046"/>
      <c r="P24" s="2046"/>
      <c r="Q24" s="2046"/>
      <c r="R24" s="2046"/>
      <c r="S24" s="2047"/>
      <c r="T24" s="105" t="s">
        <v>531</v>
      </c>
      <c r="U24" s="106"/>
      <c r="V24" s="106"/>
      <c r="W24" s="106"/>
      <c r="X24" s="107"/>
      <c r="Y24" s="107"/>
      <c r="Z24" s="107"/>
      <c r="AA24" s="108"/>
    </row>
    <row r="25" spans="1:27" ht="14.1" customHeight="1" x14ac:dyDescent="0.2">
      <c r="A25" s="1981">
        <v>61607</v>
      </c>
      <c r="B25" s="1982"/>
      <c r="C25" s="1982"/>
      <c r="D25" s="1982"/>
      <c r="E25" s="1982"/>
      <c r="F25" s="1982"/>
      <c r="G25" s="1982"/>
      <c r="H25" s="1983"/>
      <c r="I25" s="113"/>
      <c r="J25" s="2048"/>
      <c r="K25" s="2048"/>
      <c r="L25" s="2048"/>
      <c r="M25" s="2048"/>
      <c r="N25" s="2048"/>
      <c r="O25" s="2048"/>
      <c r="P25" s="2048"/>
      <c r="Q25" s="2048"/>
      <c r="R25" s="2048"/>
      <c r="S25" s="2049"/>
      <c r="T25" s="1941" t="s">
        <v>2077</v>
      </c>
      <c r="U25" s="1942"/>
      <c r="V25" s="1942"/>
      <c r="W25" s="1942"/>
      <c r="X25" s="1942"/>
      <c r="Y25" s="1942"/>
      <c r="Z25" s="1942"/>
      <c r="AA25" s="19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9" t="s">
        <v>1511</v>
      </c>
      <c r="J27" s="2012"/>
      <c r="K27" s="2012"/>
      <c r="L27" s="2012"/>
      <c r="M27" s="2012"/>
      <c r="N27" s="2012"/>
      <c r="O27" s="2012"/>
      <c r="P27" s="2012"/>
      <c r="Q27" s="2012"/>
      <c r="R27" s="2012"/>
      <c r="S27" s="201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2063</v>
      </c>
      <c r="M29" s="40" t="s">
        <v>99</v>
      </c>
      <c r="N29" s="32" t="s">
        <v>1523</v>
      </c>
      <c r="O29" s="32"/>
      <c r="P29" s="32"/>
      <c r="Q29" s="32"/>
      <c r="R29" s="32"/>
      <c r="S29" s="123"/>
      <c r="T29" s="6"/>
      <c r="U29" s="6"/>
      <c r="V29" s="6"/>
      <c r="W29" s="6"/>
      <c r="X29" s="6"/>
      <c r="Y29" s="6"/>
      <c r="Z29" s="6"/>
      <c r="AA29" s="132"/>
    </row>
    <row r="30" spans="1:27" ht="13.5" customHeight="1" x14ac:dyDescent="0.2">
      <c r="A30" s="153"/>
      <c r="B30" s="136" t="s">
        <v>2063</v>
      </c>
      <c r="C30" s="124" t="s">
        <v>1164</v>
      </c>
      <c r="D30" s="28"/>
      <c r="E30" s="28"/>
      <c r="F30" s="140"/>
      <c r="G30" s="114"/>
      <c r="H30" s="114"/>
      <c r="I30" s="54"/>
      <c r="J30" s="102"/>
      <c r="K30" s="28" t="s">
        <v>576</v>
      </c>
      <c r="L30" s="148" t="s">
        <v>2063</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2063</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2063</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5"/>
      <c r="Q35" s="1982"/>
      <c r="R35" s="198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4" t="s">
        <v>2074</v>
      </c>
      <c r="B38" s="2014"/>
      <c r="C38" s="2014"/>
      <c r="D38" s="2014"/>
      <c r="E38" s="2014"/>
      <c r="F38" s="1982"/>
      <c r="G38" s="1982"/>
      <c r="H38" s="1983"/>
      <c r="I38" s="2033"/>
      <c r="J38" s="1953"/>
      <c r="K38" s="1953"/>
      <c r="L38" s="1953"/>
      <c r="M38" s="1953"/>
      <c r="N38" s="1953"/>
      <c r="O38" s="1953"/>
      <c r="P38" s="1954"/>
      <c r="Q38" s="1954"/>
      <c r="R38" s="1954"/>
      <c r="S38" s="1955"/>
      <c r="T38" s="1952"/>
      <c r="U38" s="1953"/>
      <c r="V38" s="1953"/>
      <c r="W38" s="1953"/>
      <c r="X38" s="1954"/>
      <c r="Y38" s="1954"/>
      <c r="Z38" s="1954"/>
      <c r="AA38" s="1955"/>
    </row>
    <row r="39" spans="1:27" ht="12" customHeight="1" x14ac:dyDescent="0.2">
      <c r="A39" s="2037" t="s">
        <v>531</v>
      </c>
      <c r="B39" s="2038"/>
      <c r="C39" s="72"/>
      <c r="D39" s="69"/>
      <c r="E39" s="69"/>
      <c r="F39" s="79"/>
      <c r="G39" s="69"/>
      <c r="H39" s="56"/>
      <c r="I39" s="2037" t="s">
        <v>531</v>
      </c>
      <c r="J39" s="2038"/>
      <c r="K39" s="2038"/>
      <c r="L39" s="2038"/>
      <c r="M39" s="2038"/>
      <c r="N39" s="67"/>
      <c r="O39" s="72"/>
      <c r="P39" s="72"/>
      <c r="Q39" s="78"/>
      <c r="R39" s="72"/>
      <c r="S39" s="56"/>
      <c r="T39" s="72" t="s">
        <v>531</v>
      </c>
      <c r="U39" s="51"/>
      <c r="V39" s="72"/>
      <c r="W39" s="50"/>
      <c r="X39" s="78"/>
      <c r="Y39" s="45"/>
      <c r="Z39" s="45"/>
      <c r="AA39" s="46"/>
    </row>
    <row r="40" spans="1:27" ht="13.5" customHeight="1" x14ac:dyDescent="0.2">
      <c r="A40" s="2040" t="s">
        <v>2073</v>
      </c>
      <c r="B40" s="2041"/>
      <c r="C40" s="2042"/>
      <c r="D40" s="2042"/>
      <c r="E40" s="2042"/>
      <c r="F40" s="2043"/>
      <c r="G40" s="2043"/>
      <c r="H40" s="2044"/>
      <c r="I40" s="1956"/>
      <c r="J40" s="1958"/>
      <c r="K40" s="1958"/>
      <c r="L40" s="1958"/>
      <c r="M40" s="1958"/>
      <c r="N40" s="1958"/>
      <c r="O40" s="1958"/>
      <c r="P40" s="1958"/>
      <c r="Q40" s="1958"/>
      <c r="R40" s="1958"/>
      <c r="S40" s="1959"/>
      <c r="T40" s="1956"/>
      <c r="U40" s="1957"/>
      <c r="V40" s="1958"/>
      <c r="W40" s="1958"/>
      <c r="X40" s="1958"/>
      <c r="Y40" s="1958"/>
      <c r="Z40" s="1958"/>
      <c r="AA40" s="195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0" t="s">
        <v>2075</v>
      </c>
      <c r="B42" s="2031"/>
      <c r="C42" s="2032"/>
      <c r="D42" s="2045" t="s">
        <v>2076</v>
      </c>
      <c r="E42" s="2031"/>
      <c r="F42" s="2031"/>
      <c r="G42" s="2031"/>
      <c r="H42" s="2032"/>
      <c r="I42" s="1951"/>
      <c r="J42" s="1947"/>
      <c r="K42" s="1947"/>
      <c r="L42" s="1947"/>
      <c r="M42" s="1947"/>
      <c r="N42" s="1947"/>
      <c r="O42" s="1948"/>
      <c r="P42" s="1946"/>
      <c r="Q42" s="1947"/>
      <c r="R42" s="1947"/>
      <c r="S42" s="1948"/>
      <c r="T42" s="1951"/>
      <c r="U42" s="1947"/>
      <c r="V42" s="1947"/>
      <c r="W42" s="1948"/>
      <c r="X42" s="1946"/>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4"/>
      <c r="B44" s="2035"/>
      <c r="C44" s="2035"/>
      <c r="D44" s="2035"/>
      <c r="E44" s="2035"/>
      <c r="F44" s="2035"/>
      <c r="G44" s="2035"/>
      <c r="H44" s="2036"/>
      <c r="I44" s="2026"/>
      <c r="J44" s="2028"/>
      <c r="K44" s="2028"/>
      <c r="L44" s="2028"/>
      <c r="M44" s="2028"/>
      <c r="N44" s="2028"/>
      <c r="O44" s="2028"/>
      <c r="P44" s="2028"/>
      <c r="Q44" s="2028"/>
      <c r="R44" s="2028"/>
      <c r="S44" s="2029"/>
      <c r="T44" s="2026"/>
      <c r="U44" s="2027"/>
      <c r="V44" s="2027"/>
      <c r="W44" s="2027"/>
      <c r="X44" s="2027"/>
      <c r="Y44" s="2027"/>
      <c r="Z44" s="2028"/>
      <c r="AA44" s="202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1802</v>
      </c>
      <c r="B2" s="1528" t="s">
        <v>1950</v>
      </c>
      <c r="C2" s="714" t="s">
        <v>1951</v>
      </c>
      <c r="D2" s="714" t="s">
        <v>1952</v>
      </c>
      <c r="E2" s="714" t="s">
        <v>1953</v>
      </c>
      <c r="F2" s="714" t="s">
        <v>1954</v>
      </c>
    </row>
    <row r="3" spans="1:6" ht="12" customHeight="1" x14ac:dyDescent="0.2">
      <c r="A3" s="2184"/>
      <c r="B3" s="1525"/>
      <c r="C3" s="1526"/>
      <c r="D3" s="1527" t="s">
        <v>256</v>
      </c>
      <c r="E3" s="1526"/>
      <c r="F3" s="1527" t="s">
        <v>257</v>
      </c>
    </row>
    <row r="4" spans="1:6" ht="13.7" customHeight="1" x14ac:dyDescent="0.2">
      <c r="A4" s="715" t="s">
        <v>1155</v>
      </c>
      <c r="B4" s="1749">
        <f>'Revenues 9-14'!C5</f>
        <v>1018304</v>
      </c>
      <c r="C4" s="1524">
        <v>455993</v>
      </c>
      <c r="D4" s="1752">
        <f>B4-C4</f>
        <v>562311</v>
      </c>
      <c r="E4" s="1524">
        <v>973411</v>
      </c>
      <c r="F4" s="1752">
        <f>E4-C4</f>
        <v>517418</v>
      </c>
    </row>
    <row r="5" spans="1:6" ht="13.7" customHeight="1" x14ac:dyDescent="0.2">
      <c r="A5" s="715" t="s">
        <v>870</v>
      </c>
      <c r="B5" s="1750">
        <f>'Revenues 9-14'!D5</f>
        <v>131225</v>
      </c>
      <c r="C5" s="585">
        <v>58762</v>
      </c>
      <c r="D5" s="1753">
        <f t="shared" ref="D5:D18" si="0">B5-C5</f>
        <v>72463</v>
      </c>
      <c r="E5" s="585">
        <v>125440</v>
      </c>
      <c r="F5" s="1753">
        <f>E5-C5</f>
        <v>66678</v>
      </c>
    </row>
    <row r="6" spans="1:6" ht="13.7" customHeight="1" x14ac:dyDescent="0.2">
      <c r="A6" s="715" t="s">
        <v>411</v>
      </c>
      <c r="B6" s="1750">
        <f>'Revenues 9-14'!E5</f>
        <v>21181</v>
      </c>
      <c r="C6" s="585">
        <v>7027</v>
      </c>
      <c r="D6" s="1753">
        <f t="shared" si="0"/>
        <v>14154</v>
      </c>
      <c r="E6" s="585">
        <v>15001</v>
      </c>
      <c r="F6" s="1753">
        <f t="shared" ref="F6:F18" si="1">E6-C6</f>
        <v>7974</v>
      </c>
    </row>
    <row r="7" spans="1:6" ht="13.7" customHeight="1" x14ac:dyDescent="0.2">
      <c r="A7" s="715" t="s">
        <v>155</v>
      </c>
      <c r="B7" s="1750">
        <f>'Revenues 9-14'!F5</f>
        <v>97374</v>
      </c>
      <c r="C7" s="585">
        <v>37610</v>
      </c>
      <c r="D7" s="1753">
        <f t="shared" si="0"/>
        <v>59764</v>
      </c>
      <c r="E7" s="585">
        <v>80286</v>
      </c>
      <c r="F7" s="1753">
        <f t="shared" si="1"/>
        <v>42676</v>
      </c>
    </row>
    <row r="8" spans="1:6" ht="13.7" customHeight="1" x14ac:dyDescent="0.2">
      <c r="A8" s="715" t="s">
        <v>1179</v>
      </c>
      <c r="B8" s="1750">
        <f>'Revenues 9-14'!G5</f>
        <v>33575</v>
      </c>
      <c r="C8" s="585">
        <v>15460</v>
      </c>
      <c r="D8" s="1753">
        <f t="shared" si="0"/>
        <v>18115</v>
      </c>
      <c r="E8" s="585">
        <v>33002</v>
      </c>
      <c r="F8" s="1753">
        <f t="shared" si="1"/>
        <v>17542</v>
      </c>
    </row>
    <row r="9" spans="1:6" ht="13.7" customHeight="1" x14ac:dyDescent="0.2">
      <c r="A9" s="715" t="s">
        <v>408</v>
      </c>
      <c r="B9" s="1750">
        <f>'Revenues 9-14'!H5</f>
        <v>0</v>
      </c>
      <c r="C9" s="585">
        <v>0</v>
      </c>
      <c r="D9" s="1753">
        <f t="shared" si="0"/>
        <v>0</v>
      </c>
      <c r="E9" s="585">
        <v>0</v>
      </c>
      <c r="F9" s="1753">
        <f t="shared" si="1"/>
        <v>0</v>
      </c>
    </row>
    <row r="10" spans="1:6" ht="13.7" customHeight="1" x14ac:dyDescent="0.2">
      <c r="A10" s="715" t="s">
        <v>407</v>
      </c>
      <c r="B10" s="1750">
        <f>'Revenues 9-14'!I5</f>
        <v>26245</v>
      </c>
      <c r="C10" s="585">
        <v>11753</v>
      </c>
      <c r="D10" s="1753">
        <f t="shared" si="0"/>
        <v>14492</v>
      </c>
      <c r="E10" s="585">
        <v>25089</v>
      </c>
      <c r="F10" s="1753">
        <f t="shared" si="1"/>
        <v>13336</v>
      </c>
    </row>
    <row r="11" spans="1:6" x14ac:dyDescent="0.2">
      <c r="A11" s="715" t="s">
        <v>409</v>
      </c>
      <c r="B11" s="1750">
        <f>'Revenues 9-14'!J5</f>
        <v>269985</v>
      </c>
      <c r="C11" s="585">
        <v>126483</v>
      </c>
      <c r="D11" s="1753">
        <f t="shared" si="0"/>
        <v>143502</v>
      </c>
      <c r="E11" s="585">
        <v>270003</v>
      </c>
      <c r="F11" s="1753">
        <f t="shared" si="1"/>
        <v>143520</v>
      </c>
    </row>
    <row r="12" spans="1:6" ht="13.7" customHeight="1" x14ac:dyDescent="0.2">
      <c r="A12" s="715" t="s">
        <v>157</v>
      </c>
      <c r="B12" s="1750">
        <f>'Revenues 9-14'!K5</f>
        <v>26245</v>
      </c>
      <c r="C12" s="585">
        <v>11753</v>
      </c>
      <c r="D12" s="1753">
        <f t="shared" si="0"/>
        <v>14492</v>
      </c>
      <c r="E12" s="585">
        <v>25089</v>
      </c>
      <c r="F12" s="1753">
        <f t="shared" si="1"/>
        <v>13336</v>
      </c>
    </row>
    <row r="13" spans="1:6" ht="13.7" customHeight="1" x14ac:dyDescent="0.2">
      <c r="A13" s="715" t="s">
        <v>936</v>
      </c>
      <c r="B13" s="1750">
        <f>SUM('Revenues 9-14'!C6:D6)</f>
        <v>26245</v>
      </c>
      <c r="C13" s="585">
        <v>11753</v>
      </c>
      <c r="D13" s="1753">
        <f t="shared" si="0"/>
        <v>14492</v>
      </c>
      <c r="E13" s="585">
        <v>25089</v>
      </c>
      <c r="F13" s="1753">
        <f t="shared" si="1"/>
        <v>13336</v>
      </c>
    </row>
    <row r="14" spans="1:6" ht="13.7" customHeight="1" x14ac:dyDescent="0.2">
      <c r="A14" s="715" t="s">
        <v>410</v>
      </c>
      <c r="B14" s="1750">
        <f>SUM('Revenues 9-14'!C7:D7,'Revenues 9-14'!F7:H7)</f>
        <v>10499</v>
      </c>
      <c r="C14" s="585">
        <v>4703</v>
      </c>
      <c r="D14" s="1753">
        <f t="shared" si="0"/>
        <v>5796</v>
      </c>
      <c r="E14" s="585">
        <v>10038</v>
      </c>
      <c r="F14" s="1753">
        <f t="shared" si="1"/>
        <v>5335</v>
      </c>
    </row>
    <row r="15" spans="1:6" ht="13.7" customHeight="1" x14ac:dyDescent="0.2">
      <c r="A15" s="715" t="s">
        <v>1158</v>
      </c>
      <c r="B15" s="1750">
        <f>SUM('Revenues 9-14'!D9:E9,'Revenues 9-14'!H9)</f>
        <v>0</v>
      </c>
      <c r="C15" s="585">
        <v>0</v>
      </c>
      <c r="D15" s="1753">
        <f t="shared" si="0"/>
        <v>0</v>
      </c>
      <c r="E15" s="585">
        <v>0</v>
      </c>
      <c r="F15" s="1753">
        <f t="shared" si="1"/>
        <v>0</v>
      </c>
    </row>
    <row r="16" spans="1:6" ht="13.7" customHeight="1" x14ac:dyDescent="0.2">
      <c r="A16" s="715" t="s">
        <v>1159</v>
      </c>
      <c r="B16" s="1750">
        <f>'Revenues 9-14'!G8</f>
        <v>33575</v>
      </c>
      <c r="C16" s="585">
        <v>15460</v>
      </c>
      <c r="D16" s="1753">
        <f t="shared" si="0"/>
        <v>18115</v>
      </c>
      <c r="E16" s="585">
        <v>33002</v>
      </c>
      <c r="F16" s="1753">
        <f t="shared" si="1"/>
        <v>17542</v>
      </c>
    </row>
    <row r="17" spans="1:6" ht="13.7" customHeight="1" x14ac:dyDescent="0.2">
      <c r="A17" s="715" t="s">
        <v>1160</v>
      </c>
      <c r="B17" s="1750">
        <f>'Revenues 9-14'!C10</f>
        <v>0</v>
      </c>
      <c r="C17" s="585">
        <v>0</v>
      </c>
      <c r="D17" s="1753">
        <f t="shared" si="0"/>
        <v>0</v>
      </c>
      <c r="E17" s="585">
        <v>0</v>
      </c>
      <c r="F17" s="1753">
        <f t="shared" si="1"/>
        <v>0</v>
      </c>
    </row>
    <row r="18" spans="1:6" ht="13.7" customHeight="1" x14ac:dyDescent="0.2">
      <c r="A18" s="715" t="s">
        <v>762</v>
      </c>
      <c r="B18" s="1750">
        <f>SUM('Revenues 9-14'!C11:K11)</f>
        <v>0</v>
      </c>
      <c r="C18" s="585">
        <v>0</v>
      </c>
      <c r="D18" s="1753">
        <f t="shared" si="0"/>
        <v>0</v>
      </c>
      <c r="E18" s="585">
        <v>0</v>
      </c>
      <c r="F18" s="1753">
        <f t="shared" si="1"/>
        <v>0</v>
      </c>
    </row>
    <row r="19" spans="1:6" ht="13.7" customHeight="1" thickBot="1" x14ac:dyDescent="0.25">
      <c r="A19" s="1754" t="s">
        <v>1161</v>
      </c>
      <c r="B19" s="1751">
        <f>SUM(B4:B18)</f>
        <v>1694453</v>
      </c>
      <c r="C19" s="1751">
        <f>SUM(C4:C18)</f>
        <v>756757</v>
      </c>
      <c r="D19" s="1751">
        <f>SUM(D4:D18)</f>
        <v>937696</v>
      </c>
      <c r="E19" s="1751">
        <f>SUM(E4:E18)</f>
        <v>1615450</v>
      </c>
      <c r="F19" s="1751">
        <f>SUM(F4:F18)</f>
        <v>858693</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02" zoomScaleNormal="102" workbookViewId="0">
      <selection activeCell="E34" sqref="E3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9" t="s">
        <v>629</v>
      </c>
      <c r="B1" s="2190"/>
      <c r="C1" s="721"/>
    </row>
    <row r="2" spans="1:7" ht="33.75" x14ac:dyDescent="0.2">
      <c r="A2" s="2198" t="s">
        <v>1802</v>
      </c>
      <c r="B2" s="2199"/>
      <c r="C2" s="1884" t="s">
        <v>1955</v>
      </c>
      <c r="D2" s="723" t="s">
        <v>1956</v>
      </c>
      <c r="E2" s="723" t="s">
        <v>1957</v>
      </c>
      <c r="F2" s="1884" t="s">
        <v>1958</v>
      </c>
    </row>
    <row r="3" spans="1:7" ht="15.75" customHeight="1" x14ac:dyDescent="0.2">
      <c r="A3" s="2202" t="s">
        <v>1114</v>
      </c>
      <c r="B3" s="2203"/>
      <c r="C3" s="2191"/>
      <c r="D3" s="2192"/>
      <c r="E3" s="2192"/>
      <c r="F3" s="2193"/>
    </row>
    <row r="4" spans="1:7" ht="12.75" customHeight="1" thickBot="1" x14ac:dyDescent="0.25">
      <c r="A4" s="2200" t="s">
        <v>630</v>
      </c>
      <c r="B4" s="2201"/>
      <c r="C4" s="581"/>
      <c r="D4" s="581"/>
      <c r="E4" s="581"/>
      <c r="F4" s="1755">
        <f>SUM(C4+D4)-E4</f>
        <v>0</v>
      </c>
    </row>
    <row r="5" spans="1:7" ht="15.75" customHeight="1" thickTop="1" x14ac:dyDescent="0.2">
      <c r="A5" s="2185" t="s">
        <v>1110</v>
      </c>
      <c r="B5" s="2186"/>
      <c r="C5" s="2194"/>
      <c r="D5" s="2195"/>
      <c r="E5" s="2195"/>
      <c r="F5" s="219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7" t="s">
        <v>631</v>
      </c>
      <c r="B15" s="2188"/>
      <c r="C15" s="1755">
        <f>SUM(C6:C14)</f>
        <v>0</v>
      </c>
      <c r="D15" s="1755">
        <f>SUM(D6:D14)</f>
        <v>0</v>
      </c>
      <c r="E15" s="1755">
        <f>SUM(E6:E14)</f>
        <v>0</v>
      </c>
      <c r="F15" s="1755">
        <f>SUM(F6:F14)</f>
        <v>0</v>
      </c>
      <c r="G15" s="552"/>
    </row>
    <row r="16" spans="1:7" s="202" customFormat="1" ht="15.75" customHeight="1" thickTop="1" x14ac:dyDescent="0.2">
      <c r="A16" s="2197" t="s">
        <v>1111</v>
      </c>
      <c r="B16" s="2186"/>
      <c r="C16" s="2194"/>
      <c r="D16" s="2195"/>
      <c r="E16" s="2195"/>
      <c r="F16" s="2196"/>
    </row>
    <row r="17" spans="1:11" ht="12.75" customHeight="1" thickBot="1" x14ac:dyDescent="0.25">
      <c r="A17" s="2210" t="s">
        <v>64</v>
      </c>
      <c r="B17" s="2211"/>
      <c r="C17" s="726"/>
      <c r="D17" s="585"/>
      <c r="E17" s="726"/>
      <c r="F17" s="1755">
        <f>SUM(C17+D17)-E17</f>
        <v>0</v>
      </c>
    </row>
    <row r="18" spans="1:11" ht="12.75" customHeight="1" thickTop="1" thickBot="1" x14ac:dyDescent="0.25">
      <c r="A18" s="2210" t="s">
        <v>6</v>
      </c>
      <c r="B18" s="2211"/>
      <c r="C18" s="726"/>
      <c r="D18" s="585"/>
      <c r="E18" s="726"/>
      <c r="F18" s="1755">
        <f>SUM(C18+D18)-E18</f>
        <v>0</v>
      </c>
    </row>
    <row r="19" spans="1:11" ht="12.75" customHeight="1" thickTop="1" thickBot="1" x14ac:dyDescent="0.25">
      <c r="A19" s="2210" t="s">
        <v>388</v>
      </c>
      <c r="B19" s="2211"/>
      <c r="C19" s="726"/>
      <c r="D19" s="585"/>
      <c r="E19" s="726"/>
      <c r="F19" s="1755">
        <f>SUM(C19+D19)-E19</f>
        <v>0</v>
      </c>
    </row>
    <row r="20" spans="1:11" ht="12.75" customHeight="1" thickTop="1" thickBot="1" x14ac:dyDescent="0.25">
      <c r="A20" s="2210" t="s">
        <v>448</v>
      </c>
      <c r="B20" s="2211"/>
      <c r="C20" s="726"/>
      <c r="D20" s="585"/>
      <c r="E20" s="726"/>
      <c r="F20" s="1755">
        <f>SUM(C20+D20)-E20</f>
        <v>0</v>
      </c>
    </row>
    <row r="21" spans="1:11" ht="14.25" thickTop="1" thickBot="1" x14ac:dyDescent="0.25">
      <c r="A21" s="2187" t="s">
        <v>632</v>
      </c>
      <c r="B21" s="2188"/>
      <c r="C21" s="1755">
        <f>SUM(C17:C20)</f>
        <v>0</v>
      </c>
      <c r="D21" s="1755">
        <f>SUM(D17:D20)</f>
        <v>0</v>
      </c>
      <c r="E21" s="1755">
        <f>SUM(E17:E20)</f>
        <v>0</v>
      </c>
      <c r="F21" s="1755">
        <f>SUM(F17:F20)</f>
        <v>0</v>
      </c>
      <c r="G21" s="552"/>
    </row>
    <row r="22" spans="1:11" ht="15.75" customHeight="1" thickTop="1" x14ac:dyDescent="0.2">
      <c r="A22" s="2212" t="s">
        <v>1112</v>
      </c>
      <c r="B22" s="2186"/>
      <c r="C22" s="2194"/>
      <c r="D22" s="2195"/>
      <c r="E22" s="2195"/>
      <c r="F22" s="2196"/>
    </row>
    <row r="23" spans="1:11" ht="13.5" thickBot="1" x14ac:dyDescent="0.25">
      <c r="A23" s="2200" t="s">
        <v>633</v>
      </c>
      <c r="B23" s="2201"/>
      <c r="C23" s="581"/>
      <c r="D23" s="581"/>
      <c r="E23" s="581"/>
      <c r="F23" s="1755">
        <f>SUM(C23+D23)-E23</f>
        <v>0</v>
      </c>
      <c r="G23" s="552"/>
    </row>
    <row r="24" spans="1:11" ht="15.75" customHeight="1" thickTop="1" x14ac:dyDescent="0.2">
      <c r="A24" s="2212" t="s">
        <v>1113</v>
      </c>
      <c r="B24" s="2186"/>
      <c r="C24" s="2194"/>
      <c r="D24" s="2195"/>
      <c r="E24" s="2195"/>
      <c r="F24" s="2196"/>
    </row>
    <row r="25" spans="1:11" ht="13.5" thickBot="1" x14ac:dyDescent="0.25">
      <c r="A25" s="2200" t="s">
        <v>634</v>
      </c>
      <c r="B25" s="2201"/>
      <c r="C25" s="581"/>
      <c r="D25" s="581"/>
      <c r="E25" s="581"/>
      <c r="F25" s="1755">
        <f>SUM(C25+D25)-E25</f>
        <v>0</v>
      </c>
      <c r="G25" s="552"/>
    </row>
    <row r="26" spans="1:11" ht="15.75" customHeight="1" thickTop="1" x14ac:dyDescent="0.2">
      <c r="A26" s="2185" t="s">
        <v>657</v>
      </c>
      <c r="B26" s="2186"/>
      <c r="C26" s="727"/>
      <c r="D26" s="727"/>
      <c r="E26" s="727"/>
      <c r="F26" s="728"/>
    </row>
    <row r="27" spans="1:11" ht="13.5" thickBot="1" x14ac:dyDescent="0.25">
      <c r="A27" s="2187" t="s">
        <v>1070</v>
      </c>
      <c r="B27" s="2188"/>
      <c r="C27" s="585">
        <v>0</v>
      </c>
      <c r="D27" s="585">
        <v>13192</v>
      </c>
      <c r="E27" s="585">
        <v>6529</v>
      </c>
      <c r="F27" s="1755">
        <f>SUM(C27+D27)-E27</f>
        <v>6663</v>
      </c>
      <c r="G27" s="552"/>
    </row>
    <row r="28" spans="1:11" ht="7.5" customHeight="1" thickTop="1" x14ac:dyDescent="0.2">
      <c r="A28" s="593"/>
    </row>
    <row r="29" spans="1:11" ht="23.25" customHeight="1" x14ac:dyDescent="0.2">
      <c r="A29" s="2213" t="s">
        <v>582</v>
      </c>
      <c r="B29" s="2190"/>
      <c r="C29" s="729"/>
      <c r="D29" s="729"/>
      <c r="E29" s="729"/>
      <c r="F29" s="729"/>
      <c r="G29" s="729"/>
      <c r="H29" s="729"/>
      <c r="I29" s="729"/>
      <c r="J29" s="729"/>
    </row>
    <row r="30" spans="1:11" ht="33.75" x14ac:dyDescent="0.2">
      <c r="A30" s="1529" t="s">
        <v>1071</v>
      </c>
      <c r="B30" s="730" t="s">
        <v>1124</v>
      </c>
      <c r="C30" s="1885" t="s">
        <v>583</v>
      </c>
      <c r="D30" s="1885" t="s">
        <v>1673</v>
      </c>
      <c r="E30" s="1885" t="s">
        <v>1959</v>
      </c>
      <c r="F30" s="1885" t="s">
        <v>1960</v>
      </c>
      <c r="G30" s="1885" t="s">
        <v>1910</v>
      </c>
      <c r="H30" s="1885" t="s">
        <v>1961</v>
      </c>
      <c r="I30" s="1885" t="s">
        <v>1962</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t="s">
        <v>2079</v>
      </c>
      <c r="B32" s="733">
        <v>42395</v>
      </c>
      <c r="C32" s="734">
        <v>200000</v>
      </c>
      <c r="D32" s="735">
        <v>1</v>
      </c>
      <c r="E32" s="734">
        <v>105000</v>
      </c>
      <c r="F32" s="734"/>
      <c r="G32" s="734"/>
      <c r="H32" s="734">
        <v>50000</v>
      </c>
      <c r="I32" s="1756">
        <f>((E32+F32)-H32)+G32</f>
        <v>55000</v>
      </c>
      <c r="J32" s="734">
        <v>25344</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t="s">
        <v>2080</v>
      </c>
      <c r="B34" s="733">
        <v>43126</v>
      </c>
      <c r="C34" s="734">
        <v>28673</v>
      </c>
      <c r="D34" s="735">
        <v>7</v>
      </c>
      <c r="E34" s="734">
        <v>15481</v>
      </c>
      <c r="F34" s="734">
        <v>0</v>
      </c>
      <c r="G34" s="734"/>
      <c r="H34" s="734">
        <v>7498</v>
      </c>
      <c r="I34" s="1756">
        <f t="shared" si="1"/>
        <v>7983</v>
      </c>
      <c r="J34" s="734">
        <v>7983</v>
      </c>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228673</v>
      </c>
      <c r="D49" s="745"/>
      <c r="E49" s="1756">
        <f t="shared" ref="E49:J49" si="2">SUM(E31:E48)</f>
        <v>120481</v>
      </c>
      <c r="F49" s="1756">
        <f t="shared" si="2"/>
        <v>0</v>
      </c>
      <c r="G49" s="1756">
        <f t="shared" si="2"/>
        <v>0</v>
      </c>
      <c r="H49" s="1756">
        <f t="shared" si="2"/>
        <v>57498</v>
      </c>
      <c r="I49" s="1756">
        <f t="shared" si="2"/>
        <v>62983</v>
      </c>
      <c r="J49" s="1756">
        <f t="shared" si="2"/>
        <v>33327</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4" t="s">
        <v>584</v>
      </c>
      <c r="C52" s="2205"/>
      <c r="D52" s="2205"/>
      <c r="E52" s="749" t="s">
        <v>845</v>
      </c>
      <c r="F52" s="2206" t="s">
        <v>2081</v>
      </c>
      <c r="G52" s="2207"/>
      <c r="H52" s="736"/>
      <c r="I52" s="736"/>
      <c r="J52" s="746"/>
    </row>
    <row r="53" spans="1:11" ht="11.25" customHeight="1" x14ac:dyDescent="0.2">
      <c r="A53" s="750" t="s">
        <v>913</v>
      </c>
      <c r="B53" s="751" t="s">
        <v>951</v>
      </c>
      <c r="C53" s="746"/>
      <c r="D53" s="737"/>
      <c r="E53" s="749" t="s">
        <v>497</v>
      </c>
      <c r="F53" s="2208"/>
      <c r="G53" s="2209"/>
      <c r="H53" s="736"/>
      <c r="I53" s="736"/>
      <c r="J53" s="746"/>
    </row>
    <row r="54" spans="1:11" ht="11.25" customHeight="1" x14ac:dyDescent="0.2">
      <c r="A54" s="752" t="s">
        <v>914</v>
      </c>
      <c r="B54" s="747" t="s">
        <v>952</v>
      </c>
      <c r="C54" s="746"/>
      <c r="D54" s="737"/>
      <c r="E54" s="749" t="s">
        <v>498</v>
      </c>
      <c r="F54" s="2208"/>
      <c r="G54" s="220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7" colorId="8" zoomScale="110" zoomScaleNormal="110" workbookViewId="0">
      <selection activeCell="J20" sqref="J2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856</v>
      </c>
      <c r="B1" s="2239"/>
      <c r="C1" s="2239"/>
      <c r="D1" s="2239"/>
      <c r="E1" s="2239"/>
      <c r="F1" s="2239"/>
      <c r="G1" s="2240"/>
      <c r="H1" s="1530"/>
      <c r="I1" s="760"/>
      <c r="J1" s="433"/>
    </row>
    <row r="2" spans="1:11" ht="26.25" x14ac:dyDescent="0.2">
      <c r="A2" s="2217" t="s">
        <v>1677</v>
      </c>
      <c r="B2" s="2218"/>
      <c r="C2" s="2218"/>
      <c r="D2" s="2218"/>
      <c r="E2" s="2219"/>
      <c r="F2" s="761" t="s">
        <v>904</v>
      </c>
      <c r="G2" s="762" t="s">
        <v>1674</v>
      </c>
      <c r="H2" s="762" t="s">
        <v>410</v>
      </c>
      <c r="I2" s="762" t="s">
        <v>1158</v>
      </c>
      <c r="J2" s="762" t="s">
        <v>1812</v>
      </c>
      <c r="K2" s="762" t="s">
        <v>138</v>
      </c>
    </row>
    <row r="3" spans="1:11" x14ac:dyDescent="0.2">
      <c r="A3" s="2220" t="s">
        <v>1963</v>
      </c>
      <c r="B3" s="2221"/>
      <c r="C3" s="2221"/>
      <c r="D3" s="2221"/>
      <c r="E3" s="2222"/>
      <c r="F3" s="763"/>
      <c r="G3" s="764"/>
      <c r="H3" s="764">
        <v>0</v>
      </c>
      <c r="I3" s="764"/>
      <c r="J3" s="765">
        <v>30000</v>
      </c>
      <c r="K3" s="765"/>
    </row>
    <row r="4" spans="1:11" x14ac:dyDescent="0.2">
      <c r="A4" s="2223" t="s">
        <v>369</v>
      </c>
      <c r="B4" s="2224"/>
      <c r="C4" s="2224"/>
      <c r="D4" s="2224"/>
      <c r="E4" s="2205"/>
      <c r="F4" s="766"/>
      <c r="G4" s="767"/>
      <c r="H4" s="768"/>
      <c r="I4" s="767"/>
      <c r="J4" s="769"/>
      <c r="K4" s="769"/>
    </row>
    <row r="5" spans="1:11" x14ac:dyDescent="0.2">
      <c r="A5" s="2241" t="s">
        <v>1069</v>
      </c>
      <c r="B5" s="2214"/>
      <c r="C5" s="2214"/>
      <c r="D5" s="2214"/>
      <c r="E5" s="2242"/>
      <c r="F5" s="770" t="s">
        <v>848</v>
      </c>
      <c r="G5" s="771"/>
      <c r="H5" s="764">
        <v>10499</v>
      </c>
      <c r="I5" s="772"/>
      <c r="J5" s="773"/>
      <c r="K5" s="773"/>
    </row>
    <row r="6" spans="1:11" x14ac:dyDescent="0.2">
      <c r="A6" s="774" t="s">
        <v>720</v>
      </c>
      <c r="B6" s="775"/>
      <c r="C6" s="775"/>
      <c r="D6" s="775"/>
      <c r="E6" s="776"/>
      <c r="F6" s="777" t="s">
        <v>849</v>
      </c>
      <c r="G6" s="764"/>
      <c r="H6" s="764">
        <v>9</v>
      </c>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v>94202</v>
      </c>
      <c r="K8" s="769"/>
    </row>
    <row r="9" spans="1:11" x14ac:dyDescent="0.2">
      <c r="A9" s="778" t="s">
        <v>138</v>
      </c>
      <c r="B9" s="779"/>
      <c r="C9" s="779"/>
      <c r="D9" s="779"/>
      <c r="E9" s="780"/>
      <c r="F9" s="777" t="s">
        <v>853</v>
      </c>
      <c r="G9" s="782"/>
      <c r="H9" s="771"/>
      <c r="I9" s="771"/>
      <c r="J9" s="781"/>
      <c r="K9" s="765"/>
    </row>
    <row r="10" spans="1:11" x14ac:dyDescent="0.2">
      <c r="A10" s="2241" t="s">
        <v>1813</v>
      </c>
      <c r="B10" s="2214"/>
      <c r="C10" s="2214"/>
      <c r="D10" s="2214"/>
      <c r="E10" s="2243"/>
      <c r="F10" s="783" t="s">
        <v>862</v>
      </c>
      <c r="G10" s="782"/>
      <c r="H10" s="784"/>
      <c r="I10" s="764"/>
      <c r="J10" s="765"/>
      <c r="K10" s="765"/>
    </row>
    <row r="11" spans="1:11" x14ac:dyDescent="0.2">
      <c r="A11" s="2241" t="s">
        <v>160</v>
      </c>
      <c r="B11" s="2214"/>
      <c r="C11" s="2214"/>
      <c r="D11" s="2214"/>
      <c r="E11" s="2242"/>
      <c r="F11" s="770" t="s">
        <v>852</v>
      </c>
      <c r="G11" s="771"/>
      <c r="H11" s="764"/>
      <c r="I11" s="764"/>
      <c r="J11" s="765"/>
      <c r="K11" s="773"/>
    </row>
    <row r="12" spans="1:11" ht="13.5" thickBot="1" x14ac:dyDescent="0.25">
      <c r="A12" s="2231" t="s">
        <v>905</v>
      </c>
      <c r="B12" s="2232"/>
      <c r="C12" s="2232"/>
      <c r="D12" s="2232"/>
      <c r="E12" s="2233"/>
      <c r="F12" s="1757"/>
      <c r="G12" s="1758">
        <f>SUM(G5:G11)</f>
        <v>0</v>
      </c>
      <c r="H12" s="1758">
        <f>SUM(H5:H11)</f>
        <v>10508</v>
      </c>
      <c r="I12" s="1758">
        <f>SUM(I5:I11)</f>
        <v>0</v>
      </c>
      <c r="J12" s="1758">
        <f>SUM(J5:J11)</f>
        <v>94202</v>
      </c>
      <c r="K12" s="1758">
        <f>SUM(K5:K11)</f>
        <v>0</v>
      </c>
    </row>
    <row r="13" spans="1:11" ht="13.5" thickTop="1" x14ac:dyDescent="0.2">
      <c r="A13" s="2225" t="s">
        <v>370</v>
      </c>
      <c r="B13" s="2226"/>
      <c r="C13" s="2226"/>
      <c r="D13" s="2226"/>
      <c r="E13" s="2227"/>
      <c r="F13" s="785"/>
      <c r="G13" s="786"/>
      <c r="H13" s="787"/>
      <c r="I13" s="788"/>
      <c r="J13" s="788"/>
      <c r="K13" s="788"/>
    </row>
    <row r="14" spans="1:11" x14ac:dyDescent="0.2">
      <c r="A14" s="2247" t="s">
        <v>456</v>
      </c>
      <c r="B14" s="2247"/>
      <c r="C14" s="2247"/>
      <c r="D14" s="2247"/>
      <c r="E14" s="2248"/>
      <c r="F14" s="789" t="s">
        <v>854</v>
      </c>
      <c r="G14" s="782"/>
      <c r="H14" s="764">
        <v>10508</v>
      </c>
      <c r="I14" s="771"/>
      <c r="J14" s="773"/>
      <c r="K14" s="765"/>
    </row>
    <row r="15" spans="1:11" x14ac:dyDescent="0.2">
      <c r="A15" s="2214" t="s">
        <v>4</v>
      </c>
      <c r="B15" s="2214"/>
      <c r="C15" s="2214"/>
      <c r="D15" s="2214"/>
      <c r="E15" s="2242"/>
      <c r="F15" s="789" t="s">
        <v>855</v>
      </c>
      <c r="G15" s="771"/>
      <c r="H15" s="764"/>
      <c r="I15" s="764"/>
      <c r="J15" s="765">
        <v>57964</v>
      </c>
      <c r="K15" s="765"/>
    </row>
    <row r="16" spans="1:11" x14ac:dyDescent="0.2">
      <c r="A16" s="2214" t="s">
        <v>298</v>
      </c>
      <c r="B16" s="2214"/>
      <c r="C16" s="2214"/>
      <c r="D16" s="2214"/>
      <c r="E16" s="2242"/>
      <c r="F16" s="789" t="s">
        <v>923</v>
      </c>
      <c r="G16" s="772"/>
      <c r="H16" s="767"/>
      <c r="I16" s="767"/>
      <c r="J16" s="769"/>
      <c r="K16" s="769"/>
    </row>
    <row r="17" spans="1:11" x14ac:dyDescent="0.2">
      <c r="A17" s="2236" t="s">
        <v>935</v>
      </c>
      <c r="B17" s="2236"/>
      <c r="C17" s="2236"/>
      <c r="D17" s="2236"/>
      <c r="E17" s="2237"/>
      <c r="F17" s="790"/>
      <c r="G17" s="791"/>
      <c r="H17" s="792"/>
      <c r="I17" s="792"/>
      <c r="J17" s="793"/>
      <c r="K17" s="794"/>
    </row>
    <row r="18" spans="1:11" x14ac:dyDescent="0.2">
      <c r="A18" s="2228" t="s">
        <v>368</v>
      </c>
      <c r="B18" s="2229"/>
      <c r="C18" s="2229"/>
      <c r="D18" s="2229"/>
      <c r="E18" s="2230"/>
      <c r="F18" s="789" t="s">
        <v>932</v>
      </c>
      <c r="G18" s="782"/>
      <c r="H18" s="782"/>
      <c r="I18" s="782"/>
      <c r="J18" s="765">
        <v>3537</v>
      </c>
      <c r="K18" s="795"/>
    </row>
    <row r="19" spans="1:11" ht="21.75" customHeight="1" x14ac:dyDescent="0.2">
      <c r="A19" s="2249" t="s">
        <v>1809</v>
      </c>
      <c r="B19" s="2249"/>
      <c r="C19" s="2249"/>
      <c r="D19" s="2249"/>
      <c r="E19" s="2250"/>
      <c r="F19" s="789" t="s">
        <v>933</v>
      </c>
      <c r="G19" s="782"/>
      <c r="H19" s="782"/>
      <c r="I19" s="782"/>
      <c r="J19" s="765">
        <v>29320</v>
      </c>
      <c r="K19" s="795"/>
    </row>
    <row r="20" spans="1:11" x14ac:dyDescent="0.2">
      <c r="A20" s="2228" t="s">
        <v>1814</v>
      </c>
      <c r="B20" s="2229"/>
      <c r="C20" s="2229"/>
      <c r="D20" s="2229"/>
      <c r="E20" s="2230"/>
      <c r="F20" s="789" t="s">
        <v>934</v>
      </c>
      <c r="G20" s="782"/>
      <c r="H20" s="782"/>
      <c r="I20" s="782"/>
      <c r="J20" s="765"/>
      <c r="K20" s="795"/>
    </row>
    <row r="21" spans="1:11" ht="13.5" thickBot="1" x14ac:dyDescent="0.25">
      <c r="A21" s="2234" t="s">
        <v>638</v>
      </c>
      <c r="B21" s="2234"/>
      <c r="C21" s="2234"/>
      <c r="D21" s="2234"/>
      <c r="E21" s="2234"/>
      <c r="F21" s="1759"/>
      <c r="G21" s="792"/>
      <c r="H21" s="796"/>
      <c r="I21" s="796"/>
      <c r="J21" s="1760">
        <f>SUM(J18:J20)</f>
        <v>32857</v>
      </c>
      <c r="K21" s="793"/>
    </row>
    <row r="22" spans="1:11" ht="13.5" thickTop="1" x14ac:dyDescent="0.2">
      <c r="A22" s="2214" t="s">
        <v>1815</v>
      </c>
      <c r="B22" s="2214"/>
      <c r="C22" s="2214"/>
      <c r="D22" s="2214"/>
      <c r="E22" s="2242"/>
      <c r="F22" s="789" t="s">
        <v>862</v>
      </c>
      <c r="G22" s="782"/>
      <c r="H22" s="764"/>
      <c r="I22" s="764"/>
      <c r="J22" s="797"/>
      <c r="K22" s="765"/>
    </row>
    <row r="23" spans="1:11" ht="13.5" thickBot="1" x14ac:dyDescent="0.25">
      <c r="A23" s="2235" t="s">
        <v>906</v>
      </c>
      <c r="B23" s="2234"/>
      <c r="C23" s="2234"/>
      <c r="D23" s="2234"/>
      <c r="E23" s="2234"/>
      <c r="F23" s="1761"/>
      <c r="G23" s="1758">
        <f>SUM(G14:G16,G21,G22)</f>
        <v>0</v>
      </c>
      <c r="H23" s="1758">
        <f>SUM(H14:H16,H21,H22)</f>
        <v>10508</v>
      </c>
      <c r="I23" s="1758">
        <f>SUM(I14:I16,I21,I22)</f>
        <v>0</v>
      </c>
      <c r="J23" s="1758">
        <f>SUM(J14:J16,J21,J22)</f>
        <v>90821</v>
      </c>
      <c r="K23" s="1758">
        <f>SUM(K14:K16,K21,K22)</f>
        <v>0</v>
      </c>
    </row>
    <row r="24" spans="1:11" ht="14.25" thickTop="1" thickBot="1" x14ac:dyDescent="0.25">
      <c r="A24" s="2235" t="s">
        <v>1964</v>
      </c>
      <c r="B24" s="2234"/>
      <c r="C24" s="2234"/>
      <c r="D24" s="2234"/>
      <c r="E24" s="2234"/>
      <c r="F24" s="1762"/>
      <c r="G24" s="1763">
        <f>SUM(G3,G12)-G23</f>
        <v>0</v>
      </c>
      <c r="H24" s="1763">
        <f>SUM(H3,H12)-H23</f>
        <v>0</v>
      </c>
      <c r="I24" s="1763">
        <f>SUM(I3,I12)-I23</f>
        <v>0</v>
      </c>
      <c r="J24" s="1763">
        <f>SUM(J3,J12)-J23</f>
        <v>33381</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33381</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4"/>
      <c r="I31" s="2245"/>
      <c r="J31" s="2245"/>
      <c r="K31" s="2245"/>
    </row>
    <row r="32" spans="1:11" x14ac:dyDescent="0.2">
      <c r="A32" s="809"/>
      <c r="B32" s="237"/>
      <c r="C32" s="237"/>
      <c r="D32" s="237"/>
      <c r="E32" s="805"/>
      <c r="F32" s="811" t="s">
        <v>540</v>
      </c>
      <c r="G32" s="764"/>
      <c r="H32" s="2246"/>
      <c r="I32" s="2245"/>
      <c r="J32" s="2245"/>
      <c r="K32" s="2245"/>
    </row>
    <row r="33" spans="1:11" ht="1.5" customHeight="1" x14ac:dyDescent="0.2">
      <c r="A33" s="812" t="s">
        <v>1169</v>
      </c>
      <c r="B33" s="364"/>
      <c r="C33" s="364"/>
      <c r="D33" s="364"/>
      <c r="E33" s="364"/>
      <c r="F33" s="364"/>
      <c r="G33" s="813"/>
      <c r="H33" s="2246"/>
      <c r="I33" s="2245"/>
      <c r="J33" s="2245"/>
      <c r="K33" s="2245"/>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4" t="s">
        <v>541</v>
      </c>
      <c r="B41" s="2215"/>
      <c r="C41" s="2215"/>
      <c r="D41" s="2215"/>
      <c r="E41" s="2215"/>
      <c r="F41" s="221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4" sqref="J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1908</v>
      </c>
      <c r="B1" s="2254"/>
      <c r="C1" s="2255"/>
      <c r="D1" s="826"/>
      <c r="E1" s="827"/>
      <c r="F1" s="827"/>
      <c r="G1" s="828"/>
      <c r="H1" s="829"/>
      <c r="I1" s="830"/>
      <c r="J1" s="2251"/>
      <c r="K1" s="2252"/>
      <c r="L1" s="2252"/>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16025</v>
      </c>
      <c r="D5" s="841"/>
      <c r="E5" s="841"/>
      <c r="F5" s="1760">
        <f>(C5+D5)-E5</f>
        <v>16025</v>
      </c>
      <c r="G5" s="837"/>
      <c r="H5" s="842"/>
      <c r="I5" s="842"/>
      <c r="J5" s="842"/>
      <c r="K5" s="793"/>
      <c r="L5" s="1769">
        <f>F5-K5</f>
        <v>16025</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1920880</v>
      </c>
      <c r="D8" s="844"/>
      <c r="E8" s="844"/>
      <c r="F8" s="1760">
        <f>(C8+D8)-E8</f>
        <v>1920880</v>
      </c>
      <c r="G8" s="843">
        <v>50</v>
      </c>
      <c r="H8" s="765">
        <v>1197359</v>
      </c>
      <c r="I8" s="765">
        <v>31244</v>
      </c>
      <c r="J8" s="765"/>
      <c r="K8" s="1769">
        <f>(H8+I8)-J8</f>
        <v>1228603</v>
      </c>
      <c r="L8" s="1769">
        <f>F8-K8</f>
        <v>692277</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551094</v>
      </c>
      <c r="D10" s="846">
        <v>61026</v>
      </c>
      <c r="E10" s="846"/>
      <c r="F10" s="1764">
        <f>(C10+D10)-E10</f>
        <v>612120</v>
      </c>
      <c r="G10" s="843">
        <v>20</v>
      </c>
      <c r="H10" s="847">
        <v>129809</v>
      </c>
      <c r="I10" s="847">
        <v>30347</v>
      </c>
      <c r="J10" s="847"/>
      <c r="K10" s="1769">
        <f>(H10+I10)-J10</f>
        <v>160156</v>
      </c>
      <c r="L10" s="1769">
        <f>F10-K10</f>
        <v>451964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174424</v>
      </c>
      <c r="D12" s="844">
        <v>16088</v>
      </c>
      <c r="E12" s="844">
        <v>10766</v>
      </c>
      <c r="F12" s="1760">
        <f>(C12+D12)-E12</f>
        <v>179746</v>
      </c>
      <c r="G12" s="843">
        <v>10</v>
      </c>
      <c r="H12" s="765">
        <v>77803</v>
      </c>
      <c r="I12" s="765">
        <v>17974</v>
      </c>
      <c r="J12" s="765">
        <v>10766</v>
      </c>
      <c r="K12" s="1769">
        <f>(H12+I12)-J12</f>
        <v>85011</v>
      </c>
      <c r="L12" s="1769">
        <f>F12-K12</f>
        <v>94735</v>
      </c>
    </row>
    <row r="13" spans="1:14" ht="14.25" thickTop="1" thickBot="1" x14ac:dyDescent="0.25">
      <c r="A13" s="848" t="s">
        <v>1122</v>
      </c>
      <c r="B13" s="840">
        <v>252</v>
      </c>
      <c r="C13" s="844">
        <v>180934</v>
      </c>
      <c r="D13" s="844">
        <v>16809</v>
      </c>
      <c r="E13" s="844">
        <v>72396</v>
      </c>
      <c r="F13" s="1760">
        <f>(C13+D13)-E13</f>
        <v>125347</v>
      </c>
      <c r="G13" s="843">
        <v>5</v>
      </c>
      <c r="H13" s="765">
        <v>120413</v>
      </c>
      <c r="I13" s="765">
        <v>25068</v>
      </c>
      <c r="J13" s="765">
        <v>72396</v>
      </c>
      <c r="K13" s="1769">
        <f>(H13+I13)-J13</f>
        <v>73085</v>
      </c>
      <c r="L13" s="1769">
        <f>F13-K13</f>
        <v>52262</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12203</v>
      </c>
      <c r="D15" s="844">
        <v>37771</v>
      </c>
      <c r="E15" s="844">
        <v>49974</v>
      </c>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2855560</v>
      </c>
      <c r="D16" s="1760">
        <f>SUM(D3,D5:D6,D8:D10,D12:D15)</f>
        <v>131694</v>
      </c>
      <c r="E16" s="1760">
        <f>SUM(E3,E5:E6,E8:E10,E12:E15)</f>
        <v>133136</v>
      </c>
      <c r="F16" s="1760">
        <f>SUM(F3,F5:F6,F8:F10,F12:F15)</f>
        <v>2854118</v>
      </c>
      <c r="G16" s="843"/>
      <c r="H16" s="1760">
        <f>SUM(H3,H6,H8:H10,H12:H14,)</f>
        <v>1525384</v>
      </c>
      <c r="I16" s="1760">
        <f>SUM(I3,I6,I8:I10,I12:I14,)</f>
        <v>104633</v>
      </c>
      <c r="J16" s="1760">
        <f>SUM(J3,J6,J8:J10,J12:J14,)</f>
        <v>83162</v>
      </c>
      <c r="K16" s="1760">
        <f>(H16+I16)-J16</f>
        <v>1546855</v>
      </c>
      <c r="L16" s="1760">
        <f>F16-K16</f>
        <v>1307263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104633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08" activePane="bottomLeft" state="frozen"/>
      <selection activeCell="A47" sqref="A47"/>
      <selection pane="bottomLeft" activeCell="F173" sqref="F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1974</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1990018</v>
      </c>
      <c r="G8" s="865"/>
    </row>
    <row r="9" spans="1:7" x14ac:dyDescent="0.2">
      <c r="A9" s="869" t="s">
        <v>460</v>
      </c>
      <c r="B9" s="870" t="s">
        <v>1876</v>
      </c>
      <c r="C9" s="871"/>
      <c r="D9" s="869" t="s">
        <v>501</v>
      </c>
      <c r="E9" s="868"/>
      <c r="F9" s="1909">
        <f>'Expenditures 15-22'!K151</f>
        <v>184027</v>
      </c>
      <c r="G9" s="872"/>
    </row>
    <row r="10" spans="1:7" x14ac:dyDescent="0.2">
      <c r="A10" s="869" t="s">
        <v>499</v>
      </c>
      <c r="B10" s="870" t="s">
        <v>1877</v>
      </c>
      <c r="C10" s="871"/>
      <c r="D10" s="869" t="s">
        <v>501</v>
      </c>
      <c r="E10" s="868"/>
      <c r="F10" s="1909">
        <f>'Expenditures 15-22'!K174</f>
        <v>54038</v>
      </c>
      <c r="G10" s="872"/>
    </row>
    <row r="11" spans="1:7" x14ac:dyDescent="0.2">
      <c r="A11" s="869" t="s">
        <v>461</v>
      </c>
      <c r="B11" s="870" t="s">
        <v>1878</v>
      </c>
      <c r="C11" s="871"/>
      <c r="D11" s="869" t="s">
        <v>501</v>
      </c>
      <c r="E11" s="868"/>
      <c r="F11" s="1909">
        <f>'Expenditures 15-22'!K210</f>
        <v>107626</v>
      </c>
      <c r="G11" s="872"/>
    </row>
    <row r="12" spans="1:7" x14ac:dyDescent="0.2">
      <c r="A12" s="869" t="s">
        <v>462</v>
      </c>
      <c r="B12" s="870" t="s">
        <v>1879</v>
      </c>
      <c r="C12" s="871"/>
      <c r="D12" s="869" t="s">
        <v>501</v>
      </c>
      <c r="E12" s="868"/>
      <c r="F12" s="1909">
        <f>'Expenditures 15-22'!K295</f>
        <v>88035</v>
      </c>
      <c r="G12" s="872"/>
    </row>
    <row r="13" spans="1:7" x14ac:dyDescent="0.2">
      <c r="A13" s="869" t="s">
        <v>106</v>
      </c>
      <c r="B13" s="870" t="s">
        <v>1880</v>
      </c>
      <c r="C13" s="871"/>
      <c r="D13" s="869" t="s">
        <v>501</v>
      </c>
      <c r="E13" s="868"/>
      <c r="F13" s="1909">
        <f>'Expenditures 15-22'!K342</f>
        <v>245339</v>
      </c>
      <c r="G13" s="873"/>
    </row>
    <row r="14" spans="1:7" ht="12" customHeight="1" thickBot="1" x14ac:dyDescent="0.25">
      <c r="A14" s="1770"/>
      <c r="B14" s="1771"/>
      <c r="C14" s="1772"/>
      <c r="D14" s="1773" t="s">
        <v>501</v>
      </c>
      <c r="E14" s="1774" t="s">
        <v>958</v>
      </c>
      <c r="F14" s="1775">
        <f>SUM(F8:F13)</f>
        <v>2669083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4">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2001</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58976</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178308</v>
      </c>
      <c r="G53" s="865"/>
    </row>
    <row r="54" spans="1:7" x14ac:dyDescent="0.2">
      <c r="A54" s="869" t="s">
        <v>459</v>
      </c>
      <c r="B54" s="869" t="s">
        <v>1476</v>
      </c>
      <c r="C54" s="889" t="s">
        <v>982</v>
      </c>
      <c r="D54" s="885" t="s">
        <v>1095</v>
      </c>
      <c r="E54" s="868"/>
      <c r="F54" s="1913">
        <f>'Expenditures 15-22'!G114</f>
        <v>23854</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2493</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50000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8994</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4239</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326864</v>
      </c>
      <c r="G76" s="865"/>
    </row>
    <row r="77" spans="1:8" s="893" customFormat="1" ht="12" customHeight="1" thickTop="1" thickBot="1" x14ac:dyDescent="0.25">
      <c r="A77" s="1779"/>
      <c r="B77" s="1776"/>
      <c r="C77" s="1772"/>
      <c r="D77" s="1777" t="s">
        <v>1899</v>
      </c>
      <c r="E77" s="1774"/>
      <c r="F77" s="1780">
        <f>(F14-F76)</f>
        <v>2342219</v>
      </c>
      <c r="G77" s="869"/>
    </row>
    <row r="78" spans="1:8" s="893" customFormat="1" ht="12" customHeight="1" thickTop="1" x14ac:dyDescent="0.2">
      <c r="A78" s="1781"/>
      <c r="B78" s="1776"/>
      <c r="C78" s="1772"/>
      <c r="D78" s="1777" t="s">
        <v>2061</v>
      </c>
      <c r="E78" s="1774"/>
      <c r="F78" s="898">
        <v>273.39999999999998</v>
      </c>
      <c r="G78" s="899"/>
      <c r="H78" s="869"/>
    </row>
    <row r="79" spans="1:8" s="893" customFormat="1" ht="12" customHeight="1" thickBot="1" x14ac:dyDescent="0.25">
      <c r="A79" s="1782"/>
      <c r="B79" s="1776"/>
      <c r="C79" s="1772"/>
      <c r="D79" s="1777" t="s">
        <v>1900</v>
      </c>
      <c r="E79" s="1774" t="s">
        <v>958</v>
      </c>
      <c r="F79" s="1783">
        <f>IF(F78&gt;0,F77/F78," Complete Line 78")</f>
        <v>8567.0043891733731</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53231</v>
      </c>
      <c r="G94" s="912"/>
    </row>
    <row r="95" spans="1:7" x14ac:dyDescent="0.2">
      <c r="A95" s="908" t="s">
        <v>140</v>
      </c>
      <c r="B95" s="908" t="s">
        <v>175</v>
      </c>
      <c r="C95" s="910">
        <v>1700</v>
      </c>
      <c r="D95" s="918" t="str">
        <f>'Revenues 9-14'!A82</f>
        <v>Total District/School Activity Income</v>
      </c>
      <c r="E95" s="906"/>
      <c r="F95" s="1789">
        <f>SUM('Revenues 9-14'!C82,'Revenues 9-14'!D82)</f>
        <v>66193</v>
      </c>
      <c r="G95" s="912"/>
    </row>
    <row r="96" spans="1:7" x14ac:dyDescent="0.2">
      <c r="A96" s="908" t="s">
        <v>459</v>
      </c>
      <c r="B96" s="908" t="s">
        <v>176</v>
      </c>
      <c r="C96" s="910">
        <f>'Revenues 9-14'!B84</f>
        <v>1811</v>
      </c>
      <c r="D96" s="911" t="str">
        <f>'Revenues 9-14'!A84</f>
        <v>Rentals - Regular Textbooks</v>
      </c>
      <c r="E96" s="906"/>
      <c r="F96" s="1789">
        <f>'Revenues 9-14'!C84</f>
        <v>15721</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2002</v>
      </c>
      <c r="C105" s="913">
        <v>3100</v>
      </c>
      <c r="D105" s="919" t="str">
        <f>'Revenues 9-14'!A132</f>
        <v>Total Special Education</v>
      </c>
      <c r="E105" s="906"/>
      <c r="F105" s="1789">
        <f>SUM('Revenues 9-14'!C132:D132,'Revenues 9-14'!F132)</f>
        <v>75456</v>
      </c>
      <c r="G105" s="912"/>
    </row>
    <row r="106" spans="1:7" x14ac:dyDescent="0.2">
      <c r="A106" s="908" t="s">
        <v>673</v>
      </c>
      <c r="B106" s="908" t="s">
        <v>2003</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2004</v>
      </c>
      <c r="C107" s="920">
        <v>3300</v>
      </c>
      <c r="D107" s="911" t="str">
        <f>'Revenues 9-14'!A145</f>
        <v>Total Bilingual Ed</v>
      </c>
      <c r="E107" s="906"/>
      <c r="F107" s="1789">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9">
        <f>'Revenues 9-14'!C146</f>
        <v>438</v>
      </c>
      <c r="G108" s="912"/>
    </row>
    <row r="109" spans="1:7" x14ac:dyDescent="0.2">
      <c r="A109" s="908" t="s">
        <v>673</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0</v>
      </c>
      <c r="G110" s="912"/>
    </row>
    <row r="111" spans="1:7" x14ac:dyDescent="0.2">
      <c r="A111" s="908" t="s">
        <v>668</v>
      </c>
      <c r="B111" s="908" t="s">
        <v>2008</v>
      </c>
      <c r="C111" s="922">
        <v>3500</v>
      </c>
      <c r="D111" s="911" t="str">
        <f>'Revenues 9-14'!A155</f>
        <v>Total Transportation</v>
      </c>
      <c r="E111" s="906"/>
      <c r="F111" s="1789">
        <f>SUM('Revenues 9-14'!C155,'Revenues 9-14'!D155,'Revenues 9-14'!F155,'Revenues 9-14'!G155)</f>
        <v>68840</v>
      </c>
      <c r="G111" s="912"/>
    </row>
    <row r="112" spans="1:7" x14ac:dyDescent="0.2">
      <c r="A112" s="908" t="s">
        <v>459</v>
      </c>
      <c r="B112" s="908" t="s">
        <v>2009</v>
      </c>
      <c r="C112" s="920">
        <f>'Revenues 9-14'!B156</f>
        <v>3610</v>
      </c>
      <c r="D112" s="911" t="str">
        <f>'Revenues 9-14'!A156</f>
        <v>Learning Improvement - Change Grants</v>
      </c>
      <c r="E112" s="906"/>
      <c r="F112" s="1789">
        <f>'Revenues 9-14'!C156</f>
        <v>0</v>
      </c>
      <c r="G112" s="912"/>
    </row>
    <row r="113" spans="1:7" x14ac:dyDescent="0.2">
      <c r="A113" s="908" t="s">
        <v>668</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7">
        <f>SUM('Revenues 9-14'!C163:G163)</f>
        <v>0</v>
      </c>
      <c r="G118" s="912"/>
    </row>
    <row r="119" spans="1:7" x14ac:dyDescent="0.2">
      <c r="A119" s="923" t="s">
        <v>504</v>
      </c>
      <c r="B119" s="923" t="s">
        <v>2016</v>
      </c>
      <c r="C119" s="924">
        <f>'Revenues 9-14'!B164</f>
        <v>3815</v>
      </c>
      <c r="D119" s="925" t="str">
        <f>'Revenues 9-14'!A164</f>
        <v>State Charter Schools</v>
      </c>
      <c r="E119" s="906"/>
      <c r="F119" s="1907">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9">
        <f>'Revenues 9-14'!D167</f>
        <v>0</v>
      </c>
      <c r="G120" s="930"/>
    </row>
    <row r="121" spans="1:7" x14ac:dyDescent="0.2">
      <c r="A121" s="927" t="s">
        <v>500</v>
      </c>
      <c r="B121" s="927" t="s">
        <v>2018</v>
      </c>
      <c r="C121" s="928">
        <f>'Revenues 9-14'!B168</f>
        <v>3999</v>
      </c>
      <c r="D121" s="929" t="s">
        <v>543</v>
      </c>
      <c r="E121" s="931"/>
      <c r="F121" s="1789">
        <f>SUM('Revenues 9-14'!C168:G168,'Revenues 9-14'!J168)</f>
        <v>0</v>
      </c>
      <c r="G121" s="930"/>
    </row>
    <row r="122" spans="1:7" x14ac:dyDescent="0.2">
      <c r="A122" s="927" t="s">
        <v>459</v>
      </c>
      <c r="B122" s="927" t="s">
        <v>2019</v>
      </c>
      <c r="C122" s="932">
        <f>'Revenues 9-14'!B177</f>
        <v>4045</v>
      </c>
      <c r="D122" s="929" t="str">
        <f>'Revenues 9-14'!A177 &amp; " (Subtract)"</f>
        <v>Head Start (Subtract)</v>
      </c>
      <c r="E122" s="906"/>
      <c r="F122" s="1789">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2021</v>
      </c>
      <c r="C124" s="932">
        <v>4100</v>
      </c>
      <c r="D124" s="933" t="str">
        <f>'Revenues 9-14'!A188</f>
        <v>Total Title V</v>
      </c>
      <c r="E124" s="906"/>
      <c r="F124" s="1789">
        <f>SUM('Revenues 9-14'!C188,'Revenues 9-14'!D188,'Revenues 9-14'!F188,'Revenues 9-14'!G188)</f>
        <v>0</v>
      </c>
      <c r="G124" s="930"/>
    </row>
    <row r="125" spans="1:7" x14ac:dyDescent="0.2">
      <c r="A125" s="927" t="s">
        <v>664</v>
      </c>
      <c r="B125" s="927" t="s">
        <v>2022</v>
      </c>
      <c r="C125" s="932">
        <v>4200</v>
      </c>
      <c r="D125" s="929" t="str">
        <f>'Revenues 9-14'!A198</f>
        <v>Total Food Service</v>
      </c>
      <c r="E125" s="906"/>
      <c r="F125" s="1789">
        <f>SUM('Revenues 9-14'!C198,'Revenues 9-14'!G198)</f>
        <v>35522</v>
      </c>
      <c r="G125" s="930"/>
    </row>
    <row r="126" spans="1:7" x14ac:dyDescent="0.2">
      <c r="A126" s="927" t="s">
        <v>668</v>
      </c>
      <c r="B126" s="927" t="s">
        <v>2023</v>
      </c>
      <c r="C126" s="932">
        <v>4300</v>
      </c>
      <c r="D126" s="933" t="str">
        <f>'Revenues 9-14'!A204</f>
        <v>Total Title I</v>
      </c>
      <c r="E126" s="906"/>
      <c r="F126" s="1789">
        <f>SUM('Revenues 9-14'!C204,'Revenues 9-14'!D204,'Revenues 9-14'!F204,'Revenues 9-14'!G204)</f>
        <v>73398</v>
      </c>
      <c r="G126" s="930"/>
    </row>
    <row r="127" spans="1:7" x14ac:dyDescent="0.2">
      <c r="A127" s="927" t="s">
        <v>668</v>
      </c>
      <c r="B127" s="927" t="s">
        <v>2024</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2025</v>
      </c>
      <c r="C128" s="932">
        <f>'Revenues 9-14'!B213</f>
        <v>4620</v>
      </c>
      <c r="D128" s="933" t="str">
        <f>'Revenues 9-14'!A213</f>
        <v>Fed - Spec Education - IDEA - Flow Through</v>
      </c>
      <c r="E128" s="906"/>
      <c r="F128" s="1789">
        <f>SUM('Revenues 9-14'!C213:D213,'Revenues 9-14'!F213:G213)</f>
        <v>6528</v>
      </c>
      <c r="G128" s="930"/>
    </row>
    <row r="129" spans="1:7" x14ac:dyDescent="0.2">
      <c r="A129" s="927" t="s">
        <v>668</v>
      </c>
      <c r="B129" s="927" t="s">
        <v>2026</v>
      </c>
      <c r="C129" s="932">
        <f>'Revenues 9-14'!B214</f>
        <v>4625</v>
      </c>
      <c r="D129" s="933" t="str">
        <f>'Revenues 9-14'!A214</f>
        <v>Fed - Spec Education - IDEA - Room &amp; Board</v>
      </c>
      <c r="E129" s="906"/>
      <c r="F129" s="1789">
        <f>SUM('Revenues 9-14'!C214,'Revenues 9-14'!D214,'Revenues 9-14'!F214,'Revenues 9-14'!G214)</f>
        <v>2196</v>
      </c>
      <c r="G129" s="930"/>
    </row>
    <row r="130" spans="1:7" x14ac:dyDescent="0.2">
      <c r="A130" s="927" t="s">
        <v>668</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2043</v>
      </c>
      <c r="C157" s="940" t="s">
        <v>841</v>
      </c>
      <c r="D157" s="941" t="s">
        <v>777</v>
      </c>
      <c r="E157" s="942"/>
      <c r="F157" s="1789">
        <f>SUM(F133:F156)</f>
        <v>0</v>
      </c>
      <c r="G157" s="905"/>
    </row>
    <row r="158" spans="1:7" s="867" customFormat="1" x14ac:dyDescent="0.2">
      <c r="A158" s="938" t="s">
        <v>459</v>
      </c>
      <c r="B158" s="939" t="s">
        <v>2044</v>
      </c>
      <c r="C158" s="940" t="s">
        <v>1427</v>
      </c>
      <c r="D158" s="941" t="s">
        <v>1428</v>
      </c>
      <c r="E158" s="942"/>
      <c r="F158" s="1789">
        <f>SUM('Revenues 9-14'!C253)</f>
        <v>0</v>
      </c>
      <c r="G158" s="905"/>
    </row>
    <row r="159" spans="1:7" s="867" customFormat="1" x14ac:dyDescent="0.2">
      <c r="A159" s="938" t="s">
        <v>500</v>
      </c>
      <c r="B159" s="939" t="s">
        <v>2045</v>
      </c>
      <c r="C159" s="940" t="s">
        <v>1466</v>
      </c>
      <c r="D159" s="941" t="s">
        <v>1467</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7">
        <f>SUM('Revenues 9-14'!C259,'Revenues 9-14'!D259,'Revenues 9-14'!F259,'Revenues 9-14'!G259)</f>
        <v>275</v>
      </c>
      <c r="G164" s="930"/>
    </row>
    <row r="165" spans="1:7" x14ac:dyDescent="0.2">
      <c r="A165" s="927" t="s">
        <v>668</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9">
        <f>SUM('Revenues 9-14'!C263:D263,'Revenues 9-14'!F263:G263)</f>
        <v>6995</v>
      </c>
      <c r="G168" s="947">
        <v>6320</v>
      </c>
    </row>
    <row r="169" spans="1:7" x14ac:dyDescent="0.2">
      <c r="A169" s="927" t="s">
        <v>668</v>
      </c>
      <c r="B169" s="927" t="s">
        <v>2053</v>
      </c>
      <c r="C169" s="932">
        <f>'Revenues 9-14'!B264</f>
        <v>4992</v>
      </c>
      <c r="D169" s="933" t="str">
        <f>'Revenues 9-14'!A264</f>
        <v>Medicaid Matching Funds - Fee-for-Service Program</v>
      </c>
      <c r="E169" s="906"/>
      <c r="F169" s="1789">
        <f>SUM('Revenues 9-14'!C264:D264,'Revenues 9-14'!F264:G264)</f>
        <v>5432</v>
      </c>
      <c r="G169" s="947"/>
    </row>
    <row r="170" spans="1:7" x14ac:dyDescent="0.2">
      <c r="A170" s="948" t="s">
        <v>668</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55961</v>
      </c>
      <c r="G171" s="927"/>
    </row>
    <row r="172" spans="1:7" x14ac:dyDescent="0.2">
      <c r="A172" s="1918" t="s">
        <v>664</v>
      </c>
      <c r="B172" s="1919" t="s">
        <v>1919</v>
      </c>
      <c r="C172" s="1920">
        <v>3300</v>
      </c>
      <c r="D172" s="1921" t="s">
        <v>1922</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958</v>
      </c>
      <c r="F174" s="1788">
        <f>SUM(F84:F132,F157:F172)</f>
        <v>466186</v>
      </c>
    </row>
    <row r="175" spans="1:7" ht="12" customHeight="1" x14ac:dyDescent="0.2">
      <c r="A175" s="1770"/>
      <c r="B175" s="1784"/>
      <c r="C175" s="1785"/>
      <c r="D175" s="1786" t="s">
        <v>2056</v>
      </c>
      <c r="E175" s="1787"/>
      <c r="F175" s="1789">
        <f>'PCTC-OEPP 27-28'!F77-F174</f>
        <v>1876033</v>
      </c>
    </row>
    <row r="176" spans="1:7" ht="12" customHeight="1" x14ac:dyDescent="0.2">
      <c r="A176" s="1770"/>
      <c r="B176" s="1784"/>
      <c r="C176" s="1785"/>
      <c r="D176" s="1786" t="s">
        <v>1817</v>
      </c>
      <c r="E176" s="1787"/>
      <c r="F176" s="1789">
        <f>'Cap Outlay Deprec 26'!I18</f>
        <v>104633</v>
      </c>
    </row>
    <row r="177" spans="1:7" ht="12" customHeight="1" x14ac:dyDescent="0.2">
      <c r="A177" s="1770"/>
      <c r="B177" s="1784"/>
      <c r="C177" s="1785"/>
      <c r="D177" s="1786" t="s">
        <v>2057</v>
      </c>
      <c r="E177" s="1787"/>
      <c r="F177" s="1789">
        <f>F175+F176</f>
        <v>1980666</v>
      </c>
    </row>
    <row r="178" spans="1:7" ht="12" customHeight="1" x14ac:dyDescent="0.2">
      <c r="A178" s="1770"/>
      <c r="B178" s="1790"/>
      <c r="C178" s="1785"/>
      <c r="D178" s="1786" t="str">
        <f>D78</f>
        <v>9 Month ADA from District Average Daily Attendance/Prior General State Aid Inquiry 2018-2019</v>
      </c>
      <c r="E178" s="1787"/>
      <c r="F178" s="1791">
        <f>'PCTC-OEPP 27-28'!F78</f>
        <v>273.39999999999998</v>
      </c>
      <c r="G178" s="930"/>
    </row>
    <row r="179" spans="1:7" ht="12" customHeight="1" thickBot="1" x14ac:dyDescent="0.25">
      <c r="A179" s="1770"/>
      <c r="B179" s="1790"/>
      <c r="C179" s="1785"/>
      <c r="D179" s="1786" t="s">
        <v>2058</v>
      </c>
      <c r="E179" s="1787" t="s">
        <v>1545</v>
      </c>
      <c r="F179" s="1792">
        <f>F177/F178</f>
        <v>7244.5720555961971</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18" sqref="D18"/>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4" t="s">
        <v>1819</v>
      </c>
      <c r="B6" s="1535"/>
      <c r="C6" s="1535"/>
      <c r="D6" s="1535"/>
      <c r="E6" s="1535"/>
      <c r="F6" s="1535"/>
      <c r="G6" s="1536"/>
    </row>
    <row r="7" spans="1:7" ht="30.75" customHeight="1" x14ac:dyDescent="0.25">
      <c r="A7" s="2276" t="s">
        <v>1931</v>
      </c>
      <c r="B7" s="2277"/>
      <c r="C7" s="2277"/>
      <c r="D7" s="2277"/>
      <c r="E7" s="2277"/>
      <c r="F7" s="2277"/>
      <c r="G7" s="2278"/>
    </row>
    <row r="8" spans="1:7" ht="15.75" customHeight="1" x14ac:dyDescent="0.25">
      <c r="A8" s="2279" t="s">
        <v>1906</v>
      </c>
      <c r="B8" s="2280"/>
      <c r="C8" s="2280"/>
      <c r="D8" s="2280"/>
      <c r="E8" s="2280"/>
      <c r="F8" s="2280"/>
      <c r="G8" s="2281"/>
    </row>
    <row r="9" spans="1:7" ht="35.25" customHeight="1" x14ac:dyDescent="0.25">
      <c r="A9" s="2276" t="s">
        <v>1934</v>
      </c>
      <c r="B9" s="2277"/>
      <c r="C9" s="2277"/>
      <c r="D9" s="2277"/>
      <c r="E9" s="2277"/>
      <c r="F9" s="2277"/>
      <c r="G9" s="2278"/>
    </row>
    <row r="10" spans="1:7" ht="15" customHeight="1" x14ac:dyDescent="0.25">
      <c r="A10" s="1537" t="s">
        <v>1820</v>
      </c>
      <c r="B10" s="1538"/>
      <c r="C10" s="1538"/>
      <c r="D10" s="1538"/>
      <c r="E10" s="1538"/>
      <c r="F10" s="1538"/>
      <c r="G10" s="1539"/>
    </row>
    <row r="11" spans="1:7" ht="17.25" customHeight="1" x14ac:dyDescent="0.25">
      <c r="A11" s="2276" t="s">
        <v>1933</v>
      </c>
      <c r="B11" s="2277"/>
      <c r="C11" s="2277"/>
      <c r="D11" s="2277"/>
      <c r="E11" s="2277"/>
      <c r="F11" s="2277"/>
      <c r="G11" s="2278"/>
    </row>
    <row r="12" spans="1:7" ht="15" customHeight="1" x14ac:dyDescent="0.25">
      <c r="A12" s="1537" t="s">
        <v>1825</v>
      </c>
      <c r="B12" s="1538"/>
      <c r="C12" s="1538"/>
      <c r="D12" s="1538"/>
      <c r="E12" s="1538"/>
      <c r="F12" s="1538"/>
      <c r="G12" s="1539"/>
    </row>
    <row r="13" spans="1:7" ht="32.25" customHeight="1" x14ac:dyDescent="0.25">
      <c r="A13" s="2267" t="s">
        <v>1975</v>
      </c>
      <c r="B13" s="2268"/>
      <c r="C13" s="2268"/>
      <c r="D13" s="2268"/>
      <c r="E13" s="2268"/>
      <c r="F13" s="2268"/>
      <c r="G13" s="2269"/>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8" t="s">
        <v>2109</v>
      </c>
      <c r="B17" s="1939" t="s">
        <v>2110</v>
      </c>
      <c r="C17" s="1940" t="s">
        <v>2111</v>
      </c>
      <c r="D17" s="1844">
        <v>96852</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71852</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96852</v>
      </c>
      <c r="E141" s="1541">
        <f t="shared" si="0"/>
        <v>25000</v>
      </c>
      <c r="F141" s="1933">
        <f>SUM(F17:F140)</f>
        <v>25000</v>
      </c>
      <c r="G141" s="1795">
        <f>SUM(G17:G140)</f>
        <v>71852</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&amp;LPage 29&amp;RPage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5" sqref="E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1932</v>
      </c>
      <c r="B10" s="971"/>
      <c r="C10" s="976"/>
      <c r="D10" s="972"/>
      <c r="E10" s="973">
        <v>0</v>
      </c>
      <c r="F10" s="974"/>
      <c r="G10" s="975"/>
      <c r="H10" s="162"/>
      <c r="I10" s="162"/>
    </row>
    <row r="11" spans="1:9" s="668" customFormat="1" ht="22.5" customHeight="1" x14ac:dyDescent="0.2">
      <c r="A11" s="2287" t="s">
        <v>1976</v>
      </c>
      <c r="B11" s="2288"/>
      <c r="C11" s="2288"/>
      <c r="D11" s="2289"/>
      <c r="E11" s="977">
        <v>13353</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1426275</v>
      </c>
      <c r="F19" s="1799"/>
      <c r="G19" s="1801">
        <f>'Expenditures 15-22'!K33-SUM('Expenditures 15-22'!G33,'Expenditures 15-22'!I33)+'Expenditures 15-22'!D229</f>
        <v>1426275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0</v>
      </c>
      <c r="F21" s="1802"/>
      <c r="G21" s="1805">
        <f>'Expenditures 15-22'!K42-SUM('Expenditures 15-22'!G42,'Expenditures 15-22'!I42)+'Expenditures 15-22'!K120-SUM('Expenditures 15-22'!G120,'Expenditures 15-22'!I120)+'Expenditures 15-22'!K180-SUM('Expenditures 15-22'!G180,'Expenditures 15-22'!I180)+'Expenditures 15-22'!D238</f>
        <v>0</v>
      </c>
      <c r="H21" s="987"/>
      <c r="I21" s="162"/>
    </row>
    <row r="22" spans="1:9" s="668" customFormat="1" ht="12" customHeight="1" x14ac:dyDescent="0.2">
      <c r="A22" s="994" t="s">
        <v>564</v>
      </c>
      <c r="B22" s="995"/>
      <c r="C22" s="993">
        <v>2200</v>
      </c>
      <c r="D22" s="1802"/>
      <c r="E22" s="1804">
        <f>'Expenditures 15-22'!K47-SUM('Expenditures 15-22'!G47,'Expenditures 15-22'!I47)+'Expenditures 15-22'!D243</f>
        <v>51594</v>
      </c>
      <c r="F22" s="1802"/>
      <c r="G22" s="1805">
        <f>'Expenditures 15-22'!K47-SUM('Expenditures 15-22'!G47,'Expenditures 15-22'!I47)+'Expenditures 15-22'!D243</f>
        <v>51594</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406806</v>
      </c>
      <c r="F23" s="1802"/>
      <c r="G23" s="1804">
        <f>'Expenditures 15-22'!K53-SUM('Expenditures 15-22'!G53,'Expenditures 15-22'!I53)+'Expenditures 15-22'!D257+'Expenditures 15-22'!K330-SUM('Expenditures 15-22'!G330,'Expenditures 15-22'!I330)</f>
        <v>406806</v>
      </c>
      <c r="H23" s="987"/>
      <c r="I23" s="162"/>
    </row>
    <row r="24" spans="1:9" s="668" customFormat="1" ht="12" customHeight="1" x14ac:dyDescent="0.2">
      <c r="A24" s="994" t="s">
        <v>566</v>
      </c>
      <c r="B24" s="995"/>
      <c r="C24" s="993">
        <v>2400</v>
      </c>
      <c r="D24" s="1802"/>
      <c r="E24" s="1804">
        <f>'Expenditures 15-22'!K57-SUM('Expenditures 15-22'!G57,'Expenditures 15-22'!I57)+'Expenditures 15-22'!D261</f>
        <v>59519</v>
      </c>
      <c r="F24" s="1802"/>
      <c r="G24" s="1805">
        <f>'Expenditures 15-22'!K57-SUM('Expenditures 15-22'!G57,'Expenditures 15-22'!I57)+'Expenditures 15-22'!D261</f>
        <v>59519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54286</v>
      </c>
      <c r="E27" s="1804">
        <f>E8</f>
        <v>0</v>
      </c>
      <c r="F27" s="1804">
        <f>'Expenditures 15-22'!K60-SUM('Expenditures 15-22'!G60,'Expenditures 15-22'!I60)+'Expenditures 15-22'!D264-E8</f>
        <v>54286</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198881</v>
      </c>
      <c r="F28" s="1806">
        <f>'Expenditures 15-22'!K61-SUM('Expenditures 15-22'!G61,'Expenditures 15-22'!I61)+'Expenditures 15-22'!K124-SUM('Expenditures 15-22'!G124,'Expenditures 15-22'!I124)+'Expenditures 15-22'!D266-E9</f>
        <v>198881</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107626</v>
      </c>
      <c r="F29" s="1802"/>
      <c r="G29" s="1805">
        <f>'Expenditures 15-22'!K62-SUM('Expenditures 15-22'!G62,'Expenditures 15-22'!I62)+'Expenditures 15-22'!K125-SUM('Expenditures 15-22'!G125,'Expenditures 15-22'!I125)+'Expenditures 15-22'!K182-SUM('Expenditures 15-22'!G182,'Expenditures 15-22'!I182)+'Expenditures 15-22'!D267</f>
        <v>107626</v>
      </c>
      <c r="H29" s="985"/>
    </row>
    <row r="30" spans="1:9" ht="12" customHeight="1" x14ac:dyDescent="0.2">
      <c r="A30" s="994" t="s">
        <v>100</v>
      </c>
      <c r="B30" s="997"/>
      <c r="C30" s="993">
        <v>2560</v>
      </c>
      <c r="D30" s="1802"/>
      <c r="E30" s="1804">
        <f>'Expenditures 15-22'!K63-SUM('Expenditures 15-22'!G63,'Expenditures 15-22'!I63)+'Expenditures 15-22'!D268-E10</f>
        <v>94303</v>
      </c>
      <c r="F30" s="1802"/>
      <c r="G30" s="1804">
        <f>'Expenditures 15-22'!K63-SUM('Expenditures 15-22'!G63,'Expenditures 15-22'!I63)+'Expenditures 15-22'!D268-E10</f>
        <v>94303</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-71852</v>
      </c>
      <c r="F40" s="1802"/>
      <c r="G40" s="1806">
        <f>-'Contracts Paid in CY 29'!G141</f>
        <v>-71852</v>
      </c>
    </row>
    <row r="41" spans="1:7" ht="12" customHeight="1" x14ac:dyDescent="0.2">
      <c r="A41" s="998" t="s">
        <v>156</v>
      </c>
      <c r="B41" s="999"/>
      <c r="C41" s="1000"/>
      <c r="D41" s="1806">
        <f>SUM(D19:D39)</f>
        <v>54286</v>
      </c>
      <c r="E41" s="1806">
        <f>SUM(E19:E40)</f>
        <v>2273152</v>
      </c>
      <c r="F41" s="1806">
        <f>SUM(F19:F39)</f>
        <v>253167</v>
      </c>
      <c r="G41" s="1806">
        <f>SUM(G19:G40)</f>
        <v>2074271</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54286</v>
      </c>
      <c r="F43" s="1807" t="s">
        <v>473</v>
      </c>
      <c r="G43" s="1808">
        <f>F41</f>
        <v>253167</v>
      </c>
    </row>
    <row r="44" spans="1:7" ht="12" customHeight="1" x14ac:dyDescent="0.2">
      <c r="A44" s="987"/>
      <c r="B44" s="162"/>
      <c r="C44" s="1001"/>
      <c r="D44" s="1807" t="s">
        <v>474</v>
      </c>
      <c r="E44" s="1808">
        <f>E41</f>
        <v>2273152</v>
      </c>
      <c r="F44" s="1807" t="s">
        <v>474</v>
      </c>
      <c r="G44" s="1808">
        <f>G41</f>
        <v>2074271</v>
      </c>
    </row>
    <row r="45" spans="1:7" ht="12" customHeight="1" x14ac:dyDescent="0.2">
      <c r="A45" s="987"/>
      <c r="B45" s="162"/>
      <c r="C45" s="162"/>
      <c r="D45" s="1809" t="s">
        <v>1006</v>
      </c>
      <c r="E45" s="1810">
        <f>(E43/E44)</f>
        <v>2.3881377048257223E-2</v>
      </c>
      <c r="F45" s="1809" t="s">
        <v>1006</v>
      </c>
      <c r="G45" s="1810">
        <f>(G43/G44)</f>
        <v>0.12205107240085794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1" activePane="bottomLeft" state="frozen"/>
      <selection activeCell="A47" sqref="A47"/>
      <selection pane="bottomLeft" activeCell="A43" sqref="A43:F43"/>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3" t="s">
        <v>1379</v>
      </c>
      <c r="B1" s="2293"/>
      <c r="C1" s="2293"/>
      <c r="D1" s="2293"/>
      <c r="E1" s="2293"/>
      <c r="F1" s="2293"/>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294" t="s">
        <v>1546</v>
      </c>
      <c r="B5" s="2295"/>
      <c r="C5" s="2296"/>
      <c r="D5" s="2296"/>
      <c r="E5" s="2296"/>
      <c r="F5" s="2296"/>
    </row>
    <row r="6" spans="1:10" ht="12" customHeight="1" x14ac:dyDescent="0.25">
      <c r="A6" s="1850"/>
      <c r="B6" s="1851"/>
      <c r="C6" s="2297" t="str">
        <f>COVER!A17</f>
        <v>Monroe SD 70</v>
      </c>
      <c r="D6" s="2297"/>
      <c r="E6" s="2297"/>
      <c r="F6" s="1852"/>
    </row>
    <row r="7" spans="1:10" ht="11.25" customHeight="1" thickBot="1" x14ac:dyDescent="0.3">
      <c r="A7" s="1850"/>
      <c r="B7" s="1851"/>
      <c r="C7" s="2298">
        <f>COVER!A13</f>
        <v>48072070002</v>
      </c>
      <c r="D7" s="2298"/>
      <c r="E7" s="2298"/>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t="s">
        <v>2063</v>
      </c>
      <c r="D16" s="1865" t="s">
        <v>2063</v>
      </c>
      <c r="E16" s="1868"/>
      <c r="F16" s="1867" t="s">
        <v>2082</v>
      </c>
      <c r="H16" s="1878">
        <f t="shared" si="0"/>
        <v>5</v>
      </c>
      <c r="I16" s="1878">
        <f t="shared" si="1"/>
        <v>5</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2063</v>
      </c>
      <c r="D19" s="1865" t="s">
        <v>2063</v>
      </c>
      <c r="E19" s="1868"/>
      <c r="F19" s="1867" t="s">
        <v>2083</v>
      </c>
      <c r="H19" s="1878">
        <f t="shared" si="0"/>
        <v>5</v>
      </c>
      <c r="I19" s="1878">
        <f t="shared" si="1"/>
        <v>5</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t="s">
        <v>2063</v>
      </c>
      <c r="D21" s="1865" t="s">
        <v>2063</v>
      </c>
      <c r="E21" s="1868"/>
      <c r="F21" s="1867" t="s">
        <v>2082</v>
      </c>
      <c r="H21" s="1878">
        <f t="shared" si="0"/>
        <v>5</v>
      </c>
      <c r="I21" s="1878">
        <f t="shared" si="1"/>
        <v>5</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2063</v>
      </c>
      <c r="D26" s="1865" t="s">
        <v>2063</v>
      </c>
      <c r="E26" s="1868"/>
      <c r="F26" s="1867" t="s">
        <v>2084</v>
      </c>
      <c r="H26" s="1878">
        <f t="shared" si="0"/>
        <v>5</v>
      </c>
      <c r="I26" s="1878">
        <f t="shared" si="1"/>
        <v>5</v>
      </c>
      <c r="J26" s="1878">
        <f t="shared" si="2"/>
        <v>0</v>
      </c>
    </row>
    <row r="27" spans="1:12" ht="18.75" x14ac:dyDescent="0.2">
      <c r="A27" s="1863" t="s">
        <v>1535</v>
      </c>
      <c r="B27" s="1864"/>
      <c r="C27" s="1865" t="s">
        <v>2063</v>
      </c>
      <c r="D27" s="1865" t="s">
        <v>2063</v>
      </c>
      <c r="E27" s="1868"/>
      <c r="F27" s="1867" t="s">
        <v>2082</v>
      </c>
      <c r="H27" s="1878">
        <f t="shared" si="0"/>
        <v>5</v>
      </c>
      <c r="I27" s="1878">
        <f t="shared" si="1"/>
        <v>5</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2063</v>
      </c>
      <c r="D30" s="1865" t="s">
        <v>2063</v>
      </c>
      <c r="E30" s="1868"/>
      <c r="F30" s="1867" t="s">
        <v>2082</v>
      </c>
      <c r="H30" s="1878">
        <f t="shared" si="0"/>
        <v>5</v>
      </c>
      <c r="I30" s="1878">
        <f t="shared" si="1"/>
        <v>5</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t="s">
        <v>2063</v>
      </c>
      <c r="D32" s="1865" t="s">
        <v>2063</v>
      </c>
      <c r="E32" s="1868"/>
      <c r="F32" s="1867" t="s">
        <v>2082</v>
      </c>
      <c r="H32" s="1878">
        <f t="shared" si="0"/>
        <v>5</v>
      </c>
      <c r="I32" s="1878">
        <f t="shared" si="1"/>
        <v>5</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35</v>
      </c>
      <c r="I34" s="1878">
        <f>SUM(I11:I32)</f>
        <v>35</v>
      </c>
      <c r="J34" s="1878">
        <f>SUM(J11:J32)</f>
        <v>0</v>
      </c>
      <c r="K34" s="1878">
        <f>SUM(H34:J34)</f>
        <v>70</v>
      </c>
    </row>
    <row r="35" spans="1:11" ht="12" customHeight="1" x14ac:dyDescent="0.2">
      <c r="A35" s="1871" t="s">
        <v>1392</v>
      </c>
      <c r="B35" s="1872"/>
      <c r="C35" s="2299"/>
      <c r="D35" s="2299"/>
      <c r="E35" s="2299"/>
      <c r="F35" s="2300"/>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304"/>
      <c r="B38" s="2305"/>
      <c r="C38" s="2305"/>
      <c r="D38" s="2305"/>
      <c r="E38" s="2305"/>
      <c r="F38" s="2306"/>
    </row>
    <row r="39" spans="1:11" ht="4.5" hidden="1" customHeight="1" x14ac:dyDescent="0.2">
      <c r="A39" s="1873"/>
      <c r="B39" s="1873"/>
      <c r="C39" s="1873"/>
      <c r="D39" s="1873"/>
      <c r="E39" s="1873"/>
      <c r="F39" s="1873"/>
    </row>
    <row r="40" spans="1:11" s="1870" customFormat="1" ht="12" customHeight="1" x14ac:dyDescent="0.25">
      <c r="A40" s="1874" t="s">
        <v>1391</v>
      </c>
      <c r="B40" s="1875"/>
      <c r="C40" s="2307"/>
      <c r="D40" s="2307"/>
      <c r="E40" s="2307"/>
      <c r="F40" s="2308"/>
      <c r="H40" s="1879"/>
      <c r="I40" s="1879"/>
      <c r="J40" s="1879"/>
      <c r="K40" s="1879"/>
    </row>
    <row r="41" spans="1:11" s="1870" customFormat="1" ht="12" customHeight="1" x14ac:dyDescent="0.25">
      <c r="A41" s="2309" t="s">
        <v>2085</v>
      </c>
      <c r="B41" s="2310"/>
      <c r="C41" s="2310"/>
      <c r="D41" s="2310"/>
      <c r="E41" s="2310"/>
      <c r="F41" s="2311"/>
      <c r="H41" s="1879"/>
      <c r="I41" s="1879"/>
      <c r="J41" s="1879"/>
      <c r="K41" s="1879"/>
    </row>
    <row r="42" spans="1:11" s="1870" customFormat="1" ht="12" customHeight="1" x14ac:dyDescent="0.25">
      <c r="A42" s="2309" t="s">
        <v>2086</v>
      </c>
      <c r="B42" s="2310"/>
      <c r="C42" s="2310"/>
      <c r="D42" s="2310"/>
      <c r="E42" s="2310"/>
      <c r="F42" s="2311"/>
      <c r="H42" s="1879"/>
      <c r="I42" s="1879"/>
      <c r="J42" s="1879"/>
      <c r="K42" s="1879"/>
    </row>
    <row r="43" spans="1:11" s="1870" customFormat="1" ht="15" x14ac:dyDescent="0.25">
      <c r="A43" s="2301"/>
      <c r="B43" s="2302"/>
      <c r="C43" s="2302"/>
      <c r="D43" s="2302"/>
      <c r="E43" s="2302"/>
      <c r="F43" s="2303"/>
      <c r="H43" s="1879"/>
      <c r="I43" s="1879"/>
      <c r="J43" s="1879"/>
      <c r="K43" s="1879"/>
    </row>
    <row r="44" spans="1:11" s="1870" customFormat="1" ht="12" hidden="1" customHeight="1" x14ac:dyDescent="0.25">
      <c r="A44" s="2301"/>
      <c r="B44" s="2302"/>
      <c r="C44" s="2302"/>
      <c r="D44" s="2302"/>
      <c r="E44" s="2302"/>
      <c r="F44" s="230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firstPageNumber="31" orientation="landscape" useFirstPageNumber="1" r:id="rId1"/>
  <headerFooter>
    <oddHeader>&amp;L&amp;8Page &amp;P&amp;R&amp;8Page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G18" sqref="G1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Monroe SD 70</v>
      </c>
      <c r="J6" s="2318"/>
      <c r="Q6" s="1664"/>
    </row>
    <row r="7" spans="1:17" x14ac:dyDescent="0.2">
      <c r="A7" s="2319" t="s">
        <v>869</v>
      </c>
      <c r="B7" s="2320"/>
      <c r="C7" s="2320"/>
      <c r="D7" s="2320"/>
      <c r="E7" s="2321"/>
      <c r="F7" s="1017"/>
      <c r="G7" s="1009"/>
      <c r="H7" s="1016" t="s">
        <v>372</v>
      </c>
      <c r="I7" s="2322">
        <f>COVER!A13</f>
        <v>48072070002</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144165</v>
      </c>
      <c r="F12" s="1039"/>
      <c r="G12" s="1811">
        <f t="shared" ref="G12:G18" si="0">SUM(E12:F12)</f>
        <v>144165</v>
      </c>
      <c r="H12" s="1040">
        <v>143800</v>
      </c>
      <c r="I12" s="1039"/>
      <c r="J12" s="1811">
        <f t="shared" ref="J12:J18" si="1">SUM(H12:I12)</f>
        <v>143800</v>
      </c>
    </row>
    <row r="13" spans="1:17" ht="15" customHeight="1" x14ac:dyDescent="0.2">
      <c r="A13" s="1035">
        <v>2</v>
      </c>
      <c r="B13" s="1036" t="s">
        <v>42</v>
      </c>
      <c r="C13" s="1037"/>
      <c r="D13" s="1038">
        <v>2330</v>
      </c>
      <c r="E13" s="1811">
        <f>'Expenditures 15-22'!K51</f>
        <v>0</v>
      </c>
      <c r="F13" s="1039"/>
      <c r="G13" s="1811">
        <f t="shared" si="0"/>
        <v>0</v>
      </c>
      <c r="H13" s="1040">
        <v>0</v>
      </c>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v>0</v>
      </c>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v>0</v>
      </c>
      <c r="I15" s="1040">
        <v>0</v>
      </c>
      <c r="J15" s="1811">
        <f t="shared" si="1"/>
        <v>0</v>
      </c>
    </row>
    <row r="16" spans="1:17" ht="15" customHeight="1" x14ac:dyDescent="0.2">
      <c r="A16" s="1035">
        <v>5</v>
      </c>
      <c r="B16" s="1036" t="s">
        <v>101</v>
      </c>
      <c r="C16" s="1037"/>
      <c r="D16" s="1038">
        <v>2570</v>
      </c>
      <c r="E16" s="1811">
        <f>'Expenditures 15-22'!K64</f>
        <v>0</v>
      </c>
      <c r="F16" s="1039"/>
      <c r="G16" s="1811">
        <f t="shared" si="0"/>
        <v>0</v>
      </c>
      <c r="H16" s="1040">
        <v>0</v>
      </c>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v>0</v>
      </c>
      <c r="I17" s="1039"/>
      <c r="J17" s="1811">
        <f t="shared" si="1"/>
        <v>0</v>
      </c>
    </row>
    <row r="18" spans="1:10" ht="22.5" customHeight="1" x14ac:dyDescent="0.2">
      <c r="A18" s="1042">
        <v>7</v>
      </c>
      <c r="B18" s="2326" t="s">
        <v>7</v>
      </c>
      <c r="C18" s="2327"/>
      <c r="D18" s="2328"/>
      <c r="E18" s="1043">
        <v>0</v>
      </c>
      <c r="F18" s="1043">
        <v>0</v>
      </c>
      <c r="G18" s="1812">
        <f t="shared" si="0"/>
        <v>0</v>
      </c>
      <c r="H18" s="1040">
        <v>0</v>
      </c>
      <c r="I18" s="1040">
        <v>0</v>
      </c>
      <c r="J18" s="1811">
        <f t="shared" si="1"/>
        <v>0</v>
      </c>
    </row>
    <row r="19" spans="1:10" ht="12.75" customHeight="1" thickBot="1" x14ac:dyDescent="0.25">
      <c r="A19" s="1035">
        <v>8</v>
      </c>
      <c r="B19" s="1044" t="s">
        <v>1161</v>
      </c>
      <c r="D19" s="1045"/>
      <c r="E19" s="1813">
        <f t="shared" ref="E19:J19" si="2">SUM(E12:E17)-E18</f>
        <v>144165</v>
      </c>
      <c r="F19" s="1813">
        <f t="shared" si="2"/>
        <v>0</v>
      </c>
      <c r="G19" s="1813">
        <f t="shared" si="2"/>
        <v>144165</v>
      </c>
      <c r="H19" s="1813">
        <f t="shared" si="2"/>
        <v>143800</v>
      </c>
      <c r="I19" s="1813">
        <f t="shared" si="2"/>
        <v>0</v>
      </c>
      <c r="J19" s="1813">
        <f t="shared" si="2"/>
        <v>143800</v>
      </c>
    </row>
    <row r="20" spans="1:10" ht="13.5" thickTop="1" x14ac:dyDescent="0.2">
      <c r="A20" s="1035">
        <v>9</v>
      </c>
      <c r="B20" s="2329" t="s">
        <v>1980</v>
      </c>
      <c r="C20" s="2329"/>
      <c r="D20" s="2330"/>
      <c r="E20" s="1046"/>
      <c r="F20" s="1046"/>
      <c r="G20" s="1046"/>
      <c r="H20" s="1046"/>
      <c r="I20" s="1046"/>
      <c r="J20" s="1814">
        <f>IF(AND(G19&gt;0,J19&gt;0),(((J19-G19)/G19)),"Enter Budget Data")</f>
        <v>-2.5318211771234349E-3</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1982</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1"/>
  <sheetViews>
    <sheetView showGridLines="0" zoomScale="110" zoomScaleNormal="110" workbookViewId="0">
      <selection activeCell="B15" sqref="B1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2087</v>
      </c>
    </row>
    <row r="6" spans="1:2" x14ac:dyDescent="0.2">
      <c r="A6" s="1068"/>
      <c r="B6" s="329" t="s">
        <v>2088</v>
      </c>
    </row>
    <row r="7" spans="1:2" x14ac:dyDescent="0.2">
      <c r="A7" s="1068">
        <v>2</v>
      </c>
      <c r="B7" s="329" t="s">
        <v>2089</v>
      </c>
    </row>
    <row r="8" spans="1:2" x14ac:dyDescent="0.2">
      <c r="A8" s="1068">
        <v>3</v>
      </c>
      <c r="B8" s="329" t="s">
        <v>2112</v>
      </c>
    </row>
    <row r="9" spans="1:2" x14ac:dyDescent="0.2">
      <c r="A9" s="1068"/>
      <c r="B9" s="329" t="s">
        <v>2113</v>
      </c>
    </row>
    <row r="10" spans="1:2" x14ac:dyDescent="0.2">
      <c r="A10" s="1068">
        <v>4</v>
      </c>
      <c r="B10" s="329" t="s">
        <v>2090</v>
      </c>
    </row>
    <row r="11" spans="1:2" x14ac:dyDescent="0.2">
      <c r="A11" s="1068">
        <v>5</v>
      </c>
      <c r="B11" s="329" t="s">
        <v>2091</v>
      </c>
    </row>
    <row r="12" spans="1:2" x14ac:dyDescent="0.2">
      <c r="A12" s="1068">
        <v>6</v>
      </c>
      <c r="B12" s="329" t="s">
        <v>2093</v>
      </c>
    </row>
    <row r="13" spans="1:2" x14ac:dyDescent="0.2">
      <c r="A13" s="1069"/>
      <c r="B13" s="329" t="s">
        <v>2092</v>
      </c>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c r="B60" s="258" t="str">
        <f>COVER!A17</f>
        <v>Monroe SD 70</v>
      </c>
    </row>
    <row r="61" spans="1:2" x14ac:dyDescent="0.2">
      <c r="B61" s="1070">
        <f>COVER!A13</f>
        <v>48072070002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1986</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1987</v>
      </c>
      <c r="B4" s="2357"/>
      <c r="C4" s="2357"/>
      <c r="D4" s="2357"/>
      <c r="E4" s="2357"/>
      <c r="F4" s="2358"/>
      <c r="G4" s="1074"/>
      <c r="H4" s="1074"/>
    </row>
    <row r="5" spans="1:8" ht="14.25" customHeight="1" x14ac:dyDescent="0.2">
      <c r="A5" s="2359" t="s">
        <v>1983</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2154918</v>
      </c>
      <c r="C8" s="1815">
        <f>'Acct Summary 7-8'!D8</f>
        <v>195469</v>
      </c>
      <c r="D8" s="1815">
        <f>'Acct Summary 7-8'!F8</f>
        <v>169736</v>
      </c>
      <c r="E8" s="1815">
        <f>'Acct Summary 7-8'!I8</f>
        <v>30897</v>
      </c>
      <c r="F8" s="1815">
        <f>SUM(B8:E8)</f>
        <v>2551020</v>
      </c>
    </row>
    <row r="9" spans="1:8" s="1079" customFormat="1" ht="14.25" customHeight="1" thickBot="1" x14ac:dyDescent="0.25">
      <c r="A9" s="1078" t="s">
        <v>1369</v>
      </c>
      <c r="B9" s="1816">
        <f>'Acct Summary 7-8'!C17</f>
        <v>1990018</v>
      </c>
      <c r="C9" s="1816">
        <f>'Acct Summary 7-8'!D17</f>
        <v>184027</v>
      </c>
      <c r="D9" s="1816">
        <f>'Acct Summary 7-8'!F17</f>
        <v>107626</v>
      </c>
      <c r="E9" s="1815"/>
      <c r="F9" s="1815">
        <f>SUM(B9:E9)</f>
        <v>2281671</v>
      </c>
    </row>
    <row r="10" spans="1:8" s="1079" customFormat="1" ht="14.25" thickTop="1" thickBot="1" x14ac:dyDescent="0.25">
      <c r="A10" s="1080" t="s">
        <v>1370</v>
      </c>
      <c r="B10" s="1817">
        <f>(B8-B9)</f>
        <v>164900</v>
      </c>
      <c r="C10" s="1817">
        <f>(C8-C9)</f>
        <v>11442</v>
      </c>
      <c r="D10" s="1817">
        <f>(D8-D9)</f>
        <v>62110</v>
      </c>
      <c r="E10" s="1816">
        <f>(E8-E9)</f>
        <v>30897</v>
      </c>
      <c r="F10" s="1818">
        <f>SUM(F8-F9)</f>
        <v>269349</v>
      </c>
    </row>
    <row r="11" spans="1:8" s="1079" customFormat="1" ht="14.25" thickTop="1" thickBot="1" x14ac:dyDescent="0.25">
      <c r="A11" s="1081" t="s">
        <v>1984</v>
      </c>
      <c r="B11" s="1819">
        <f>'Acct Summary 7-8'!C81</f>
        <v>1752222</v>
      </c>
      <c r="C11" s="1819">
        <f>'Acct Summary 7-8'!D81</f>
        <v>310506</v>
      </c>
      <c r="D11" s="1819">
        <f>'Acct Summary 7-8'!F81</f>
        <v>385482</v>
      </c>
      <c r="E11" s="1819">
        <f>'Acct Summary 7-8'!I81</f>
        <v>561771</v>
      </c>
      <c r="F11" s="1820">
        <f>SUM(B11:E11)</f>
        <v>3009981</v>
      </c>
    </row>
    <row r="12" spans="1:8" ht="16.5" customHeight="1" thickTop="1" x14ac:dyDescent="0.2">
      <c r="A12" s="1082"/>
      <c r="B12" s="1083"/>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4" colorId="8" zoomScale="110" zoomScaleNormal="110" workbookViewId="0">
      <selection activeCell="D69" sqref="D6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ERROR!</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algorithmName="SHA-512" hashValue="Ou01cmM8ltsF7Xym345fEUrpAb8nH3vbiVF3eiZMdebYKhtsthLsyNuKC1qWrlsRXS2fcgjnJn2wfAkl9ZLNcQ==" saltValue="IzVzTo1h6sfVVQ0x/bxZBQ=="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48072070002</v>
      </c>
    </row>
    <row r="3" spans="1:2" x14ac:dyDescent="0.2">
      <c r="A3" t="s">
        <v>956</v>
      </c>
      <c r="B3" s="138" t="str">
        <f>COVER!A15</f>
        <v>Peoria</v>
      </c>
    </row>
    <row r="4" spans="1:2" x14ac:dyDescent="0.2">
      <c r="A4" t="s">
        <v>1007</v>
      </c>
      <c r="B4" s="138" t="str">
        <f>COVER!A17</f>
        <v>Monroe SD 70</v>
      </c>
    </row>
    <row r="5" spans="1:2" x14ac:dyDescent="0.2">
      <c r="A5" t="s">
        <v>704</v>
      </c>
      <c r="B5" s="138" t="str">
        <f>COVER!A38</f>
        <v>Darrick Reiley</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066-004769</v>
      </c>
    </row>
    <row r="16" spans="1:2" x14ac:dyDescent="0.2">
      <c r="A16" t="s">
        <v>422</v>
      </c>
      <c r="B16" s="138" t="str">
        <f>COVER!T13</f>
        <v>Meister, Hilton, Chitwood &amp; Associates, Inc.</v>
      </c>
    </row>
    <row r="17" spans="1:2" x14ac:dyDescent="0.2">
      <c r="A17" t="s">
        <v>884</v>
      </c>
      <c r="B17" s="138" t="str">
        <f>COVER!T15</f>
        <v>Ron Hilton</v>
      </c>
    </row>
    <row r="18" spans="1:2" x14ac:dyDescent="0.2">
      <c r="A18" t="s">
        <v>1150</v>
      </c>
      <c r="B18" s="138" t="str">
        <f>COVER!T17</f>
        <v>809 W. Detweiller Drive, Suite 806</v>
      </c>
    </row>
    <row r="19" spans="1:2" x14ac:dyDescent="0.2">
      <c r="A19" t="s">
        <v>886</v>
      </c>
      <c r="B19" s="138" t="str">
        <f>COVER!T25</f>
        <v>ron.hilton1@comcast.net</v>
      </c>
    </row>
    <row r="20" spans="1:2" x14ac:dyDescent="0.2">
      <c r="A20" t="s">
        <v>887</v>
      </c>
      <c r="B20" s="138" t="str">
        <f>COVER!T19</f>
        <v>Peoria</v>
      </c>
    </row>
    <row r="21" spans="1:2" x14ac:dyDescent="0.2">
      <c r="A21" t="s">
        <v>479</v>
      </c>
      <c r="B21" s="138" t="str">
        <f>COVER!X19</f>
        <v>IL</v>
      </c>
    </row>
    <row r="22" spans="1:2" x14ac:dyDescent="0.2">
      <c r="A22" t="s">
        <v>888</v>
      </c>
      <c r="B22" s="138">
        <f>COVER!Z19</f>
        <v>61615</v>
      </c>
    </row>
    <row r="23" spans="1:2" x14ac:dyDescent="0.2">
      <c r="A23" t="s">
        <v>1152</v>
      </c>
      <c r="B23" s="138" t="str">
        <f>COVER!T21</f>
        <v>(309) 683-0441</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Yes</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1089219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5214</v>
      </c>
      <c r="D76" s="2" t="str">
        <f t="shared" si="0"/>
        <v>Error?</v>
      </c>
    </row>
    <row r="77" spans="1:4" x14ac:dyDescent="0.2">
      <c r="A77" s="5">
        <v>16</v>
      </c>
      <c r="B77" s="138">
        <f>'Assets-Liab 5-6'!C13</f>
        <v>1752222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1752222</v>
      </c>
      <c r="D92" s="2" t="str">
        <f t="shared" si="0"/>
        <v>Error?</v>
      </c>
    </row>
    <row r="93" spans="1:4" x14ac:dyDescent="0.2">
      <c r="A93" s="5">
        <v>32</v>
      </c>
      <c r="B93" s="138">
        <f>'Assets-Liab 5-6'!C41</f>
        <v>1752222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221761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311095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589</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589</v>
      </c>
      <c r="C122" s="2" t="s">
        <v>573</v>
      </c>
      <c r="D122" s="2" t="str">
        <f t="shared" si="0"/>
        <v>Error?</v>
      </c>
    </row>
    <row r="123" spans="1:4" x14ac:dyDescent="0.2">
      <c r="A123" s="5">
        <v>62</v>
      </c>
      <c r="B123" s="138">
        <f>'Assets-Liab 5-6'!D39</f>
        <v>310506</v>
      </c>
      <c r="D123" s="2" t="str">
        <f t="shared" si="0"/>
        <v>Error?</v>
      </c>
    </row>
    <row r="124" spans="1:4" x14ac:dyDescent="0.2">
      <c r="A124" s="5">
        <v>63</v>
      </c>
      <c r="B124" s="138">
        <f>'Assets-Liab 5-6'!D41</f>
        <v>311095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13357</v>
      </c>
      <c r="D129" s="2" t="str">
        <f t="shared" si="1"/>
        <v>Error?</v>
      </c>
    </row>
    <row r="130" spans="1:4" x14ac:dyDescent="0.2">
      <c r="A130" s="5">
        <v>69</v>
      </c>
      <c r="B130" s="138">
        <f>'Assets-Liab 5-6'!E12</f>
        <v>0</v>
      </c>
      <c r="D130" s="2" t="str">
        <f t="shared" si="1"/>
        <v>Error?</v>
      </c>
    </row>
    <row r="131" spans="1:4" x14ac:dyDescent="0.2">
      <c r="A131" s="5">
        <v>70</v>
      </c>
      <c r="B131" s="138">
        <f>'Assets-Liab 5-6'!E13</f>
        <v>29656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8276</v>
      </c>
      <c r="D140" s="2" t="str">
        <f t="shared" si="1"/>
        <v>Error?</v>
      </c>
    </row>
    <row r="141" spans="1:4" x14ac:dyDescent="0.2">
      <c r="A141" s="5">
        <v>80</v>
      </c>
      <c r="B141" s="138">
        <f>'Assets-Liab 5-6'!E41</f>
        <v>29656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284191</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385482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385482</v>
      </c>
      <c r="D170" s="2" t="str">
        <f t="shared" si="1"/>
        <v>Error?</v>
      </c>
    </row>
    <row r="171" spans="1:4" x14ac:dyDescent="0.2">
      <c r="A171" s="5">
        <v>110</v>
      </c>
      <c r="B171" s="138">
        <f>'Assets-Liab 5-6'!F41</f>
        <v>385482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23</v>
      </c>
      <c r="D177" s="2" t="str">
        <f t="shared" si="1"/>
        <v>Error?</v>
      </c>
    </row>
    <row r="178" spans="1:4" x14ac:dyDescent="0.2">
      <c r="A178" s="10">
        <v>117</v>
      </c>
      <c r="D178" s="2" t="str">
        <f t="shared" si="1"/>
        <v>OK</v>
      </c>
    </row>
    <row r="179" spans="1:4" x14ac:dyDescent="0.2">
      <c r="A179" s="5">
        <v>118</v>
      </c>
      <c r="B179" s="138">
        <f>'Assets-Liab 5-6'!G12</f>
        <v>172</v>
      </c>
      <c r="D179" s="2" t="str">
        <f t="shared" si="1"/>
        <v>Error?</v>
      </c>
    </row>
    <row r="180" spans="1:4" x14ac:dyDescent="0.2">
      <c r="A180" s="5">
        <v>119</v>
      </c>
      <c r="B180" s="138">
        <f>'Assets-Liab 5-6'!G13</f>
        <v>948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10100</v>
      </c>
      <c r="C188" s="2" t="s">
        <v>573</v>
      </c>
      <c r="D188" s="2" t="str">
        <f t="shared" si="1"/>
        <v>Error?</v>
      </c>
    </row>
    <row r="189" spans="1:4" x14ac:dyDescent="0.2">
      <c r="A189" s="5">
        <v>128</v>
      </c>
      <c r="B189" s="138">
        <f>'Assets-Liab 5-6'!G39</f>
        <v>-9152</v>
      </c>
      <c r="D189" s="2" t="str">
        <f t="shared" si="1"/>
        <v>Error?</v>
      </c>
    </row>
    <row r="190" spans="1:4" x14ac:dyDescent="0.2">
      <c r="A190" s="5">
        <v>129</v>
      </c>
      <c r="B190" s="138">
        <f>'Assets-Liab 5-6'!G41</f>
        <v>948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90482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78481</v>
      </c>
      <c r="D212" s="2" t="str">
        <f t="shared" si="2"/>
        <v>Error?</v>
      </c>
    </row>
    <row r="213" spans="1:4" x14ac:dyDescent="0.2">
      <c r="A213" s="12">
        <v>152</v>
      </c>
      <c r="B213" s="138">
        <f>'Assets-Liab 5-6'!H41</f>
        <v>90482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16025</v>
      </c>
      <c r="D273" s="2" t="str">
        <f t="shared" si="3"/>
        <v>Error?</v>
      </c>
    </row>
    <row r="274" spans="1:4" x14ac:dyDescent="0.2">
      <c r="A274" s="5">
        <v>213</v>
      </c>
      <c r="B274" s="138">
        <f>'Assets-Liab 5-6'!M17</f>
        <v>692277</v>
      </c>
      <c r="D274" s="2" t="str">
        <f t="shared" si="3"/>
        <v>Error?</v>
      </c>
    </row>
    <row r="275" spans="1:4" x14ac:dyDescent="0.2">
      <c r="A275" s="5">
        <v>214</v>
      </c>
      <c r="B275" s="138">
        <f>'Assets-Liab 5-6'!M18</f>
        <v>451964</v>
      </c>
      <c r="D275" s="2" t="str">
        <f t="shared" si="3"/>
        <v>Error?</v>
      </c>
    </row>
    <row r="276" spans="1:4" x14ac:dyDescent="0.2">
      <c r="A276" s="5">
        <v>215</v>
      </c>
      <c r="B276" s="138">
        <f>'Assets-Liab 5-6'!M19</f>
        <v>146997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1307263</v>
      </c>
      <c r="C279" s="2" t="s">
        <v>573</v>
      </c>
      <c r="D279" s="2" t="str">
        <f t="shared" si="3"/>
        <v>Error?</v>
      </c>
    </row>
    <row r="280" spans="1:4" x14ac:dyDescent="0.2">
      <c r="A280" s="5">
        <v>219</v>
      </c>
      <c r="B280" s="138">
        <f>'Assets-Liab 5-6'!M40</f>
        <v>1307263</v>
      </c>
      <c r="D280" s="2" t="str">
        <f t="shared" si="3"/>
        <v>Error?</v>
      </c>
    </row>
    <row r="281" spans="1:4" x14ac:dyDescent="0.2">
      <c r="A281" s="5">
        <v>220</v>
      </c>
      <c r="B281" s="138">
        <f>'Assets-Liab 5-6'!M41</f>
        <v>1307263</v>
      </c>
      <c r="C281" s="2" t="s">
        <v>573</v>
      </c>
      <c r="D281" s="2" t="str">
        <f t="shared" si="3"/>
        <v>Error?</v>
      </c>
    </row>
    <row r="282" spans="1:4" x14ac:dyDescent="0.2">
      <c r="A282" s="5">
        <v>221</v>
      </c>
      <c r="B282" s="138">
        <f>'Assets-Liab 5-6'!N21</f>
        <v>29656</v>
      </c>
      <c r="D282" s="2" t="str">
        <f t="shared" si="3"/>
        <v>Error?</v>
      </c>
    </row>
    <row r="283" spans="1:4" x14ac:dyDescent="0.2">
      <c r="A283" s="5">
        <v>222</v>
      </c>
      <c r="B283" s="138">
        <f>'Assets-Liab 5-6'!N22</f>
        <v>33327</v>
      </c>
      <c r="D283" s="2" t="str">
        <f t="shared" si="3"/>
        <v>Error?</v>
      </c>
    </row>
    <row r="284" spans="1:4" x14ac:dyDescent="0.2">
      <c r="A284" s="5">
        <v>223</v>
      </c>
      <c r="B284" s="138">
        <f>'Assets-Liab 5-6'!N23</f>
        <v>62983</v>
      </c>
      <c r="C284" s="2" t="s">
        <v>573</v>
      </c>
      <c r="D284" s="2" t="str">
        <f t="shared" si="3"/>
        <v>Error?</v>
      </c>
    </row>
    <row r="285" spans="1:4" x14ac:dyDescent="0.2">
      <c r="A285" s="5">
        <v>224</v>
      </c>
      <c r="B285" s="138">
        <f>'Assets-Liab 5-6'!N36</f>
        <v>62983</v>
      </c>
      <c r="D285" s="2" t="str">
        <f t="shared" si="3"/>
        <v>Error?</v>
      </c>
    </row>
    <row r="286" spans="1:4" x14ac:dyDescent="0.2">
      <c r="A286" s="10">
        <v>225</v>
      </c>
      <c r="D286" s="2" t="str">
        <f t="shared" si="3"/>
        <v>OK</v>
      </c>
    </row>
    <row r="287" spans="1:4" x14ac:dyDescent="0.2">
      <c r="A287" s="5">
        <v>226</v>
      </c>
      <c r="B287" s="138">
        <f>'Assets-Liab 5-6'!N37</f>
        <v>62983</v>
      </c>
      <c r="C287" s="2" t="s">
        <v>573</v>
      </c>
      <c r="D287" s="2" t="str">
        <f t="shared" si="3"/>
        <v>Error?</v>
      </c>
    </row>
    <row r="288" spans="1:4" x14ac:dyDescent="0.2">
      <c r="A288" s="5">
        <v>227</v>
      </c>
      <c r="B288" s="138">
        <f>'Assets-Liab 5-6'!N41</f>
        <v>62983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873238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42446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1082718</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11381</v>
      </c>
      <c r="D729" s="2" t="str">
        <f t="shared" si="10"/>
        <v>Error?</v>
      </c>
    </row>
    <row r="730" spans="1:4" x14ac:dyDescent="0.2">
      <c r="A730" s="5">
        <v>669</v>
      </c>
      <c r="B730" s="138">
        <f>'Expenditures 15-22'!C46</f>
        <v>10847</v>
      </c>
      <c r="D730" s="2" t="str">
        <f t="shared" si="10"/>
        <v>Error?</v>
      </c>
    </row>
    <row r="731" spans="1:4" x14ac:dyDescent="0.2">
      <c r="A731" s="5">
        <v>670</v>
      </c>
      <c r="B731" s="138">
        <f>'Expenditures 15-22'!C47</f>
        <v>22228</v>
      </c>
      <c r="C731" s="2" t="s">
        <v>573</v>
      </c>
      <c r="D731" s="2" t="str">
        <f t="shared" si="10"/>
        <v>Error?</v>
      </c>
    </row>
    <row r="732" spans="1:4" x14ac:dyDescent="0.2">
      <c r="A732" s="5">
        <v>671</v>
      </c>
      <c r="B732" s="138">
        <f>'Expenditures 15-22'!C49</f>
        <v>1937</v>
      </c>
      <c r="D732" s="2" t="str">
        <f t="shared" si="10"/>
        <v>Error?</v>
      </c>
    </row>
    <row r="733" spans="1:4" x14ac:dyDescent="0.2">
      <c r="A733" s="5">
        <v>672</v>
      </c>
      <c r="B733" s="138">
        <f>'Expenditures 15-22'!C50</f>
        <v>105048</v>
      </c>
      <c r="D733" s="2" t="str">
        <f t="shared" si="10"/>
        <v>Error?</v>
      </c>
    </row>
    <row r="734" spans="1:4" x14ac:dyDescent="0.2">
      <c r="A734" s="5">
        <v>673</v>
      </c>
      <c r="B734" s="138">
        <f>'Expenditures 15-22'!C53</f>
        <v>106985</v>
      </c>
      <c r="C734" s="2" t="s">
        <v>573</v>
      </c>
      <c r="D734" s="2" t="str">
        <f t="shared" si="10"/>
        <v>Error?</v>
      </c>
    </row>
    <row r="735" spans="1:4" x14ac:dyDescent="0.2">
      <c r="A735" s="5">
        <v>674</v>
      </c>
      <c r="B735" s="138">
        <f>'Expenditures 15-22'!C55</f>
        <v>43360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43360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36669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35247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71916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244489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1327207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130906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496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170181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4443</v>
      </c>
      <c r="D786" s="2" t="str">
        <f t="shared" si="11"/>
        <v>Error?</v>
      </c>
    </row>
    <row r="787" spans="1:4" x14ac:dyDescent="0.2">
      <c r="A787" s="5">
        <v>726</v>
      </c>
      <c r="B787" s="138">
        <f>'Expenditures 15-22'!D45</f>
        <v>611</v>
      </c>
      <c r="D787" s="2" t="str">
        <f t="shared" si="11"/>
        <v>Error?</v>
      </c>
    </row>
    <row r="788" spans="1:4" x14ac:dyDescent="0.2">
      <c r="A788" s="5">
        <v>727</v>
      </c>
      <c r="B788" s="138">
        <f>'Expenditures 15-22'!D46</f>
        <v>2468</v>
      </c>
      <c r="D788" s="2" t="str">
        <f t="shared" si="11"/>
        <v>Error?</v>
      </c>
    </row>
    <row r="789" spans="1:4" x14ac:dyDescent="0.2">
      <c r="A789" s="5">
        <v>728</v>
      </c>
      <c r="B789" s="138">
        <f>'Expenditures 15-22'!D47</f>
        <v>7522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32332</v>
      </c>
      <c r="D791" s="2" t="str">
        <f t="shared" si="11"/>
        <v>Error?</v>
      </c>
    </row>
    <row r="792" spans="1:4" x14ac:dyDescent="0.2">
      <c r="A792" s="5">
        <v>731</v>
      </c>
      <c r="B792" s="138">
        <f>'Expenditures 15-22'!D53</f>
        <v>32332</v>
      </c>
      <c r="C792" s="2" t="s">
        <v>573</v>
      </c>
      <c r="D792" s="2" t="str">
        <f t="shared" si="11"/>
        <v>Error?</v>
      </c>
    </row>
    <row r="793" spans="1:4" x14ac:dyDescent="0.2">
      <c r="A793" s="5">
        <v>732</v>
      </c>
      <c r="B793" s="138">
        <f>'Expenditures 15-22'!D55</f>
        <v>14698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14698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8378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3835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12213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66765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236946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26808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8696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35504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2000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16565</v>
      </c>
      <c r="D846" s="2" t="str">
        <f t="shared" si="12"/>
        <v>Error?</v>
      </c>
    </row>
    <row r="847" spans="1:4" x14ac:dyDescent="0.2">
      <c r="A847" s="5">
        <v>786</v>
      </c>
      <c r="B847" s="138">
        <f>'Expenditures 15-22'!E47</f>
        <v>18565</v>
      </c>
      <c r="C847" s="2" t="s">
        <v>573</v>
      </c>
      <c r="D847" s="2" t="str">
        <f t="shared" si="12"/>
        <v>Error?</v>
      </c>
    </row>
    <row r="848" spans="1:4" x14ac:dyDescent="0.2">
      <c r="A848" s="5">
        <v>787</v>
      </c>
      <c r="B848" s="138">
        <f>'Expenditures 15-22'!E49</f>
        <v>9436</v>
      </c>
      <c r="D848" s="2" t="str">
        <f t="shared" si="12"/>
        <v>Error?</v>
      </c>
    </row>
    <row r="849" spans="1:4" x14ac:dyDescent="0.2">
      <c r="A849" s="5">
        <v>788</v>
      </c>
      <c r="B849" s="138">
        <f>'Expenditures 15-22'!E50</f>
        <v>4852</v>
      </c>
      <c r="D849" s="2" t="str">
        <f t="shared" si="12"/>
        <v>Error?</v>
      </c>
    </row>
    <row r="850" spans="1:4" x14ac:dyDescent="0.2">
      <c r="A850" s="5">
        <v>789</v>
      </c>
      <c r="B850" s="138">
        <f>'Expenditures 15-22'!E53</f>
        <v>14288</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562</v>
      </c>
      <c r="D855" s="2" t="str">
        <f t="shared" si="12"/>
        <v>Error?</v>
      </c>
    </row>
    <row r="856" spans="1:4" x14ac:dyDescent="0.2">
      <c r="A856" s="5">
        <v>795</v>
      </c>
      <c r="B856" s="138">
        <f>'Expenditures 15-22'!E61</f>
        <v>3962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924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5448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38301</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74908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68541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1452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78797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1582</v>
      </c>
      <c r="D906" s="2" t="str">
        <f t="shared" si="13"/>
        <v>Error?</v>
      </c>
    </row>
    <row r="907" spans="1:4" x14ac:dyDescent="0.2">
      <c r="A907" s="5">
        <v>846</v>
      </c>
      <c r="B907" s="138">
        <f>'Expenditures 15-22'!F50</f>
        <v>996</v>
      </c>
      <c r="D907" s="2" t="str">
        <f t="shared" si="13"/>
        <v>Error?</v>
      </c>
    </row>
    <row r="908" spans="1:4" x14ac:dyDescent="0.2">
      <c r="A908" s="5">
        <v>847</v>
      </c>
      <c r="B908" s="138">
        <f>'Expenditures 15-22'!F53</f>
        <v>2578</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45363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45380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47958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126755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23854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23854</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23854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15083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4159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19242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1547</v>
      </c>
      <c r="D1022" s="2" t="str">
        <f t="shared" si="14"/>
        <v>Error?</v>
      </c>
    </row>
    <row r="1023" spans="1:4" x14ac:dyDescent="0.2">
      <c r="A1023" s="5">
        <v>962</v>
      </c>
      <c r="B1023" s="138">
        <f>'Expenditures 15-22'!H50</f>
        <v>937</v>
      </c>
      <c r="D1023" s="2" t="str">
        <f t="shared" ref="D1023:D1086" si="15">IF(ISBLANK(B1023),"OK",IF(A1023-B1023=0,"OK","Error?"))</f>
        <v>Error?</v>
      </c>
    </row>
    <row r="1024" spans="1:4" x14ac:dyDescent="0.2">
      <c r="A1024" s="5">
        <v>963</v>
      </c>
      <c r="B1024" s="138">
        <f>'Expenditures 15-22'!H53</f>
        <v>2484</v>
      </c>
      <c r="C1024" s="2" t="s">
        <v>573</v>
      </c>
      <c r="D1024" s="2" t="str">
        <f t="shared" si="15"/>
        <v>Error?</v>
      </c>
    </row>
    <row r="1025" spans="1:4" x14ac:dyDescent="0.2">
      <c r="A1025" s="5">
        <v>964</v>
      </c>
      <c r="B1025" s="138">
        <f>'Expenditures 15-22'!H55</f>
        <v>740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740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3224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177205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677</v>
      </c>
      <c r="D1051" s="2" t="str">
        <f t="shared" si="15"/>
        <v>Error?</v>
      </c>
    </row>
    <row r="1052" spans="1:4" x14ac:dyDescent="0.2">
      <c r="A1052" s="10">
        <v>991</v>
      </c>
      <c r="D1052" s="2" t="str">
        <f t="shared" si="15"/>
        <v>OK</v>
      </c>
    </row>
    <row r="1053" spans="1:4" x14ac:dyDescent="0.2">
      <c r="A1053" s="5">
        <v>992</v>
      </c>
      <c r="B1053" s="138">
        <f>'Expenditures 15-22'!H110</f>
        <v>677</v>
      </c>
      <c r="C1053" s="2" t="s">
        <v>573</v>
      </c>
      <c r="D1053" s="2" t="str">
        <f t="shared" si="15"/>
        <v>Error?</v>
      </c>
    </row>
    <row r="1054" spans="1:4" x14ac:dyDescent="0.2">
      <c r="A1054" s="5">
        <v>993</v>
      </c>
      <c r="B1054" s="138">
        <f>'Expenditures 15-22'!H114</f>
        <v>200348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1138430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57249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1410296</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0</v>
      </c>
      <c r="C1115" s="2" t="s">
        <v>573</v>
      </c>
      <c r="D1115" s="2" t="str">
        <f t="shared" si="16"/>
        <v>Error?</v>
      </c>
    </row>
    <row r="1116" spans="1:4" x14ac:dyDescent="0.2">
      <c r="A1116" s="5">
        <v>1055</v>
      </c>
      <c r="B1116" s="138">
        <f>'Expenditures 15-22'!K44</f>
        <v>6443</v>
      </c>
      <c r="C1116" s="2" t="s">
        <v>573</v>
      </c>
      <c r="D1116" s="2" t="str">
        <f t="shared" si="16"/>
        <v>Error?</v>
      </c>
    </row>
    <row r="1117" spans="1:4" x14ac:dyDescent="0.2">
      <c r="A1117" s="5">
        <v>1056</v>
      </c>
      <c r="B1117" s="138">
        <f>'Expenditures 15-22'!K45</f>
        <v>11992</v>
      </c>
      <c r="C1117" s="2" t="s">
        <v>573</v>
      </c>
      <c r="D1117" s="2" t="str">
        <f t="shared" si="16"/>
        <v>Error?</v>
      </c>
    </row>
    <row r="1118" spans="1:4" x14ac:dyDescent="0.2">
      <c r="A1118" s="5">
        <v>1057</v>
      </c>
      <c r="B1118" s="138">
        <f>'Expenditures 15-22'!K46</f>
        <v>29880</v>
      </c>
      <c r="C1118" s="2" t="s">
        <v>573</v>
      </c>
      <c r="D1118" s="2" t="str">
        <f t="shared" si="16"/>
        <v>Error?</v>
      </c>
    </row>
    <row r="1119" spans="1:4" x14ac:dyDescent="0.2">
      <c r="A1119" s="5">
        <v>1058</v>
      </c>
      <c r="B1119" s="138">
        <f>'Expenditures 15-22'!K47</f>
        <v>48315</v>
      </c>
      <c r="C1119" s="2" t="s">
        <v>573</v>
      </c>
      <c r="D1119" s="2" t="str">
        <f t="shared" si="16"/>
        <v>Error?</v>
      </c>
    </row>
    <row r="1120" spans="1:4" x14ac:dyDescent="0.2">
      <c r="A1120" s="5">
        <v>1059</v>
      </c>
      <c r="B1120" s="138">
        <f>'Expenditures 15-22'!K49</f>
        <v>14502</v>
      </c>
      <c r="C1120" s="2" t="s">
        <v>573</v>
      </c>
      <c r="D1120" s="2" t="str">
        <f t="shared" si="16"/>
        <v>Error?</v>
      </c>
    </row>
    <row r="1121" spans="1:4" x14ac:dyDescent="0.2">
      <c r="A1121" s="5">
        <v>1060</v>
      </c>
      <c r="B1121" s="138">
        <f>'Expenditures 15-22'!K50</f>
        <v>144165</v>
      </c>
      <c r="C1121" s="2" t="s">
        <v>573</v>
      </c>
      <c r="D1121" s="2" t="str">
        <f t="shared" si="16"/>
        <v>Error?</v>
      </c>
    </row>
    <row r="1122" spans="1:4" x14ac:dyDescent="0.2">
      <c r="A1122" s="5">
        <v>1061</v>
      </c>
      <c r="B1122" s="138">
        <f>'Expenditures 15-22'!K53</f>
        <v>158667</v>
      </c>
      <c r="C1122" s="2" t="s">
        <v>573</v>
      </c>
      <c r="D1122" s="2" t="str">
        <f t="shared" si="16"/>
        <v>Error?</v>
      </c>
    </row>
    <row r="1123" spans="1:4" x14ac:dyDescent="0.2">
      <c r="A1123" s="5">
        <v>1062</v>
      </c>
      <c r="B1123" s="138">
        <f>'Expenditures 15-22'!K55</f>
        <v>58798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58798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45626</v>
      </c>
      <c r="C1127" s="2" t="s">
        <v>573</v>
      </c>
      <c r="D1127" s="2" t="str">
        <f t="shared" si="16"/>
        <v>Error?</v>
      </c>
    </row>
    <row r="1128" spans="1:4" x14ac:dyDescent="0.2">
      <c r="A1128" s="5">
        <v>1067</v>
      </c>
      <c r="B1128" s="138">
        <f>'Expenditures 15-22'!K61</f>
        <v>3962</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85369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134957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400737</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178308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677</v>
      </c>
      <c r="C1149" s="2" t="s">
        <v>573</v>
      </c>
      <c r="D1149" s="2" t="str">
        <f t="shared" si="16"/>
        <v>Error?</v>
      </c>
    </row>
    <row r="1150" spans="1:4" x14ac:dyDescent="0.2">
      <c r="A1150" s="10">
        <v>1089</v>
      </c>
      <c r="D1150" s="2" t="str">
        <f t="shared" si="16"/>
        <v>OK</v>
      </c>
    </row>
    <row r="1151" spans="1:4" x14ac:dyDescent="0.2">
      <c r="A1151" s="5">
        <v>1090</v>
      </c>
      <c r="B1151" s="138">
        <f>'Expenditures 15-22'!K110</f>
        <v>677</v>
      </c>
      <c r="C1151" s="2" t="s">
        <v>573</v>
      </c>
      <c r="D1151" s="2" t="str">
        <f t="shared" ref="D1151:D1214" si="17">IF(ISBLANK(B1151),"OK",IF(A1151-B1151=0,"OK","Error?"))</f>
        <v>Error?</v>
      </c>
    </row>
    <row r="1152" spans="1:4" x14ac:dyDescent="0.2">
      <c r="A1152" s="5">
        <v>1091</v>
      </c>
      <c r="B1152" s="138">
        <f>'Expenditures 15-22'!K114</f>
        <v>1990018</v>
      </c>
      <c r="C1152" s="2" t="s">
        <v>573</v>
      </c>
      <c r="D1152" s="2" t="str">
        <f t="shared" si="17"/>
        <v>Error?</v>
      </c>
    </row>
    <row r="1153" spans="1:4" x14ac:dyDescent="0.2">
      <c r="A1153" s="5">
        <v>1092</v>
      </c>
      <c r="B1153" s="138">
        <f>'Expenditures 15-22'!K115</f>
        <v>164900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63006</v>
      </c>
      <c r="D1221" s="2" t="str">
        <f t="shared" si="18"/>
        <v>Error?</v>
      </c>
    </row>
    <row r="1222" spans="1:4" x14ac:dyDescent="0.2">
      <c r="A1222" s="10">
        <v>1161</v>
      </c>
      <c r="D1222" s="2" t="str">
        <f t="shared" si="18"/>
        <v>OK</v>
      </c>
    </row>
    <row r="1223" spans="1:4" x14ac:dyDescent="0.2">
      <c r="A1223" s="5">
        <v>1162</v>
      </c>
      <c r="B1223" s="138">
        <f>'Expenditures 15-22'!C127</f>
        <v>63006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63006</v>
      </c>
      <c r="C1225" s="2" t="s">
        <v>573</v>
      </c>
      <c r="D1225" s="2" t="str">
        <f t="shared" si="18"/>
        <v>Error?</v>
      </c>
    </row>
    <row r="1226" spans="1:4" x14ac:dyDescent="0.2">
      <c r="A1226" s="5">
        <v>1165</v>
      </c>
      <c r="B1226" s="138">
        <f>'Expenditures 15-22'!C151</f>
        <v>63006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9339</v>
      </c>
      <c r="D1229" s="2" t="str">
        <f t="shared" si="18"/>
        <v>Error?</v>
      </c>
    </row>
    <row r="1230" spans="1:4" x14ac:dyDescent="0.2">
      <c r="A1230" s="10">
        <v>1169</v>
      </c>
      <c r="D1230" s="2" t="str">
        <f t="shared" si="18"/>
        <v>OK</v>
      </c>
    </row>
    <row r="1231" spans="1:4" x14ac:dyDescent="0.2">
      <c r="A1231" s="5">
        <v>1170</v>
      </c>
      <c r="B1231" s="138">
        <f>'Expenditures 15-22'!D127</f>
        <v>9339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9339</v>
      </c>
      <c r="C1233" s="2" t="s">
        <v>573</v>
      </c>
      <c r="D1233" s="2" t="str">
        <f t="shared" si="18"/>
        <v>Error?</v>
      </c>
    </row>
    <row r="1234" spans="1:4" x14ac:dyDescent="0.2">
      <c r="A1234" s="5">
        <v>1173</v>
      </c>
      <c r="B1234" s="138">
        <f>'Expenditures 15-22'!D151</f>
        <v>9339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56179</v>
      </c>
      <c r="D1237" s="2" t="str">
        <f t="shared" si="18"/>
        <v>Error?</v>
      </c>
    </row>
    <row r="1238" spans="1:4" x14ac:dyDescent="0.2">
      <c r="A1238" s="10">
        <v>1177</v>
      </c>
      <c r="D1238" s="2" t="str">
        <f t="shared" si="18"/>
        <v>OK</v>
      </c>
    </row>
    <row r="1239" spans="1:4" x14ac:dyDescent="0.2">
      <c r="A1239" s="5">
        <v>1178</v>
      </c>
      <c r="B1239" s="138">
        <f>'Expenditures 15-22'!E127</f>
        <v>56179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56179</v>
      </c>
      <c r="C1241" s="2" t="s">
        <v>573</v>
      </c>
      <c r="D1241" s="2" t="str">
        <f t="shared" si="18"/>
        <v>Error?</v>
      </c>
    </row>
    <row r="1242" spans="1:4" x14ac:dyDescent="0.2">
      <c r="A1242" s="5">
        <v>1181</v>
      </c>
      <c r="B1242" s="138">
        <f>'Expenditures 15-22'!E151</f>
        <v>56179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53010</v>
      </c>
      <c r="D1245" s="2" t="str">
        <f t="shared" si="18"/>
        <v>Error?</v>
      </c>
    </row>
    <row r="1246" spans="1:4" x14ac:dyDescent="0.2">
      <c r="A1246" s="10">
        <v>1185</v>
      </c>
      <c r="D1246" s="2" t="str">
        <f t="shared" si="18"/>
        <v>OK</v>
      </c>
    </row>
    <row r="1247" spans="1:4" x14ac:dyDescent="0.2">
      <c r="A1247" s="5">
        <v>1186</v>
      </c>
      <c r="B1247" s="138">
        <f>'Expenditures 15-22'!F127</f>
        <v>53010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53010</v>
      </c>
      <c r="C1249" s="2" t="s">
        <v>573</v>
      </c>
      <c r="D1249" s="2" t="str">
        <f t="shared" si="18"/>
        <v>Error?</v>
      </c>
    </row>
    <row r="1250" spans="1:4" x14ac:dyDescent="0.2">
      <c r="A1250" s="5">
        <v>1189</v>
      </c>
      <c r="B1250" s="138">
        <f>'Expenditures 15-22'!F151</f>
        <v>53010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2493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2493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2493</v>
      </c>
      <c r="C1258" s="2" t="s">
        <v>573</v>
      </c>
      <c r="D1258" s="2" t="str">
        <f t="shared" si="18"/>
        <v>Error?</v>
      </c>
    </row>
    <row r="1259" spans="1:4" x14ac:dyDescent="0.2">
      <c r="A1259" s="5">
        <v>1198</v>
      </c>
      <c r="B1259" s="138">
        <f>'Expenditures 15-22'!G151</f>
        <v>2493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184027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184027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184027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184027</v>
      </c>
      <c r="C1288" s="2" t="s">
        <v>573</v>
      </c>
      <c r="D1288" s="2" t="str">
        <f t="shared" si="19"/>
        <v>Error?</v>
      </c>
    </row>
    <row r="1289" spans="1:4" x14ac:dyDescent="0.2">
      <c r="A1289" s="5">
        <v>1228</v>
      </c>
      <c r="B1289" s="138">
        <f>'Expenditures 15-22'!K152</f>
        <v>11442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3538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54038</v>
      </c>
      <c r="C1317" s="2" t="s">
        <v>573</v>
      </c>
      <c r="D1317" s="2" t="str">
        <f t="shared" si="19"/>
        <v>Error?</v>
      </c>
    </row>
    <row r="1318" spans="1:4" x14ac:dyDescent="0.2">
      <c r="A1318" s="5">
        <v>1257</v>
      </c>
      <c r="B1318" s="138">
        <f>'Expenditures 15-22'!H174</f>
        <v>54038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3538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50000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54038</v>
      </c>
      <c r="C1331" s="2" t="s">
        <v>573</v>
      </c>
      <c r="D1331" s="2" t="str">
        <f t="shared" si="19"/>
        <v>Error?</v>
      </c>
    </row>
    <row r="1332" spans="1:4" x14ac:dyDescent="0.2">
      <c r="A1332" s="5">
        <v>1271</v>
      </c>
      <c r="B1332" s="138">
        <f>'Expenditures 15-22'!K174</f>
        <v>54038</v>
      </c>
      <c r="C1332" s="2" t="s">
        <v>573</v>
      </c>
      <c r="D1332" s="2" t="str">
        <f t="shared" si="19"/>
        <v>Error?</v>
      </c>
    </row>
    <row r="1333" spans="1:4" x14ac:dyDescent="0.2">
      <c r="A1333" s="5">
        <v>1272</v>
      </c>
      <c r="B1333" s="138">
        <f>'Expenditures 15-22'!K175</f>
        <v>-8552</v>
      </c>
      <c r="C1333" s="2" t="s">
        <v>573</v>
      </c>
      <c r="D1333" s="2" t="str">
        <f t="shared" si="19"/>
        <v>Error?</v>
      </c>
    </row>
    <row r="1334" spans="1:4" x14ac:dyDescent="0.2">
      <c r="A1334" s="10">
        <v>1273</v>
      </c>
      <c r="D1334" s="2" t="str">
        <f t="shared" si="19"/>
        <v>OK</v>
      </c>
    </row>
    <row r="1335" spans="1:4" x14ac:dyDescent="0.2">
      <c r="A1335" s="5">
        <v>1274</v>
      </c>
      <c r="B1335" s="138">
        <f>'Expenditures 15-22'!C182</f>
        <v>6448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6448</v>
      </c>
      <c r="C1339" s="2" t="s">
        <v>573</v>
      </c>
      <c r="D1339" s="2" t="str">
        <f t="shared" si="19"/>
        <v>Error?</v>
      </c>
    </row>
    <row r="1340" spans="1:4" x14ac:dyDescent="0.2">
      <c r="A1340" s="5">
        <v>1279</v>
      </c>
      <c r="B1340" s="138">
        <f>'Expenditures 15-22'!C210</f>
        <v>6448</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101178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101178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101178</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107626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107626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107626</v>
      </c>
      <c r="C1388" s="2" t="s">
        <v>573</v>
      </c>
      <c r="D1388" s="2" t="str">
        <f t="shared" si="20"/>
        <v>Error?</v>
      </c>
    </row>
    <row r="1389" spans="1:4" x14ac:dyDescent="0.2">
      <c r="A1389" s="5">
        <v>1328</v>
      </c>
      <c r="B1389" s="138">
        <f>'Expenditures 15-22'!K211</f>
        <v>62110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1423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39833</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3130</v>
      </c>
      <c r="D1419" s="2" t="str">
        <f t="shared" si="21"/>
        <v>Error?</v>
      </c>
    </row>
    <row r="1420" spans="1:4" x14ac:dyDescent="0.2">
      <c r="A1420" s="5">
        <v>1359</v>
      </c>
      <c r="B1420" s="138">
        <f>'Expenditures 15-22'!D242</f>
        <v>149</v>
      </c>
      <c r="D1420" s="2" t="str">
        <f t="shared" si="21"/>
        <v>Error?</v>
      </c>
    </row>
    <row r="1421" spans="1:4" x14ac:dyDescent="0.2">
      <c r="A1421" s="5">
        <v>1360</v>
      </c>
      <c r="B1421" s="138">
        <f>'Expenditures 15-22'!D243</f>
        <v>3279</v>
      </c>
      <c r="C1421" s="2" t="s">
        <v>573</v>
      </c>
      <c r="D1421" s="2" t="str">
        <f t="shared" si="21"/>
        <v>Error?</v>
      </c>
    </row>
    <row r="1422" spans="1:4" x14ac:dyDescent="0.2">
      <c r="A1422" s="5">
        <v>1361</v>
      </c>
      <c r="B1422" s="138">
        <f>'Expenditures 15-22'!D245</f>
        <v>148</v>
      </c>
      <c r="D1422" s="2" t="str">
        <f t="shared" si="21"/>
        <v>Error?</v>
      </c>
    </row>
    <row r="1423" spans="1:4" x14ac:dyDescent="0.2">
      <c r="A1423" s="5">
        <v>1362</v>
      </c>
      <c r="B1423" s="138">
        <f>'Expenditures 15-22'!D246</f>
        <v>7998</v>
      </c>
      <c r="D1423" s="2" t="str">
        <f t="shared" si="21"/>
        <v>Error?</v>
      </c>
    </row>
    <row r="1424" spans="1:4" x14ac:dyDescent="0.2">
      <c r="A1424" s="5">
        <v>1363</v>
      </c>
      <c r="B1424" s="138">
        <f>'Expenditures 15-22'!D257</f>
        <v>8984</v>
      </c>
      <c r="C1424" s="2" t="s">
        <v>573</v>
      </c>
      <c r="D1424" s="2" t="str">
        <f t="shared" si="21"/>
        <v>Error?</v>
      </c>
    </row>
    <row r="1425" spans="1:4" x14ac:dyDescent="0.2">
      <c r="A1425" s="5">
        <v>1364</v>
      </c>
      <c r="B1425" s="138">
        <f>'Expenditures 15-22'!D259</f>
        <v>721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721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8660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13385</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8934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30979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43963</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88035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1423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39833</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3130</v>
      </c>
      <c r="C1483" s="2" t="s">
        <v>573</v>
      </c>
      <c r="D1483" s="2" t="str">
        <f t="shared" si="22"/>
        <v>Error?</v>
      </c>
    </row>
    <row r="1484" spans="1:4" x14ac:dyDescent="0.2">
      <c r="A1484" s="5">
        <v>1423</v>
      </c>
      <c r="B1484" s="138">
        <f>'Expenditures 15-22'!K242</f>
        <v>149</v>
      </c>
      <c r="C1484" s="2" t="s">
        <v>573</v>
      </c>
      <c r="D1484" s="2" t="str">
        <f t="shared" si="22"/>
        <v>Error?</v>
      </c>
    </row>
    <row r="1485" spans="1:4" x14ac:dyDescent="0.2">
      <c r="A1485" s="5">
        <v>1424</v>
      </c>
      <c r="B1485" s="138">
        <f>'Expenditures 15-22'!K243</f>
        <v>3279</v>
      </c>
      <c r="C1485" s="2" t="s">
        <v>573</v>
      </c>
      <c r="D1485" s="2" t="str">
        <f t="shared" si="22"/>
        <v>Error?</v>
      </c>
    </row>
    <row r="1486" spans="1:4" x14ac:dyDescent="0.2">
      <c r="A1486" s="5">
        <v>1425</v>
      </c>
      <c r="B1486" s="138">
        <f>'Expenditures 15-22'!K245</f>
        <v>148</v>
      </c>
      <c r="C1486" s="2" t="s">
        <v>573</v>
      </c>
      <c r="D1486" s="2" t="str">
        <f t="shared" si="22"/>
        <v>Error?</v>
      </c>
    </row>
    <row r="1487" spans="1:4" x14ac:dyDescent="0.2">
      <c r="A1487" s="5">
        <v>1426</v>
      </c>
      <c r="B1487" s="138">
        <f>'Expenditures 15-22'!K246</f>
        <v>7998</v>
      </c>
      <c r="C1487" s="2" t="s">
        <v>573</v>
      </c>
      <c r="D1487" s="2" t="str">
        <f t="shared" si="22"/>
        <v>Error?</v>
      </c>
    </row>
    <row r="1488" spans="1:4" x14ac:dyDescent="0.2">
      <c r="A1488" s="5">
        <v>1427</v>
      </c>
      <c r="B1488" s="138">
        <f>'Expenditures 15-22'!K257</f>
        <v>8984</v>
      </c>
      <c r="C1488" s="2" t="s">
        <v>573</v>
      </c>
      <c r="D1488" s="2" t="str">
        <f t="shared" si="22"/>
        <v>Error?</v>
      </c>
    </row>
    <row r="1489" spans="1:4" x14ac:dyDescent="0.2">
      <c r="A1489" s="5">
        <v>1428</v>
      </c>
      <c r="B1489" s="138">
        <f>'Expenditures 15-22'!K259</f>
        <v>721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721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8660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13385</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8934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30979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43963</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88035</v>
      </c>
      <c r="C1517" s="2" t="s">
        <v>573</v>
      </c>
      <c r="D1517" s="2" t="str">
        <f t="shared" si="22"/>
        <v>Error?</v>
      </c>
    </row>
    <row r="1518" spans="1:4" x14ac:dyDescent="0.2">
      <c r="A1518" s="5">
        <v>1457</v>
      </c>
      <c r="B1518" s="138">
        <f>'Expenditures 15-22'!K296</f>
        <v>-20325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1477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1477</v>
      </c>
      <c r="C1535" s="2" t="s">
        <v>573</v>
      </c>
      <c r="D1535" s="2" t="str">
        <f t="shared" ref="D1535:D1598" si="23">IF(ISBLANK(B1535),"OK",IF(A1535-B1535=0,"OK","Error?"))</f>
        <v>Error?</v>
      </c>
    </row>
    <row r="1536" spans="1:4" x14ac:dyDescent="0.2">
      <c r="A1536" s="5">
        <v>1475</v>
      </c>
      <c r="B1536" s="138">
        <f>'Expenditures 15-22'!E312</f>
        <v>1477</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49189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49189</v>
      </c>
      <c r="C1547" s="2" t="s">
        <v>573</v>
      </c>
      <c r="D1547" s="2" t="str">
        <f t="shared" si="23"/>
        <v>Error?</v>
      </c>
    </row>
    <row r="1548" spans="1:4" x14ac:dyDescent="0.2">
      <c r="A1548" s="5">
        <v>1487</v>
      </c>
      <c r="B1548" s="138">
        <f>'Expenditures 15-22'!G312</f>
        <v>49189</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50666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50666</v>
      </c>
      <c r="C1559" s="2" t="s">
        <v>573</v>
      </c>
      <c r="D1559" s="2" t="str">
        <f t="shared" si="23"/>
        <v>Error?</v>
      </c>
    </row>
    <row r="1560" spans="1:4" x14ac:dyDescent="0.2">
      <c r="A1560" s="5">
        <v>1499</v>
      </c>
      <c r="B1560" s="138">
        <f>'Expenditures 15-22'!K312</f>
        <v>50666</v>
      </c>
      <c r="C1560" s="2" t="s">
        <v>573</v>
      </c>
      <c r="D1560" s="2" t="str">
        <f t="shared" si="23"/>
        <v>Error?</v>
      </c>
    </row>
    <row r="1561" spans="1:4" x14ac:dyDescent="0.2">
      <c r="A1561" s="5">
        <v>1500</v>
      </c>
      <c r="B1561" s="138">
        <f>'Expenditures 15-22'!K313</f>
        <v>19299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1574130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1752222</v>
      </c>
      <c r="C1630" s="2" t="s">
        <v>573</v>
      </c>
      <c r="D1630" s="2" t="str">
        <f t="shared" si="24"/>
        <v>Error?</v>
      </c>
    </row>
    <row r="1631" spans="1:4" x14ac:dyDescent="0.2">
      <c r="A1631" s="5">
        <v>1570</v>
      </c>
      <c r="B1631" s="138">
        <f>'Acct Summary 7-8'!D79</f>
        <v>299064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310506</v>
      </c>
      <c r="C1644" s="2" t="s">
        <v>573</v>
      </c>
      <c r="D1644" s="2" t="str">
        <f t="shared" si="24"/>
        <v>Error?</v>
      </c>
    </row>
    <row r="1645" spans="1:4" x14ac:dyDescent="0.2">
      <c r="A1645" s="5">
        <v>1584</v>
      </c>
      <c r="B1645" s="138">
        <f>'Acct Summary 7-8'!E79</f>
        <v>38208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29656</v>
      </c>
      <c r="C1658" s="2" t="s">
        <v>573</v>
      </c>
      <c r="D1658" s="2" t="str">
        <f t="shared" si="24"/>
        <v>Error?</v>
      </c>
    </row>
    <row r="1659" spans="1:4" x14ac:dyDescent="0.2">
      <c r="A1659" s="5">
        <v>1598</v>
      </c>
      <c r="B1659" s="138">
        <f>'Acct Summary 7-8'!F79</f>
        <v>323372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385482</v>
      </c>
      <c r="C1672" s="2" t="s">
        <v>573</v>
      </c>
      <c r="D1672" s="2" t="str">
        <f t="shared" si="25"/>
        <v>Error?</v>
      </c>
    </row>
    <row r="1673" spans="1:4" x14ac:dyDescent="0.2">
      <c r="A1673" s="5">
        <v>1612</v>
      </c>
      <c r="B1673" s="138">
        <f>'Acct Summary 7-8'!G79</f>
        <v>11173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-9152</v>
      </c>
      <c r="C1686" s="2" t="s">
        <v>573</v>
      </c>
      <c r="D1686" s="2" t="str">
        <f t="shared" si="25"/>
        <v>Error?</v>
      </c>
    </row>
    <row r="1687" spans="1:4" x14ac:dyDescent="0.2">
      <c r="A1687" s="5">
        <v>1626</v>
      </c>
      <c r="B1687" s="138">
        <f>'Acct Summary 7-8'!H79</f>
        <v>71183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90482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1018304</v>
      </c>
      <c r="C1744" s="2" t="s">
        <v>573</v>
      </c>
      <c r="D1744" s="2" t="str">
        <f t="shared" si="26"/>
        <v>Error?</v>
      </c>
    </row>
    <row r="1745" spans="1:5" x14ac:dyDescent="0.2">
      <c r="A1745" s="5">
        <v>1684</v>
      </c>
      <c r="B1745" s="138">
        <f>'Tax Sched 23'!B5</f>
        <v>131225</v>
      </c>
      <c r="C1745" s="2" t="s">
        <v>573</v>
      </c>
      <c r="D1745" s="2" t="str">
        <f t="shared" si="26"/>
        <v>Error?</v>
      </c>
    </row>
    <row r="1746" spans="1:5" x14ac:dyDescent="0.2">
      <c r="A1746" s="5">
        <v>1685</v>
      </c>
      <c r="B1746" s="138">
        <f>'Tax Sched 23'!B6</f>
        <v>21181</v>
      </c>
      <c r="C1746" s="2" t="s">
        <v>573</v>
      </c>
      <c r="D1746" s="2" t="str">
        <f t="shared" si="26"/>
        <v>Error?</v>
      </c>
    </row>
    <row r="1747" spans="1:5" x14ac:dyDescent="0.2">
      <c r="A1747" s="5">
        <v>1686</v>
      </c>
      <c r="B1747" s="138">
        <f>'Tax Sched 23'!B7</f>
        <v>97374</v>
      </c>
      <c r="C1747" s="2" t="s">
        <v>573</v>
      </c>
      <c r="D1747" s="2" t="str">
        <f t="shared" si="26"/>
        <v>Error?</v>
      </c>
    </row>
    <row r="1748" spans="1:5" x14ac:dyDescent="0.2">
      <c r="A1748" s="5">
        <v>1687</v>
      </c>
      <c r="B1748" s="138">
        <f>'Tax Sched 23'!B8</f>
        <v>33575</v>
      </c>
      <c r="C1748" s="2" t="s">
        <v>573</v>
      </c>
      <c r="D1748" s="2" t="str">
        <f t="shared" si="26"/>
        <v>Error?</v>
      </c>
    </row>
    <row r="1749" spans="1:5" x14ac:dyDescent="0.2">
      <c r="A1749" s="5">
        <v>1688</v>
      </c>
      <c r="B1749" s="138">
        <f>'Tax Sched 23'!B10</f>
        <v>26245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269985</v>
      </c>
      <c r="C1752" s="2" t="s">
        <v>573</v>
      </c>
      <c r="D1752" s="2" t="str">
        <f t="shared" si="26"/>
        <v>Error?</v>
      </c>
    </row>
    <row r="1753" spans="1:5" x14ac:dyDescent="0.2">
      <c r="A1753" s="5">
        <v>1692</v>
      </c>
      <c r="B1753" s="138">
        <f>'Tax Sched 23'!B12</f>
        <v>26245</v>
      </c>
      <c r="C1753" s="2" t="s">
        <v>573</v>
      </c>
      <c r="D1753" s="2" t="str">
        <f t="shared" si="26"/>
        <v>Error?</v>
      </c>
    </row>
    <row r="1754" spans="1:5" x14ac:dyDescent="0.2">
      <c r="A1754" s="5">
        <v>1693</v>
      </c>
      <c r="B1754" s="138">
        <f>'Tax Sched 23'!B14</f>
        <v>10499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1694453</v>
      </c>
      <c r="C1759" s="2" t="s">
        <v>573</v>
      </c>
      <c r="D1759" s="2" t="str">
        <f t="shared" si="26"/>
        <v>Error?</v>
      </c>
    </row>
    <row r="1760" spans="1:5" x14ac:dyDescent="0.2">
      <c r="A1760" s="5">
        <v>1699</v>
      </c>
      <c r="B1760" s="138">
        <f>'Tax Sched 23'!D4</f>
        <v>562311</v>
      </c>
      <c r="C1760" s="2" t="s">
        <v>573</v>
      </c>
      <c r="D1760" s="2" t="str">
        <f t="shared" si="26"/>
        <v>Error?</v>
      </c>
    </row>
    <row r="1761" spans="1:5" x14ac:dyDescent="0.2">
      <c r="A1761" s="5">
        <v>1700</v>
      </c>
      <c r="B1761" s="138">
        <f>'Tax Sched 23'!D5</f>
        <v>72463</v>
      </c>
      <c r="C1761" s="2" t="s">
        <v>573</v>
      </c>
      <c r="D1761" s="2" t="str">
        <f t="shared" si="26"/>
        <v>Error?</v>
      </c>
    </row>
    <row r="1762" spans="1:5" s="8" customFormat="1" x14ac:dyDescent="0.2">
      <c r="A1762" s="5">
        <v>1701</v>
      </c>
      <c r="B1762" s="138">
        <f>'Tax Sched 23'!D6</f>
        <v>14154</v>
      </c>
      <c r="C1762" s="2" t="s">
        <v>573</v>
      </c>
      <c r="D1762" s="2" t="str">
        <f t="shared" si="26"/>
        <v>Error?</v>
      </c>
      <c r="E1762" s="9"/>
    </row>
    <row r="1763" spans="1:5" x14ac:dyDescent="0.2">
      <c r="A1763" s="5">
        <v>1702</v>
      </c>
      <c r="B1763" s="138">
        <f>'Tax Sched 23'!D7</f>
        <v>59764</v>
      </c>
      <c r="C1763" s="2" t="s">
        <v>573</v>
      </c>
      <c r="D1763" s="2" t="str">
        <f t="shared" si="26"/>
        <v>Error?</v>
      </c>
    </row>
    <row r="1764" spans="1:5" x14ac:dyDescent="0.2">
      <c r="A1764" s="5">
        <v>1703</v>
      </c>
      <c r="B1764" s="138">
        <f>'Tax Sched 23'!D8</f>
        <v>18115</v>
      </c>
      <c r="C1764" s="2" t="s">
        <v>573</v>
      </c>
      <c r="D1764" s="2" t="str">
        <f t="shared" si="26"/>
        <v>Error?</v>
      </c>
    </row>
    <row r="1765" spans="1:5" x14ac:dyDescent="0.2">
      <c r="A1765" s="5">
        <v>1704</v>
      </c>
      <c r="B1765" s="138">
        <f>'Tax Sched 23'!D10</f>
        <v>14492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143502</v>
      </c>
      <c r="C1768" s="2" t="s">
        <v>573</v>
      </c>
      <c r="D1768" s="2" t="str">
        <f t="shared" si="26"/>
        <v>Error?</v>
      </c>
    </row>
    <row r="1769" spans="1:5" x14ac:dyDescent="0.2">
      <c r="A1769" s="5">
        <v>1708</v>
      </c>
      <c r="B1769" s="138">
        <f>'Tax Sched 23'!D12</f>
        <v>14492</v>
      </c>
      <c r="C1769" s="2" t="s">
        <v>573</v>
      </c>
      <c r="D1769" s="2" t="str">
        <f t="shared" si="26"/>
        <v>Error?</v>
      </c>
    </row>
    <row r="1770" spans="1:5" x14ac:dyDescent="0.2">
      <c r="A1770" s="5">
        <v>1709</v>
      </c>
      <c r="B1770" s="138">
        <f>'Tax Sched 23'!D14</f>
        <v>5796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937696</v>
      </c>
      <c r="C1775" s="2" t="s">
        <v>573</v>
      </c>
      <c r="D1775" s="2" t="str">
        <f t="shared" si="26"/>
        <v>Error?</v>
      </c>
    </row>
    <row r="1776" spans="1:5" x14ac:dyDescent="0.2">
      <c r="A1776" s="5">
        <v>1715</v>
      </c>
      <c r="B1776" s="138">
        <f>'Tax Sched 23'!C4</f>
        <v>455993</v>
      </c>
      <c r="D1776" s="2" t="str">
        <f t="shared" si="26"/>
        <v>Error?</v>
      </c>
    </row>
    <row r="1777" spans="1:4" x14ac:dyDescent="0.2">
      <c r="A1777" s="5">
        <v>1716</v>
      </c>
      <c r="B1777" s="138">
        <f>'Tax Sched 23'!C5</f>
        <v>58762</v>
      </c>
      <c r="D1777" s="2" t="str">
        <f t="shared" si="26"/>
        <v>Error?</v>
      </c>
    </row>
    <row r="1778" spans="1:4" x14ac:dyDescent="0.2">
      <c r="A1778" s="5">
        <v>1717</v>
      </c>
      <c r="B1778" s="138">
        <f>'Tax Sched 23'!C6</f>
        <v>7027</v>
      </c>
      <c r="D1778" s="2" t="str">
        <f t="shared" si="26"/>
        <v>Error?</v>
      </c>
    </row>
    <row r="1779" spans="1:4" x14ac:dyDescent="0.2">
      <c r="A1779" s="5">
        <v>1718</v>
      </c>
      <c r="B1779" s="138">
        <f>'Tax Sched 23'!C7</f>
        <v>37610</v>
      </c>
      <c r="D1779" s="2" t="str">
        <f t="shared" si="26"/>
        <v>Error?</v>
      </c>
    </row>
    <row r="1780" spans="1:4" x14ac:dyDescent="0.2">
      <c r="A1780" s="5">
        <v>1719</v>
      </c>
      <c r="B1780" s="138">
        <f>'Tax Sched 23'!C8</f>
        <v>15460</v>
      </c>
      <c r="D1780" s="2" t="str">
        <f t="shared" si="26"/>
        <v>Error?</v>
      </c>
    </row>
    <row r="1781" spans="1:4" x14ac:dyDescent="0.2">
      <c r="A1781" s="5">
        <v>1720</v>
      </c>
      <c r="B1781" s="138">
        <f>'Tax Sched 23'!C10</f>
        <v>11753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126483</v>
      </c>
      <c r="D1784" s="2" t="str">
        <f t="shared" si="26"/>
        <v>Error?</v>
      </c>
    </row>
    <row r="1785" spans="1:4" x14ac:dyDescent="0.2">
      <c r="A1785" s="5">
        <v>1724</v>
      </c>
      <c r="B1785" s="138">
        <f>'Tax Sched 23'!C12</f>
        <v>11753</v>
      </c>
      <c r="D1785" s="2" t="str">
        <f t="shared" si="26"/>
        <v>Error?</v>
      </c>
    </row>
    <row r="1786" spans="1:4" x14ac:dyDescent="0.2">
      <c r="A1786" s="5">
        <v>1725</v>
      </c>
      <c r="B1786" s="138">
        <f>'Tax Sched 23'!C14</f>
        <v>4703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756757</v>
      </c>
      <c r="C1791" s="2" t="s">
        <v>573</v>
      </c>
      <c r="D1791" s="2" t="str">
        <f t="shared" ref="D1791:D1854" si="27">IF(ISBLANK(B1791),"OK",IF(A1791-B1791=0,"OK","Error?"))</f>
        <v>Error?</v>
      </c>
    </row>
    <row r="1792" spans="1:4" x14ac:dyDescent="0.2">
      <c r="A1792" s="5">
        <v>1731</v>
      </c>
      <c r="B1792" s="138">
        <f>'Tax Sched 23'!F4</f>
        <v>517418</v>
      </c>
      <c r="C1792" s="2" t="s">
        <v>573</v>
      </c>
      <c r="D1792" s="2" t="str">
        <f t="shared" si="27"/>
        <v>Error?</v>
      </c>
    </row>
    <row r="1793" spans="1:4" x14ac:dyDescent="0.2">
      <c r="A1793" s="5">
        <v>1732</v>
      </c>
      <c r="B1793" s="138">
        <f>'Tax Sched 23'!F5</f>
        <v>66678</v>
      </c>
      <c r="C1793" s="2" t="s">
        <v>573</v>
      </c>
      <c r="D1793" s="2" t="str">
        <f t="shared" si="27"/>
        <v>Error?</v>
      </c>
    </row>
    <row r="1794" spans="1:4" x14ac:dyDescent="0.2">
      <c r="A1794" s="5">
        <v>1733</v>
      </c>
      <c r="B1794" s="138">
        <f>'Tax Sched 23'!F6</f>
        <v>7974</v>
      </c>
      <c r="C1794" s="2" t="s">
        <v>573</v>
      </c>
      <c r="D1794" s="2" t="str">
        <f t="shared" si="27"/>
        <v>Error?</v>
      </c>
    </row>
    <row r="1795" spans="1:4" x14ac:dyDescent="0.2">
      <c r="A1795" s="5">
        <v>1734</v>
      </c>
      <c r="B1795" s="138">
        <f>'Tax Sched 23'!F7</f>
        <v>42676</v>
      </c>
      <c r="C1795" s="2" t="s">
        <v>573</v>
      </c>
      <c r="D1795" s="2" t="str">
        <f t="shared" si="27"/>
        <v>Error?</v>
      </c>
    </row>
    <row r="1796" spans="1:4" x14ac:dyDescent="0.2">
      <c r="A1796" s="5">
        <v>1735</v>
      </c>
      <c r="B1796" s="138">
        <f>'Tax Sched 23'!F8</f>
        <v>17542</v>
      </c>
      <c r="C1796" s="2" t="s">
        <v>573</v>
      </c>
      <c r="D1796" s="2" t="str">
        <f t="shared" si="27"/>
        <v>Error?</v>
      </c>
    </row>
    <row r="1797" spans="1:4" x14ac:dyDescent="0.2">
      <c r="A1797" s="5">
        <v>1736</v>
      </c>
      <c r="B1797" s="138">
        <f>'Tax Sched 23'!F10</f>
        <v>13336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143520</v>
      </c>
      <c r="C1800" s="2" t="s">
        <v>573</v>
      </c>
      <c r="D1800" s="2" t="str">
        <f t="shared" si="27"/>
        <v>Error?</v>
      </c>
    </row>
    <row r="1801" spans="1:4" x14ac:dyDescent="0.2">
      <c r="A1801" s="5">
        <v>1740</v>
      </c>
      <c r="B1801" s="138">
        <f>'Tax Sched 23'!F12</f>
        <v>13336</v>
      </c>
      <c r="C1801" s="2" t="s">
        <v>573</v>
      </c>
      <c r="D1801" s="2" t="str">
        <f t="shared" si="27"/>
        <v>Error?</v>
      </c>
    </row>
    <row r="1802" spans="1:4" x14ac:dyDescent="0.2">
      <c r="A1802" s="5">
        <v>1741</v>
      </c>
      <c r="B1802" s="138">
        <f>'Tax Sched 23'!F14</f>
        <v>5335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858693</v>
      </c>
      <c r="C1807" s="2" t="s">
        <v>573</v>
      </c>
      <c r="D1807" s="2" t="str">
        <f t="shared" si="27"/>
        <v>Error?</v>
      </c>
    </row>
    <row r="1808" spans="1:4" x14ac:dyDescent="0.2">
      <c r="A1808" s="5">
        <v>1747</v>
      </c>
      <c r="B1808" s="138">
        <f>'Tax Sched 23'!E4</f>
        <v>973411</v>
      </c>
      <c r="D1808" s="2" t="str">
        <f t="shared" si="27"/>
        <v>Error?</v>
      </c>
    </row>
    <row r="1809" spans="1:4" x14ac:dyDescent="0.2">
      <c r="A1809" s="5">
        <v>1748</v>
      </c>
      <c r="B1809" s="138">
        <f>'Tax Sched 23'!E5</f>
        <v>125440</v>
      </c>
      <c r="D1809" s="2" t="str">
        <f t="shared" si="27"/>
        <v>Error?</v>
      </c>
    </row>
    <row r="1810" spans="1:4" x14ac:dyDescent="0.2">
      <c r="A1810" s="5">
        <v>1749</v>
      </c>
      <c r="B1810" s="138">
        <f>'Tax Sched 23'!E6</f>
        <v>15001</v>
      </c>
      <c r="D1810" s="2" t="str">
        <f t="shared" si="27"/>
        <v>Error?</v>
      </c>
    </row>
    <row r="1811" spans="1:4" x14ac:dyDescent="0.2">
      <c r="A1811" s="5">
        <v>1750</v>
      </c>
      <c r="B1811" s="138">
        <f>'Tax Sched 23'!E7</f>
        <v>80286</v>
      </c>
      <c r="D1811" s="2" t="str">
        <f t="shared" si="27"/>
        <v>Error?</v>
      </c>
    </row>
    <row r="1812" spans="1:4" x14ac:dyDescent="0.2">
      <c r="A1812" s="5">
        <v>1751</v>
      </c>
      <c r="B1812" s="138">
        <f>'Tax Sched 23'!E8</f>
        <v>33002</v>
      </c>
      <c r="D1812" s="2" t="str">
        <f t="shared" si="27"/>
        <v>Error?</v>
      </c>
    </row>
    <row r="1813" spans="1:4" x14ac:dyDescent="0.2">
      <c r="A1813" s="5">
        <v>1752</v>
      </c>
      <c r="B1813" s="138">
        <f>'Tax Sched 23'!E10</f>
        <v>25089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270003</v>
      </c>
      <c r="D1816" s="2" t="str">
        <f t="shared" si="27"/>
        <v>Error?</v>
      </c>
    </row>
    <row r="1817" spans="1:4" x14ac:dyDescent="0.2">
      <c r="A1817" s="5">
        <v>1756</v>
      </c>
      <c r="B1817" s="138">
        <f>'Tax Sched 23'!E12</f>
        <v>25089</v>
      </c>
      <c r="D1817" s="2" t="str">
        <f t="shared" si="27"/>
        <v>Error?</v>
      </c>
    </row>
    <row r="1818" spans="1:4" x14ac:dyDescent="0.2">
      <c r="A1818" s="5">
        <v>1757</v>
      </c>
      <c r="B1818" s="138">
        <f>'Tax Sched 23'!E14</f>
        <v>10038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1615450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120481</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10499</v>
      </c>
      <c r="D1972" s="2" t="str">
        <f t="shared" si="29"/>
        <v>Error?</v>
      </c>
    </row>
    <row r="1973" spans="1:5" x14ac:dyDescent="0.2">
      <c r="A1973" s="5">
        <v>1912</v>
      </c>
      <c r="B1973" s="138">
        <f>'Rest Tax Levies-Tort Im 25'!H6</f>
        <v>9</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10508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10508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16025</v>
      </c>
      <c r="D2008" s="2" t="str">
        <f t="shared" si="30"/>
        <v>Error?</v>
      </c>
    </row>
    <row r="2009" spans="1:4" x14ac:dyDescent="0.2">
      <c r="A2009" s="5">
        <v>1948</v>
      </c>
      <c r="B2009" s="138">
        <f>'Cap Outlay Deprec 26'!C8</f>
        <v>1920880</v>
      </c>
      <c r="D2009" s="2" t="str">
        <f t="shared" si="30"/>
        <v>Error?</v>
      </c>
    </row>
    <row r="2010" spans="1:4" x14ac:dyDescent="0.2">
      <c r="A2010" s="5">
        <v>1949</v>
      </c>
      <c r="B2010" s="138">
        <f>'Cap Outlay Deprec 26'!C10</f>
        <v>551094</v>
      </c>
      <c r="D2010" s="2" t="str">
        <f t="shared" si="30"/>
        <v>Error?</v>
      </c>
    </row>
    <row r="2011" spans="1:4" x14ac:dyDescent="0.2">
      <c r="A2011" s="5">
        <v>1950</v>
      </c>
      <c r="B2011" s="138">
        <f>'Cap Outlay Deprec 26'!C12</f>
        <v>174424</v>
      </c>
      <c r="D2011" s="2" t="str">
        <f t="shared" si="30"/>
        <v>Error?</v>
      </c>
    </row>
    <row r="2012" spans="1:4" x14ac:dyDescent="0.2">
      <c r="A2012" s="5">
        <v>1951</v>
      </c>
      <c r="B2012" s="138">
        <f>'Cap Outlay Deprec 26'!C13</f>
        <v>180934</v>
      </c>
      <c r="D2012" s="2" t="str">
        <f t="shared" si="30"/>
        <v>Error?</v>
      </c>
    </row>
    <row r="2013" spans="1:4" x14ac:dyDescent="0.2">
      <c r="A2013" s="5">
        <v>1952</v>
      </c>
      <c r="B2013" s="138">
        <f>'Cap Outlay Deprec 26'!C16</f>
        <v>2855560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61026</v>
      </c>
      <c r="D2016" s="2" t="str">
        <f t="shared" si="30"/>
        <v>Error?</v>
      </c>
    </row>
    <row r="2017" spans="1:4" x14ac:dyDescent="0.2">
      <c r="A2017" s="5">
        <v>1956</v>
      </c>
      <c r="B2017" s="138">
        <f>'Cap Outlay Deprec 26'!D12</f>
        <v>16088</v>
      </c>
      <c r="D2017" s="2" t="str">
        <f t="shared" si="30"/>
        <v>Error?</v>
      </c>
    </row>
    <row r="2018" spans="1:4" x14ac:dyDescent="0.2">
      <c r="A2018" s="5">
        <v>1957</v>
      </c>
      <c r="B2018" s="138">
        <f>'Cap Outlay Deprec 26'!D13</f>
        <v>16809</v>
      </c>
      <c r="D2018" s="2" t="str">
        <f t="shared" si="30"/>
        <v>Error?</v>
      </c>
    </row>
    <row r="2019" spans="1:4" x14ac:dyDescent="0.2">
      <c r="A2019" s="5">
        <v>1958</v>
      </c>
      <c r="B2019" s="138">
        <f>'Cap Outlay Deprec 26'!D16</f>
        <v>131694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10766</v>
      </c>
      <c r="D2023" s="2" t="str">
        <f t="shared" si="30"/>
        <v>Error?</v>
      </c>
    </row>
    <row r="2024" spans="1:4" x14ac:dyDescent="0.2">
      <c r="A2024" s="5">
        <v>1963</v>
      </c>
      <c r="B2024" s="138">
        <f>'Cap Outlay Deprec 26'!E13</f>
        <v>72396</v>
      </c>
      <c r="D2024" s="2" t="str">
        <f t="shared" si="30"/>
        <v>Error?</v>
      </c>
    </row>
    <row r="2025" spans="1:4" x14ac:dyDescent="0.2">
      <c r="A2025" s="5">
        <v>1964</v>
      </c>
      <c r="B2025" s="138">
        <f>'Cap Outlay Deprec 26'!E16</f>
        <v>133136</v>
      </c>
      <c r="C2025" s="2" t="s">
        <v>573</v>
      </c>
      <c r="D2025" s="2" t="str">
        <f t="shared" si="30"/>
        <v>Error?</v>
      </c>
    </row>
    <row r="2026" spans="1:4" x14ac:dyDescent="0.2">
      <c r="A2026" s="5">
        <v>1965</v>
      </c>
      <c r="B2026" s="138">
        <f>'Cap Outlay Deprec 26'!F5</f>
        <v>16025</v>
      </c>
      <c r="C2026" s="2" t="s">
        <v>573</v>
      </c>
      <c r="D2026" s="2" t="str">
        <f t="shared" si="30"/>
        <v>Error?</v>
      </c>
    </row>
    <row r="2027" spans="1:4" x14ac:dyDescent="0.2">
      <c r="A2027" s="5">
        <v>1966</v>
      </c>
      <c r="B2027" s="138">
        <f>'Cap Outlay Deprec 26'!F8</f>
        <v>1920880</v>
      </c>
      <c r="C2027" s="2" t="s">
        <v>573</v>
      </c>
      <c r="D2027" s="2" t="str">
        <f t="shared" si="30"/>
        <v>Error?</v>
      </c>
    </row>
    <row r="2028" spans="1:4" x14ac:dyDescent="0.2">
      <c r="A2028" s="5">
        <v>1967</v>
      </c>
      <c r="B2028" s="138">
        <f>'Cap Outlay Deprec 26'!F10</f>
        <v>612120</v>
      </c>
      <c r="C2028" s="2" t="s">
        <v>573</v>
      </c>
      <c r="D2028" s="2" t="str">
        <f t="shared" si="30"/>
        <v>Error?</v>
      </c>
    </row>
    <row r="2029" spans="1:4" x14ac:dyDescent="0.2">
      <c r="A2029" s="5">
        <v>1968</v>
      </c>
      <c r="B2029" s="138">
        <f>'Cap Outlay Deprec 26'!F12</f>
        <v>179746</v>
      </c>
      <c r="C2029" s="2" t="s">
        <v>573</v>
      </c>
      <c r="D2029" s="2" t="str">
        <f t="shared" si="30"/>
        <v>Error?</v>
      </c>
    </row>
    <row r="2030" spans="1:4" x14ac:dyDescent="0.2">
      <c r="A2030" s="5">
        <v>1969</v>
      </c>
      <c r="B2030" s="138">
        <f>'Cap Outlay Deprec 26'!F13</f>
        <v>125347</v>
      </c>
      <c r="C2030" s="2" t="s">
        <v>573</v>
      </c>
      <c r="D2030" s="2" t="str">
        <f t="shared" si="30"/>
        <v>Error?</v>
      </c>
    </row>
    <row r="2031" spans="1:4" x14ac:dyDescent="0.2">
      <c r="A2031" s="5">
        <v>1970</v>
      </c>
      <c r="B2031" s="138">
        <f>'Cap Outlay Deprec 26'!F16</f>
        <v>2854118</v>
      </c>
      <c r="C2031" s="2" t="s">
        <v>573</v>
      </c>
      <c r="D2031" s="2" t="str">
        <f t="shared" si="30"/>
        <v>Error?</v>
      </c>
    </row>
    <row r="2032" spans="1:4" x14ac:dyDescent="0.2">
      <c r="A2032" s="10">
        <v>1971</v>
      </c>
      <c r="D2032" s="2" t="str">
        <f t="shared" si="30"/>
        <v>OK</v>
      </c>
    </row>
    <row r="2033" spans="1:4" x14ac:dyDescent="0.2">
      <c r="A2033" s="5">
        <v>1972</v>
      </c>
      <c r="B2033" s="138">
        <f>'Cap Outlay Deprec 26'!H8</f>
        <v>1197359</v>
      </c>
      <c r="D2033" s="2" t="str">
        <f t="shared" si="30"/>
        <v>Error?</v>
      </c>
    </row>
    <row r="2034" spans="1:4" x14ac:dyDescent="0.2">
      <c r="A2034" s="5">
        <v>1973</v>
      </c>
      <c r="B2034" s="138">
        <f>'Cap Outlay Deprec 26'!H10</f>
        <v>129809</v>
      </c>
      <c r="D2034" s="2" t="str">
        <f t="shared" si="30"/>
        <v>Error?</v>
      </c>
    </row>
    <row r="2035" spans="1:4" x14ac:dyDescent="0.2">
      <c r="A2035" s="5">
        <v>1974</v>
      </c>
      <c r="B2035" s="138">
        <f>'Cap Outlay Deprec 26'!H12</f>
        <v>77803</v>
      </c>
      <c r="D2035" s="2" t="str">
        <f t="shared" si="30"/>
        <v>Error?</v>
      </c>
    </row>
    <row r="2036" spans="1:4" x14ac:dyDescent="0.2">
      <c r="A2036" s="5">
        <v>1975</v>
      </c>
      <c r="B2036" s="138">
        <f>'Cap Outlay Deprec 26'!H13</f>
        <v>120413</v>
      </c>
      <c r="D2036" s="2" t="str">
        <f t="shared" si="30"/>
        <v>Error?</v>
      </c>
    </row>
    <row r="2037" spans="1:4" x14ac:dyDescent="0.2">
      <c r="A2037" s="5">
        <v>1976</v>
      </c>
      <c r="B2037" s="138">
        <f>'Cap Outlay Deprec 26'!H16</f>
        <v>1525384</v>
      </c>
      <c r="C2037" s="2" t="s">
        <v>573</v>
      </c>
      <c r="D2037" s="2" t="str">
        <f t="shared" si="30"/>
        <v>Error?</v>
      </c>
    </row>
    <row r="2038" spans="1:4" x14ac:dyDescent="0.2">
      <c r="A2038" s="10">
        <v>1977</v>
      </c>
      <c r="D2038" s="2" t="str">
        <f t="shared" si="30"/>
        <v>OK</v>
      </c>
    </row>
    <row r="2039" spans="1:4" x14ac:dyDescent="0.2">
      <c r="A2039" s="5">
        <v>1978</v>
      </c>
      <c r="B2039" s="138">
        <f>'Cap Outlay Deprec 26'!I8</f>
        <v>31244</v>
      </c>
      <c r="D2039" s="2" t="str">
        <f t="shared" si="30"/>
        <v>Error?</v>
      </c>
    </row>
    <row r="2040" spans="1:4" x14ac:dyDescent="0.2">
      <c r="A2040" s="5">
        <v>1979</v>
      </c>
      <c r="B2040" s="138">
        <f>'Cap Outlay Deprec 26'!I10</f>
        <v>30347</v>
      </c>
      <c r="D2040" s="2" t="str">
        <f t="shared" si="30"/>
        <v>Error?</v>
      </c>
    </row>
    <row r="2041" spans="1:4" x14ac:dyDescent="0.2">
      <c r="A2041" s="5">
        <v>1980</v>
      </c>
      <c r="B2041" s="138">
        <f>'Cap Outlay Deprec 26'!I12</f>
        <v>17974</v>
      </c>
      <c r="D2041" s="2" t="str">
        <f t="shared" si="30"/>
        <v>Error?</v>
      </c>
    </row>
    <row r="2042" spans="1:4" x14ac:dyDescent="0.2">
      <c r="A2042" s="5">
        <v>1981</v>
      </c>
      <c r="B2042" s="138">
        <f>'Cap Outlay Deprec 26'!I13</f>
        <v>25068</v>
      </c>
      <c r="D2042" s="2" t="str">
        <f t="shared" si="30"/>
        <v>Error?</v>
      </c>
    </row>
    <row r="2043" spans="1:4" x14ac:dyDescent="0.2">
      <c r="A2043" s="5">
        <v>1982</v>
      </c>
      <c r="B2043" s="138">
        <f>'Cap Outlay Deprec 26'!I16</f>
        <v>104633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10766</v>
      </c>
      <c r="D2047" s="2" t="str">
        <f t="shared" ref="D2047:D2110" si="31">IF(ISBLANK(B2047),"OK",IF(A2047-B2047=0,"OK","Error?"))</f>
        <v>Error?</v>
      </c>
    </row>
    <row r="2048" spans="1:4" x14ac:dyDescent="0.2">
      <c r="A2048" s="5">
        <v>1987</v>
      </c>
      <c r="B2048" s="138">
        <f>'Cap Outlay Deprec 26'!J13</f>
        <v>72396</v>
      </c>
      <c r="D2048" s="2" t="str">
        <f t="shared" si="31"/>
        <v>Error?</v>
      </c>
    </row>
    <row r="2049" spans="1:4" x14ac:dyDescent="0.2">
      <c r="A2049" s="5">
        <v>1988</v>
      </c>
      <c r="B2049" s="138">
        <f>'Cap Outlay Deprec 26'!J16</f>
        <v>83162</v>
      </c>
      <c r="C2049" s="2" t="s">
        <v>573</v>
      </c>
      <c r="D2049" s="2" t="str">
        <f t="shared" si="31"/>
        <v>Error?</v>
      </c>
    </row>
    <row r="2050" spans="1:4" x14ac:dyDescent="0.2">
      <c r="A2050" s="10">
        <v>1989</v>
      </c>
      <c r="D2050" s="2" t="str">
        <f t="shared" si="31"/>
        <v>OK</v>
      </c>
    </row>
    <row r="2051" spans="1:4" x14ac:dyDescent="0.2">
      <c r="A2051" s="5">
        <v>1990</v>
      </c>
      <c r="B2051" s="138">
        <f>'Cap Outlay Deprec 26'!K8</f>
        <v>1228603</v>
      </c>
      <c r="C2051" s="2" t="s">
        <v>573</v>
      </c>
      <c r="D2051" s="2" t="str">
        <f t="shared" si="31"/>
        <v>Error?</v>
      </c>
    </row>
    <row r="2052" spans="1:4" x14ac:dyDescent="0.2">
      <c r="A2052" s="5">
        <v>1991</v>
      </c>
      <c r="B2052" s="138">
        <f>'Cap Outlay Deprec 26'!K10</f>
        <v>160156</v>
      </c>
      <c r="C2052" s="2" t="s">
        <v>573</v>
      </c>
      <c r="D2052" s="2" t="str">
        <f t="shared" si="31"/>
        <v>Error?</v>
      </c>
    </row>
    <row r="2053" spans="1:4" x14ac:dyDescent="0.2">
      <c r="A2053" s="5">
        <v>1992</v>
      </c>
      <c r="B2053" s="138">
        <f>'Cap Outlay Deprec 26'!K12</f>
        <v>85011</v>
      </c>
      <c r="C2053" s="2" t="s">
        <v>573</v>
      </c>
      <c r="D2053" s="2" t="str">
        <f t="shared" si="31"/>
        <v>Error?</v>
      </c>
    </row>
    <row r="2054" spans="1:4" x14ac:dyDescent="0.2">
      <c r="A2054" s="5">
        <v>1993</v>
      </c>
      <c r="B2054" s="138">
        <f>'Cap Outlay Deprec 26'!K13</f>
        <v>73085</v>
      </c>
      <c r="C2054" s="2" t="s">
        <v>573</v>
      </c>
      <c r="D2054" s="2" t="str">
        <f t="shared" si="31"/>
        <v>Error?</v>
      </c>
    </row>
    <row r="2055" spans="1:4" x14ac:dyDescent="0.2">
      <c r="A2055" s="5">
        <v>1994</v>
      </c>
      <c r="B2055" s="138">
        <f>'Cap Outlay Deprec 26'!K16</f>
        <v>1546855</v>
      </c>
      <c r="C2055" s="2" t="s">
        <v>573</v>
      </c>
      <c r="D2055" s="2" t="str">
        <f t="shared" si="31"/>
        <v>Error?</v>
      </c>
    </row>
    <row r="2056" spans="1:4" x14ac:dyDescent="0.2">
      <c r="A2056" s="5">
        <v>1995</v>
      </c>
      <c r="B2056" s="138">
        <f>'Cap Outlay Deprec 26'!L5</f>
        <v>16025</v>
      </c>
      <c r="C2056" s="2" t="s">
        <v>573</v>
      </c>
      <c r="D2056" s="2" t="str">
        <f t="shared" si="31"/>
        <v>Error?</v>
      </c>
    </row>
    <row r="2057" spans="1:4" x14ac:dyDescent="0.2">
      <c r="A2057" s="5">
        <v>1996</v>
      </c>
      <c r="B2057" s="138">
        <f>'Cap Outlay Deprec 26'!L8</f>
        <v>692277</v>
      </c>
      <c r="C2057" s="2" t="s">
        <v>573</v>
      </c>
      <c r="D2057" s="2" t="str">
        <f t="shared" si="31"/>
        <v>Error?</v>
      </c>
    </row>
    <row r="2058" spans="1:4" x14ac:dyDescent="0.2">
      <c r="A2058" s="5">
        <v>1997</v>
      </c>
      <c r="B2058" s="138">
        <f>'Cap Outlay Deprec 26'!L10</f>
        <v>451964</v>
      </c>
      <c r="C2058" s="2" t="s">
        <v>573</v>
      </c>
      <c r="D2058" s="2" t="str">
        <f t="shared" si="31"/>
        <v>Error?</v>
      </c>
    </row>
    <row r="2059" spans="1:4" x14ac:dyDescent="0.2">
      <c r="A2059" s="5">
        <v>1998</v>
      </c>
      <c r="B2059" s="138">
        <f>'Cap Outlay Deprec 26'!L12</f>
        <v>94735</v>
      </c>
      <c r="C2059" s="2" t="s">
        <v>573</v>
      </c>
      <c r="D2059" s="2" t="str">
        <f t="shared" si="31"/>
        <v>Error?</v>
      </c>
    </row>
    <row r="2060" spans="1:4" x14ac:dyDescent="0.2">
      <c r="A2060" s="5">
        <v>1999</v>
      </c>
      <c r="B2060" s="138">
        <f>'Cap Outlay Deprec 26'!L13</f>
        <v>52262</v>
      </c>
      <c r="C2060" s="2" t="s">
        <v>573</v>
      </c>
      <c r="D2060" s="2" t="str">
        <f t="shared" si="31"/>
        <v>Error?</v>
      </c>
    </row>
    <row r="2061" spans="1:4" x14ac:dyDescent="0.2">
      <c r="A2061" s="5">
        <v>2000</v>
      </c>
      <c r="B2061" s="138">
        <f>'Cap Outlay Deprec 26'!L16</f>
        <v>1307263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177205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178308</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21380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12001</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1216378</v>
      </c>
      <c r="C2551" s="2" t="s">
        <v>573</v>
      </c>
      <c r="D2551" s="2" t="str">
        <f t="shared" si="38"/>
        <v>Error?</v>
      </c>
    </row>
    <row r="2552" spans="1:4" x14ac:dyDescent="0.2">
      <c r="A2552" s="10">
        <v>2491</v>
      </c>
      <c r="D2552" s="2" t="str">
        <f t="shared" si="38"/>
        <v>OK</v>
      </c>
    </row>
    <row r="2553" spans="1:4" x14ac:dyDescent="0.2">
      <c r="A2553" s="5">
        <v>2492</v>
      </c>
      <c r="B2553" s="138">
        <f>'Acct Summary 7-8'!C6</f>
        <v>808194</v>
      </c>
      <c r="C2553" s="2" t="s">
        <v>573</v>
      </c>
      <c r="D2553" s="2" t="str">
        <f t="shared" si="38"/>
        <v>Error?</v>
      </c>
    </row>
    <row r="2554" spans="1:4" x14ac:dyDescent="0.2">
      <c r="A2554" s="5">
        <v>2493</v>
      </c>
      <c r="B2554" s="138">
        <f>'Acct Summary 7-8'!C7</f>
        <v>130346</v>
      </c>
      <c r="C2554" s="2" t="s">
        <v>573</v>
      </c>
      <c r="D2554" s="2" t="str">
        <f t="shared" si="38"/>
        <v>Error?</v>
      </c>
    </row>
    <row r="2555" spans="1:4" x14ac:dyDescent="0.2">
      <c r="A2555" s="5">
        <v>2494</v>
      </c>
      <c r="B2555" s="138">
        <f>'Acct Summary 7-8'!C8</f>
        <v>2154918</v>
      </c>
      <c r="C2555" s="2" t="s">
        <v>573</v>
      </c>
      <c r="D2555" s="2" t="str">
        <f t="shared" si="38"/>
        <v>Error?</v>
      </c>
    </row>
    <row r="2556" spans="1:4" x14ac:dyDescent="0.2">
      <c r="A2556" s="5">
        <v>2495</v>
      </c>
      <c r="B2556" s="138">
        <f>'Acct Summary 7-8'!C12</f>
        <v>1410296</v>
      </c>
      <c r="C2556" s="2" t="s">
        <v>573</v>
      </c>
      <c r="D2556" s="2" t="str">
        <f t="shared" si="38"/>
        <v>Error?</v>
      </c>
    </row>
    <row r="2557" spans="1:4" x14ac:dyDescent="0.2">
      <c r="A2557" s="5">
        <v>2496</v>
      </c>
      <c r="B2557" s="138">
        <f>'Acct Summary 7-8'!C13</f>
        <v>400737</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178308</v>
      </c>
      <c r="C2559" s="2" t="s">
        <v>573</v>
      </c>
      <c r="D2559" s="2" t="str">
        <f t="shared" ref="D2559:D2622" si="39">IF(ISBLANK(B2559),"OK",IF(A2559-B2559=0,"OK","Error?"))</f>
        <v>Error?</v>
      </c>
    </row>
    <row r="2560" spans="1:4" x14ac:dyDescent="0.2">
      <c r="A2560" s="5">
        <v>2499</v>
      </c>
      <c r="B2560" s="138">
        <f>'Acct Summary 7-8'!C16</f>
        <v>677</v>
      </c>
      <c r="C2560" s="2" t="s">
        <v>573</v>
      </c>
      <c r="D2560" s="2" t="str">
        <f t="shared" si="39"/>
        <v>Error?</v>
      </c>
    </row>
    <row r="2561" spans="1:4" x14ac:dyDescent="0.2">
      <c r="A2561" s="5">
        <v>2500</v>
      </c>
      <c r="B2561" s="138">
        <f>'Acct Summary 7-8'!C17</f>
        <v>1990018</v>
      </c>
      <c r="C2561" s="2" t="s">
        <v>573</v>
      </c>
      <c r="D2561" s="2" t="str">
        <f t="shared" si="39"/>
        <v>Error?</v>
      </c>
    </row>
    <row r="2562" spans="1:4" x14ac:dyDescent="0.2">
      <c r="A2562" s="5">
        <v>2501</v>
      </c>
      <c r="B2562" s="138">
        <f>'Acct Summary 7-8'!C20</f>
        <v>164900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195469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195469</v>
      </c>
      <c r="C2568" s="2" t="s">
        <v>573</v>
      </c>
      <c r="D2568" s="2" t="str">
        <f t="shared" si="39"/>
        <v>Error?</v>
      </c>
    </row>
    <row r="2569" spans="1:4" x14ac:dyDescent="0.2">
      <c r="A2569" s="5">
        <v>2508</v>
      </c>
      <c r="B2569" s="138">
        <f>'Acct Summary 7-8'!D13</f>
        <v>184027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184027</v>
      </c>
      <c r="C2573" s="2" t="s">
        <v>573</v>
      </c>
      <c r="D2573" s="2" t="str">
        <f t="shared" si="39"/>
        <v>Error?</v>
      </c>
    </row>
    <row r="2574" spans="1:4" x14ac:dyDescent="0.2">
      <c r="A2574" s="5">
        <v>2513</v>
      </c>
      <c r="B2574" s="138">
        <f>'Acct Summary 7-8'!D20</f>
        <v>11442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100896</v>
      </c>
      <c r="C2591" s="2" t="s">
        <v>573</v>
      </c>
      <c r="D2591" s="2" t="str">
        <f t="shared" si="39"/>
        <v>Error?</v>
      </c>
    </row>
    <row r="2592" spans="1:4" x14ac:dyDescent="0.2">
      <c r="A2592" s="10">
        <v>2531</v>
      </c>
      <c r="D2592" s="2" t="str">
        <f t="shared" si="39"/>
        <v>OK</v>
      </c>
    </row>
    <row r="2593" spans="1:4" x14ac:dyDescent="0.2">
      <c r="A2593" s="5">
        <v>2532</v>
      </c>
      <c r="B2593" s="138">
        <f>'Acct Summary 7-8'!F6</f>
        <v>68840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169736</v>
      </c>
      <c r="C2595" s="2" t="s">
        <v>573</v>
      </c>
      <c r="D2595" s="2" t="str">
        <f t="shared" si="39"/>
        <v>Error?</v>
      </c>
    </row>
    <row r="2596" spans="1:4" x14ac:dyDescent="0.2">
      <c r="A2596" s="5">
        <v>2535</v>
      </c>
      <c r="B2596" s="138">
        <f>'Acct Summary 7-8'!F13</f>
        <v>107626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107626</v>
      </c>
      <c r="C2600" s="2" t="s">
        <v>573</v>
      </c>
      <c r="D2600" s="2" t="str">
        <f t="shared" si="39"/>
        <v>Error?</v>
      </c>
    </row>
    <row r="2601" spans="1:4" x14ac:dyDescent="0.2">
      <c r="A2601" s="5">
        <v>2540</v>
      </c>
      <c r="B2601" s="138">
        <f>'Acct Summary 7-8'!F20</f>
        <v>62110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67710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67710</v>
      </c>
      <c r="C2606" s="2" t="s">
        <v>573</v>
      </c>
      <c r="D2606" s="2" t="str">
        <f t="shared" si="39"/>
        <v>Error?</v>
      </c>
    </row>
    <row r="2607" spans="1:4" x14ac:dyDescent="0.2">
      <c r="A2607" s="5">
        <v>2546</v>
      </c>
      <c r="B2607" s="138">
        <f>'Acct Summary 7-8'!G12</f>
        <v>39833</v>
      </c>
      <c r="C2607" s="2" t="s">
        <v>573</v>
      </c>
      <c r="D2607" s="2" t="str">
        <f t="shared" si="39"/>
        <v>Error?</v>
      </c>
    </row>
    <row r="2608" spans="1:4" x14ac:dyDescent="0.2">
      <c r="A2608" s="5">
        <v>2547</v>
      </c>
      <c r="B2608" s="138">
        <f>'Acct Summary 7-8'!G13</f>
        <v>43963</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88035</v>
      </c>
      <c r="C2612" s="2" t="s">
        <v>573</v>
      </c>
      <c r="D2612" s="2" t="str">
        <f t="shared" si="39"/>
        <v>Error?</v>
      </c>
    </row>
    <row r="2613" spans="1:4" x14ac:dyDescent="0.2">
      <c r="A2613" s="5">
        <v>2552</v>
      </c>
      <c r="B2613" s="138">
        <f>'Acct Summary 7-8'!G20</f>
        <v>-20325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45486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45486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54038</v>
      </c>
      <c r="C2634" s="2" t="s">
        <v>573</v>
      </c>
      <c r="D2634" s="2" t="str">
        <f t="shared" si="40"/>
        <v>Error?</v>
      </c>
    </row>
    <row r="2635" spans="1:4" x14ac:dyDescent="0.2">
      <c r="A2635" s="5">
        <v>2574</v>
      </c>
      <c r="B2635" s="138">
        <f>'Acct Summary 7-8'!E17</f>
        <v>54038</v>
      </c>
      <c r="C2635" s="2" t="s">
        <v>573</v>
      </c>
      <c r="D2635" s="2" t="str">
        <f t="shared" si="40"/>
        <v>Error?</v>
      </c>
    </row>
    <row r="2636" spans="1:4" x14ac:dyDescent="0.2">
      <c r="A2636" s="5">
        <v>2575</v>
      </c>
      <c r="B2636" s="138">
        <f>'Acct Summary 7-8'!E20</f>
        <v>-8552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69965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69965</v>
      </c>
      <c r="C2658" s="2" t="s">
        <v>573</v>
      </c>
      <c r="D2658" s="2" t="str">
        <f t="shared" si="40"/>
        <v>Error?</v>
      </c>
    </row>
    <row r="2659" spans="1:4" x14ac:dyDescent="0.2">
      <c r="A2659" s="5">
        <v>2598</v>
      </c>
      <c r="B2659" s="138">
        <f>'Acct Summary 7-8'!H13</f>
        <v>50666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50666</v>
      </c>
      <c r="C2661" s="2" t="s">
        <v>573</v>
      </c>
      <c r="D2661" s="2" t="str">
        <f t="shared" si="40"/>
        <v>Error?</v>
      </c>
    </row>
    <row r="2662" spans="1:4" x14ac:dyDescent="0.2">
      <c r="A2662" s="5">
        <v>2601</v>
      </c>
      <c r="B2662" s="138">
        <f>'Acct Summary 7-8'!H20</f>
        <v>19299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1103</v>
      </c>
      <c r="C2789" s="2" t="s">
        <v>573</v>
      </c>
      <c r="D2789" s="2" t="str">
        <f t="shared" si="42"/>
        <v>Error?</v>
      </c>
    </row>
    <row r="2790" spans="1:4" x14ac:dyDescent="0.2">
      <c r="A2790" s="5">
        <v>2729</v>
      </c>
      <c r="B2790" s="138">
        <f>'Expenditures 15-22'!E102</f>
        <v>1103</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386523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561771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9294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561771</v>
      </c>
      <c r="D2912" s="2" t="str">
        <f t="shared" si="44"/>
        <v>Error?</v>
      </c>
    </row>
    <row r="2913" spans="1:4" x14ac:dyDescent="0.2">
      <c r="A2913" s="5">
        <v>2852</v>
      </c>
      <c r="B2913" s="138">
        <f>'Assets-Liab 5-6'!I41</f>
        <v>561771</v>
      </c>
      <c r="C2913" s="2" t="s">
        <v>573</v>
      </c>
      <c r="D2913" s="2" t="str">
        <f t="shared" si="44"/>
        <v>Error?</v>
      </c>
    </row>
    <row r="2914" spans="1:4" x14ac:dyDescent="0.2">
      <c r="A2914" s="5">
        <v>2853</v>
      </c>
      <c r="B2914" s="138">
        <f>'Assets-Liab 5-6'!L33</f>
        <v>9294</v>
      </c>
      <c r="D2914" s="2" t="str">
        <f t="shared" si="44"/>
        <v>Error?</v>
      </c>
    </row>
    <row r="2915" spans="1:4" x14ac:dyDescent="0.2">
      <c r="A2915" s="10">
        <v>2854</v>
      </c>
      <c r="D2915" s="2" t="str">
        <f t="shared" si="44"/>
        <v>OK</v>
      </c>
    </row>
    <row r="2916" spans="1:4" x14ac:dyDescent="0.2">
      <c r="A2916" s="5">
        <v>2855</v>
      </c>
      <c r="B2916" s="138">
        <f>'Assets-Liab 5-6'!L34</f>
        <v>9294</v>
      </c>
      <c r="C2916" s="2" t="s">
        <v>573</v>
      </c>
      <c r="D2916" s="2" t="str">
        <f t="shared" si="44"/>
        <v>Error?</v>
      </c>
    </row>
    <row r="2917" spans="1:4" x14ac:dyDescent="0.2">
      <c r="A2917" s="5">
        <v>2856</v>
      </c>
      <c r="B2917" s="138">
        <f>'Assets-Liab 5-6'!L41</f>
        <v>9294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1103</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177205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1103</v>
      </c>
      <c r="C2973" s="2" t="s">
        <v>573</v>
      </c>
      <c r="D2973" s="2" t="str">
        <f t="shared" si="45"/>
        <v>Error?</v>
      </c>
    </row>
    <row r="2974" spans="1:4" x14ac:dyDescent="0.2">
      <c r="A2974" s="5">
        <v>2913</v>
      </c>
      <c r="B2974" s="138">
        <f>'Expenditures 15-22'!K79</f>
        <v>177205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30897</v>
      </c>
      <c r="C3225" s="2" t="s">
        <v>573</v>
      </c>
      <c r="D3225" s="2" t="str">
        <f t="shared" si="49"/>
        <v>Error?</v>
      </c>
    </row>
    <row r="3226" spans="1:4" x14ac:dyDescent="0.2">
      <c r="A3226" s="5">
        <v>3165</v>
      </c>
      <c r="B3226" s="138">
        <f>'Acct Summary 7-8'!I8</f>
        <v>30897</v>
      </c>
      <c r="C3226" s="2" t="s">
        <v>573</v>
      </c>
      <c r="D3226" s="2" t="str">
        <f t="shared" si="49"/>
        <v>Error?</v>
      </c>
    </row>
    <row r="3227" spans="1:4" x14ac:dyDescent="0.2">
      <c r="A3227" s="5">
        <v>3166</v>
      </c>
      <c r="B3227" s="138">
        <f>'Acct Summary 7-8'!I20</f>
        <v>30897</v>
      </c>
      <c r="C3227" s="2" t="s">
        <v>573</v>
      </c>
      <c r="D3227" s="2" t="str">
        <f t="shared" si="49"/>
        <v>Error?</v>
      </c>
    </row>
    <row r="3228" spans="1:4" x14ac:dyDescent="0.2">
      <c r="A3228" s="5">
        <v>3167</v>
      </c>
      <c r="B3228" s="138">
        <f>'Acct Summary 7-8'!C43</f>
        <v>13192</v>
      </c>
      <c r="D3228" s="2" t="str">
        <f t="shared" si="49"/>
        <v>Error?</v>
      </c>
    </row>
    <row r="3229" spans="1:4" x14ac:dyDescent="0.2">
      <c r="A3229" s="5">
        <v>3168</v>
      </c>
      <c r="B3229" s="138">
        <f>'Acct Summary 7-8'!C44</f>
        <v>13192</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13192</v>
      </c>
      <c r="C3232" s="2" t="s">
        <v>573</v>
      </c>
      <c r="D3232" s="2" t="str">
        <f t="shared" si="49"/>
        <v>Error?</v>
      </c>
    </row>
    <row r="3233" spans="1:4" x14ac:dyDescent="0.2">
      <c r="A3233" s="5">
        <v>3172</v>
      </c>
      <c r="B3233" s="138">
        <f>'Acct Summary 7-8'!C78</f>
        <v>178092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11442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62110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-20325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-8552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19299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30897</v>
      </c>
      <c r="C3320" s="2" t="s">
        <v>573</v>
      </c>
      <c r="D3320" s="2" t="str">
        <f t="shared" si="50"/>
        <v>Error?</v>
      </c>
    </row>
    <row r="3321" spans="1:4" x14ac:dyDescent="0.2">
      <c r="A3321" s="5">
        <v>3260</v>
      </c>
      <c r="B3321" s="138">
        <f>'Acct Summary 7-8'!I79</f>
        <v>530874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561771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116875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38766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155641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17935</v>
      </c>
      <c r="D3387" s="2" t="str">
        <f t="shared" si="51"/>
        <v>Error?</v>
      </c>
    </row>
    <row r="3388" spans="1:4" x14ac:dyDescent="0.2">
      <c r="A3388" s="5">
        <v>3327</v>
      </c>
      <c r="B3388" s="138">
        <f>'Expenditures 15-22'!D217</f>
        <v>11481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17935</v>
      </c>
      <c r="C3390" s="2" t="s">
        <v>573</v>
      </c>
      <c r="D3390" s="2" t="str">
        <f t="shared" si="51"/>
        <v>Error?</v>
      </c>
    </row>
    <row r="3391" spans="1:4" x14ac:dyDescent="0.2">
      <c r="A3391" s="5">
        <v>3330</v>
      </c>
      <c r="B3391" s="138">
        <f>'Expenditures 15-22'!K217</f>
        <v>11481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647689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89334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16299</v>
      </c>
      <c r="D3417" s="2" t="str">
        <f t="shared" si="52"/>
        <v>Error?</v>
      </c>
    </row>
    <row r="3418" spans="1:4" x14ac:dyDescent="0.2">
      <c r="A3418" s="10">
        <v>3357</v>
      </c>
      <c r="D3418" s="2" t="str">
        <f t="shared" si="52"/>
        <v>OK</v>
      </c>
    </row>
    <row r="3419" spans="1:4" x14ac:dyDescent="0.2">
      <c r="A3419" s="5">
        <v>3358</v>
      </c>
      <c r="B3419" s="138">
        <f>'Assets-Liab 5-6'!F4</f>
        <v>101291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753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90482</v>
      </c>
      <c r="D3425" s="2" t="str">
        <f t="shared" si="52"/>
        <v>Error?</v>
      </c>
    </row>
    <row r="3426" spans="1:4" x14ac:dyDescent="0.2">
      <c r="A3426" s="10">
        <v>3365</v>
      </c>
      <c r="D3426" s="2" t="str">
        <f t="shared" si="52"/>
        <v>OK</v>
      </c>
    </row>
    <row r="3427" spans="1:4" x14ac:dyDescent="0.2">
      <c r="A3427" s="5">
        <v>3366</v>
      </c>
      <c r="B3427" s="138">
        <f>'Assets-Liab 5-6'!I4</f>
        <v>175248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9294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33575</v>
      </c>
      <c r="C3446" s="2" t="s">
        <v>573</v>
      </c>
      <c r="D3446" s="2" t="str">
        <f t="shared" si="52"/>
        <v>Error?</v>
      </c>
    </row>
    <row r="3447" spans="1:4" x14ac:dyDescent="0.2">
      <c r="A3447" s="5">
        <v>3386</v>
      </c>
      <c r="B3447" s="138">
        <f>'Tax Sched 23'!D16</f>
        <v>18115</v>
      </c>
      <c r="C3447" s="2" t="s">
        <v>573</v>
      </c>
      <c r="D3447" s="2" t="str">
        <f t="shared" si="52"/>
        <v>Error?</v>
      </c>
    </row>
    <row r="3448" spans="1:4" x14ac:dyDescent="0.2">
      <c r="A3448" s="5">
        <v>3387</v>
      </c>
      <c r="B3448" s="138">
        <f>'Tax Sched 23'!C16</f>
        <v>15460</v>
      </c>
      <c r="D3448" s="2" t="str">
        <f t="shared" si="52"/>
        <v>Error?</v>
      </c>
    </row>
    <row r="3449" spans="1:4" x14ac:dyDescent="0.2">
      <c r="A3449" s="5">
        <v>3388</v>
      </c>
      <c r="B3449" s="138">
        <f>'Tax Sched 23'!F16</f>
        <v>17542</v>
      </c>
      <c r="C3449" s="2" t="s">
        <v>573</v>
      </c>
      <c r="D3449" s="2" t="str">
        <f t="shared" si="52"/>
        <v>Error?</v>
      </c>
    </row>
    <row r="3450" spans="1:4" x14ac:dyDescent="0.2">
      <c r="A3450" s="5">
        <v>3389</v>
      </c>
      <c r="B3450" s="138">
        <f>'Tax Sched 23'!E16</f>
        <v>33002</v>
      </c>
      <c r="D3450" s="2" t="str">
        <f t="shared" si="52"/>
        <v>Error?</v>
      </c>
    </row>
    <row r="3451" spans="1:4" x14ac:dyDescent="0.2">
      <c r="A3451" s="5">
        <v>3390</v>
      </c>
      <c r="B3451" s="138">
        <f>'Cap Outlay Deprec 26'!C15</f>
        <v>12203</v>
      </c>
      <c r="D3451" s="2" t="str">
        <f t="shared" si="52"/>
        <v>Error?</v>
      </c>
    </row>
    <row r="3452" spans="1:4" x14ac:dyDescent="0.2">
      <c r="A3452" s="5">
        <v>3391</v>
      </c>
      <c r="B3452" s="138">
        <f>'Cap Outlay Deprec 26'!D15</f>
        <v>37771</v>
      </c>
      <c r="D3452" s="2" t="str">
        <f t="shared" si="52"/>
        <v>Error?</v>
      </c>
    </row>
    <row r="3453" spans="1:4" x14ac:dyDescent="0.2">
      <c r="A3453" s="5">
        <v>3392</v>
      </c>
      <c r="B3453" s="138">
        <f>'Cap Outlay Deprec 26'!E15</f>
        <v>49974</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146413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146413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146413</v>
      </c>
      <c r="D3567" s="2" t="str">
        <f t="shared" si="54"/>
        <v>Error?</v>
      </c>
    </row>
    <row r="3568" spans="1:4" x14ac:dyDescent="0.2">
      <c r="A3568" s="5">
        <v>3507</v>
      </c>
      <c r="B3568" s="138">
        <f>'Assets-Liab 5-6'!K41</f>
        <v>146413</v>
      </c>
      <c r="C3568" s="2" t="s">
        <v>573</v>
      </c>
      <c r="D3568" s="2" t="str">
        <f t="shared" si="54"/>
        <v>Error?</v>
      </c>
    </row>
    <row r="3569" spans="1:4" x14ac:dyDescent="0.2">
      <c r="A3569" s="5">
        <v>3508</v>
      </c>
      <c r="B3569" s="138">
        <f>'Acct Summary 7-8'!K4</f>
        <v>26267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26267</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26267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26267</v>
      </c>
      <c r="C3588" s="2" t="s">
        <v>573</v>
      </c>
      <c r="D3588" s="2" t="str">
        <f t="shared" si="55"/>
        <v>Error?</v>
      </c>
    </row>
    <row r="3589" spans="1:4" x14ac:dyDescent="0.2">
      <c r="A3589" s="5">
        <v>3528</v>
      </c>
      <c r="B3589" s="138">
        <f>'Acct Summary 7-8'!K79</f>
        <v>120146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146413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26267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4239</v>
      </c>
      <c r="D3721" s="2" t="str">
        <f t="shared" si="57"/>
        <v>Error?</v>
      </c>
    </row>
    <row r="3722" spans="1:4" x14ac:dyDescent="0.2">
      <c r="A3722" s="5">
        <v>3661</v>
      </c>
      <c r="B3722" s="138">
        <f>'Expenditures 15-22'!D285</f>
        <v>4239</v>
      </c>
      <c r="C3722" s="2" t="s">
        <v>573</v>
      </c>
      <c r="D3722" s="2" t="str">
        <f t="shared" si="57"/>
        <v>Error?</v>
      </c>
    </row>
    <row r="3723" spans="1:4" x14ac:dyDescent="0.2">
      <c r="A3723" s="5">
        <v>3662</v>
      </c>
      <c r="B3723" s="138">
        <f>'Expenditures 15-22'!K283</f>
        <v>4239</v>
      </c>
      <c r="C3723" s="2" t="s">
        <v>573</v>
      </c>
      <c r="D3723" s="2" t="str">
        <f t="shared" si="57"/>
        <v>Error?</v>
      </c>
    </row>
    <row r="3724" spans="1:4" x14ac:dyDescent="0.2">
      <c r="A3724" s="5">
        <v>3663</v>
      </c>
      <c r="B3724" s="138">
        <f>'Expenditures 15-22'!K285</f>
        <v>4239</v>
      </c>
      <c r="C3724" s="2" t="s">
        <v>573</v>
      </c>
      <c r="D3724" s="2" t="str">
        <f t="shared" si="57"/>
        <v>Error?</v>
      </c>
    </row>
    <row r="3725" spans="1:4" x14ac:dyDescent="0.2">
      <c r="A3725" s="5">
        <v>3664</v>
      </c>
      <c r="B3725" s="138">
        <f>'Tax Sched 23'!B13</f>
        <v>26245</v>
      </c>
      <c r="C3725" s="2" t="s">
        <v>573</v>
      </c>
      <c r="D3725" s="2" t="str">
        <f t="shared" si="57"/>
        <v>Error?</v>
      </c>
    </row>
    <row r="3726" spans="1:4" x14ac:dyDescent="0.2">
      <c r="A3726" s="5">
        <v>3665</v>
      </c>
      <c r="B3726" s="138">
        <f>'Tax Sched 23'!D13</f>
        <v>14492</v>
      </c>
      <c r="C3726" s="2" t="s">
        <v>573</v>
      </c>
      <c r="D3726" s="2" t="str">
        <f t="shared" si="57"/>
        <v>Error?</v>
      </c>
    </row>
    <row r="3727" spans="1:4" x14ac:dyDescent="0.2">
      <c r="A3727" s="5">
        <v>3666</v>
      </c>
      <c r="B3727" s="138">
        <f>'Tax Sched 23'!C13</f>
        <v>11753</v>
      </c>
      <c r="D3727" s="2" t="str">
        <f t="shared" si="57"/>
        <v>Error?</v>
      </c>
    </row>
    <row r="3728" spans="1:4" x14ac:dyDescent="0.2">
      <c r="A3728" s="5">
        <v>3667</v>
      </c>
      <c r="B3728" s="138">
        <f>'Tax Sched 23'!F13</f>
        <v>13336</v>
      </c>
      <c r="C3728" s="2" t="s">
        <v>573</v>
      </c>
      <c r="D3728" s="2" t="str">
        <f t="shared" si="57"/>
        <v>Error?</v>
      </c>
    </row>
    <row r="3729" spans="1:4" x14ac:dyDescent="0.2">
      <c r="A3729" s="5">
        <v>3668</v>
      </c>
      <c r="B3729" s="138">
        <f>'Tax Sched 23'!E13</f>
        <v>25089</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842856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2997774</v>
      </c>
      <c r="C4122" s="2" t="s">
        <v>573</v>
      </c>
      <c r="D4122" s="2" t="str">
        <f t="shared" si="63"/>
        <v>Error?</v>
      </c>
    </row>
    <row r="4123" spans="1:4" x14ac:dyDescent="0.2">
      <c r="A4123" s="5">
        <v>4062</v>
      </c>
      <c r="B4123" s="138">
        <f>'Acct Summary 7-8'!D10</f>
        <v>195469</v>
      </c>
      <c r="C4123" s="2" t="s">
        <v>573</v>
      </c>
      <c r="D4123" s="2" t="str">
        <f t="shared" si="63"/>
        <v>Error?</v>
      </c>
    </row>
    <row r="4124" spans="1:4" x14ac:dyDescent="0.2">
      <c r="A4124" s="5">
        <v>4063</v>
      </c>
      <c r="B4124" s="138">
        <f>'Acct Summary 7-8'!E10</f>
        <v>45486</v>
      </c>
      <c r="C4124" s="2" t="s">
        <v>573</v>
      </c>
      <c r="D4124" s="2" t="str">
        <f t="shared" si="63"/>
        <v>Error?</v>
      </c>
    </row>
    <row r="4125" spans="1:4" x14ac:dyDescent="0.2">
      <c r="A4125" s="5">
        <v>4064</v>
      </c>
      <c r="B4125" s="138">
        <f>'Acct Summary 7-8'!F10</f>
        <v>169736</v>
      </c>
      <c r="C4125" s="2" t="s">
        <v>573</v>
      </c>
      <c r="D4125" s="2" t="str">
        <f t="shared" si="63"/>
        <v>Error?</v>
      </c>
    </row>
    <row r="4126" spans="1:4" x14ac:dyDescent="0.2">
      <c r="A4126" s="5">
        <v>4065</v>
      </c>
      <c r="B4126" s="138">
        <f>'Acct Summary 7-8'!G10</f>
        <v>67710</v>
      </c>
      <c r="C4126" s="2" t="s">
        <v>573</v>
      </c>
      <c r="D4126" s="2" t="str">
        <f t="shared" si="63"/>
        <v>Error?</v>
      </c>
    </row>
    <row r="4127" spans="1:4" x14ac:dyDescent="0.2">
      <c r="A4127" s="5">
        <v>4066</v>
      </c>
      <c r="B4127" s="138">
        <f>'Acct Summary 7-8'!H10</f>
        <v>69965</v>
      </c>
      <c r="C4127" s="2" t="s">
        <v>573</v>
      </c>
      <c r="D4127" s="2" t="str">
        <f t="shared" si="63"/>
        <v>Error?</v>
      </c>
    </row>
    <row r="4128" spans="1:4" x14ac:dyDescent="0.2">
      <c r="A4128" s="5">
        <v>4067</v>
      </c>
      <c r="B4128" s="138">
        <f>'Acct Summary 7-8'!I10</f>
        <v>30897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26267</v>
      </c>
      <c r="C4130" s="2" t="s">
        <v>573</v>
      </c>
      <c r="D4130" s="2" t="str">
        <f t="shared" si="63"/>
        <v>Error?</v>
      </c>
    </row>
    <row r="4131" spans="1:4" x14ac:dyDescent="0.2">
      <c r="A4131" s="5">
        <v>4070</v>
      </c>
      <c r="B4131" s="138">
        <f>'Acct Summary 7-8'!C18</f>
        <v>842856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2832874</v>
      </c>
      <c r="C4136" s="2" t="s">
        <v>573</v>
      </c>
      <c r="D4136" s="2" t="str">
        <f t="shared" si="63"/>
        <v>Error?</v>
      </c>
    </row>
    <row r="4137" spans="1:4" x14ac:dyDescent="0.2">
      <c r="A4137" s="5">
        <v>4076</v>
      </c>
      <c r="B4137" s="138">
        <f>'Acct Summary 7-8'!D19</f>
        <v>184027</v>
      </c>
      <c r="C4137" s="2" t="s">
        <v>573</v>
      </c>
      <c r="D4137" s="2" t="str">
        <f t="shared" si="63"/>
        <v>Error?</v>
      </c>
    </row>
    <row r="4138" spans="1:4" x14ac:dyDescent="0.2">
      <c r="A4138" s="5">
        <v>4077</v>
      </c>
      <c r="B4138" s="138">
        <f>'Acct Summary 7-8'!E19</f>
        <v>54038</v>
      </c>
      <c r="C4138" s="2" t="s">
        <v>573</v>
      </c>
      <c r="D4138" s="2" t="str">
        <f t="shared" si="63"/>
        <v>Error?</v>
      </c>
    </row>
    <row r="4139" spans="1:4" x14ac:dyDescent="0.2">
      <c r="A4139" s="5">
        <v>4078</v>
      </c>
      <c r="B4139" s="138">
        <f>'Acct Summary 7-8'!F19</f>
        <v>107626</v>
      </c>
      <c r="C4139" s="2" t="s">
        <v>573</v>
      </c>
      <c r="D4139" s="2" t="str">
        <f t="shared" si="63"/>
        <v>Error?</v>
      </c>
    </row>
    <row r="4140" spans="1:4" x14ac:dyDescent="0.2">
      <c r="A4140" s="5">
        <v>4079</v>
      </c>
      <c r="B4140" s="138">
        <f>'Acct Summary 7-8'!G19</f>
        <v>88035</v>
      </c>
      <c r="C4140" s="2" t="s">
        <v>573</v>
      </c>
      <c r="D4140" s="2" t="str">
        <f t="shared" si="63"/>
        <v>Error?</v>
      </c>
    </row>
    <row r="4141" spans="1:4" x14ac:dyDescent="0.2">
      <c r="A4141" s="5">
        <v>4080</v>
      </c>
      <c r="B4141" s="138">
        <f>'Acct Summary 7-8'!H19</f>
        <v>50666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62983</v>
      </c>
      <c r="C4171" s="2" t="s">
        <v>573</v>
      </c>
      <c r="D4171" s="2" t="str">
        <f t="shared" si="64"/>
        <v>Error?</v>
      </c>
    </row>
    <row r="4172" spans="1:4" x14ac:dyDescent="0.2">
      <c r="A4172" s="5">
        <v>4111</v>
      </c>
      <c r="B4172" s="138">
        <f>'Short-Term Long-Term Debt 24'!J49</f>
        <v>33327</v>
      </c>
      <c r="C4172" s="2" t="s">
        <v>573</v>
      </c>
      <c r="D4172" s="2" t="str">
        <f t="shared" si="64"/>
        <v>Error?</v>
      </c>
    </row>
    <row r="4173" spans="1:4" x14ac:dyDescent="0.2">
      <c r="A4173" s="5">
        <v>4112</v>
      </c>
      <c r="B4173" s="138">
        <f>'Short-Term Long-Term Debt 24'!H49</f>
        <v>57498</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1933.7</v>
      </c>
      <c r="C4265" s="2" t="s">
        <v>573</v>
      </c>
      <c r="D4265" s="2" t="str">
        <f t="shared" si="65"/>
        <v>Error?</v>
      </c>
      <c r="E4265" s="128"/>
    </row>
    <row r="4266" spans="1:5" x14ac:dyDescent="0.2">
      <c r="A4266" s="12">
        <v>4205</v>
      </c>
      <c r="B4266" s="138">
        <f>('FP Info 3'!F10)*100000</f>
        <v>249.19</v>
      </c>
      <c r="C4266" s="2" t="s">
        <v>573</v>
      </c>
      <c r="D4266" s="2" t="str">
        <f t="shared" si="65"/>
        <v>Error?</v>
      </c>
      <c r="E4266" s="128"/>
    </row>
    <row r="4267" spans="1:5" x14ac:dyDescent="0.2">
      <c r="A4267" s="12">
        <v>4206</v>
      </c>
      <c r="B4267" s="138">
        <f>('FP Info 3'!H10)*100000</f>
        <v>159.5</v>
      </c>
      <c r="C4267" s="2" t="s">
        <v>573</v>
      </c>
      <c r="D4267" s="2" t="str">
        <f t="shared" si="65"/>
        <v>Error?</v>
      </c>
      <c r="E4267" s="128"/>
    </row>
    <row r="4268" spans="1:5" x14ac:dyDescent="0.2">
      <c r="A4268" s="12">
        <v>4207</v>
      </c>
      <c r="B4268" s="138">
        <f>('FP Info 3'!J10)*100000</f>
        <v>2342</v>
      </c>
      <c r="C4268" s="2" t="s">
        <v>573</v>
      </c>
      <c r="D4268" s="2" t="str">
        <f t="shared" si="65"/>
        <v>Error?</v>
      </c>
    </row>
    <row r="4269" spans="1:5" x14ac:dyDescent="0.2">
      <c r="A4269" s="12">
        <v>4208</v>
      </c>
      <c r="B4269" s="138">
        <f>'FP Info 3'!J16</f>
        <v>3009981</v>
      </c>
      <c r="C4269" s="2" t="s">
        <v>573</v>
      </c>
      <c r="D4269" s="2" t="str">
        <f t="shared" si="65"/>
        <v>Error?</v>
      </c>
    </row>
    <row r="4270" spans="1:5" x14ac:dyDescent="0.2">
      <c r="A4270" s="12">
        <v>4209</v>
      </c>
      <c r="B4270" s="138">
        <f>'FP Info 3'!D24</f>
        <v>6663</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6995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5432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275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50339033</v>
      </c>
      <c r="D4995" s="2" t="str">
        <f t="shared" si="77"/>
        <v>Error?</v>
      </c>
    </row>
    <row r="4996" spans="1:4" x14ac:dyDescent="0.2">
      <c r="A4996" s="12">
        <v>4935</v>
      </c>
      <c r="B4996" s="138">
        <f>'FP Info 3'!H31</f>
        <v>3473393.2770000002</v>
      </c>
      <c r="D4996" s="2" t="str">
        <f t="shared" si="77"/>
        <v>Error?</v>
      </c>
    </row>
    <row r="4997" spans="1:4" x14ac:dyDescent="0.2">
      <c r="A4997" s="12">
        <v>4936</v>
      </c>
      <c r="B4997" s="138">
        <f>'FP Info 3'!H37</f>
        <v>62983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26245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1018304</v>
      </c>
      <c r="D5061" s="2" t="str">
        <f t="shared" si="78"/>
        <v>Error?</v>
      </c>
    </row>
    <row r="5062" spans="1:4" x14ac:dyDescent="0.2">
      <c r="A5062" s="10">
        <v>5001</v>
      </c>
      <c r="D5062" s="2" t="str">
        <f t="shared" si="78"/>
        <v>OK</v>
      </c>
    </row>
    <row r="5063" spans="1:4" x14ac:dyDescent="0.2">
      <c r="A5063" s="5">
        <v>5002</v>
      </c>
      <c r="B5063" s="138">
        <f>'Revenues 9-14'!C7</f>
        <v>10499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1055048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10795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10795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14757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14757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53231</v>
      </c>
      <c r="C5096" s="2" t="s">
        <v>573</v>
      </c>
      <c r="D5096" s="2" t="str">
        <f t="shared" si="78"/>
        <v>Error?</v>
      </c>
    </row>
    <row r="5097" spans="1:4" x14ac:dyDescent="0.2">
      <c r="A5097" s="5">
        <v>5036</v>
      </c>
      <c r="B5097" s="138">
        <f>'Revenues 9-14'!C77</f>
        <v>8515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57678</v>
      </c>
      <c r="D5101" s="2" t="str">
        <f t="shared" si="78"/>
        <v>Error?</v>
      </c>
    </row>
    <row r="5102" spans="1:4" x14ac:dyDescent="0.2">
      <c r="A5102" s="5">
        <v>5041</v>
      </c>
      <c r="B5102" s="138">
        <f>'Revenues 9-14'!C82</f>
        <v>66193</v>
      </c>
      <c r="C5102" s="2" t="s">
        <v>573</v>
      </c>
      <c r="D5102" s="2" t="str">
        <f t="shared" si="78"/>
        <v>Error?</v>
      </c>
    </row>
    <row r="5103" spans="1:4" x14ac:dyDescent="0.2">
      <c r="A5103" s="5">
        <v>5042</v>
      </c>
      <c r="B5103" s="138">
        <f>'Revenues 9-14'!C84</f>
        <v>15721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15721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633</v>
      </c>
      <c r="D5119" s="2" t="str">
        <f t="shared" ref="D5119:D5182" si="79">IF(ISBLANK(B5119),"OK",IF(A5119-B5119=0,"OK","Error?"))</f>
        <v>Error?</v>
      </c>
    </row>
    <row r="5120" spans="1:4" x14ac:dyDescent="0.2">
      <c r="A5120" s="5">
        <v>5059</v>
      </c>
      <c r="B5120" s="138">
        <f>'Revenues 9-14'!C108</f>
        <v>633</v>
      </c>
      <c r="C5120" s="2" t="s">
        <v>573</v>
      </c>
      <c r="D5120" s="2" t="str">
        <f t="shared" si="79"/>
        <v>Error?</v>
      </c>
    </row>
    <row r="5121" spans="1:4" x14ac:dyDescent="0.2">
      <c r="A5121" s="5">
        <v>5060</v>
      </c>
      <c r="B5121" s="138">
        <f>'Revenues 9-14'!C109</f>
        <v>1216378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732300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732300</v>
      </c>
      <c r="C5132" s="2" t="s">
        <v>573</v>
      </c>
      <c r="D5132" s="2" t="str">
        <f t="shared" si="79"/>
        <v>Error?</v>
      </c>
    </row>
    <row r="5133" spans="1:4" x14ac:dyDescent="0.2">
      <c r="A5133" s="5">
        <v>5072</v>
      </c>
      <c r="B5133" s="138">
        <f>'Revenues 9-14'!C125</f>
        <v>11891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63565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75456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438</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75894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808194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35522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35522</v>
      </c>
      <c r="C5246" s="2" t="s">
        <v>573</v>
      </c>
      <c r="D5246" s="2" t="str">
        <f t="shared" si="80"/>
        <v>Error?</v>
      </c>
    </row>
    <row r="5247" spans="1:4" x14ac:dyDescent="0.2">
      <c r="A5247" s="5">
        <v>5186</v>
      </c>
      <c r="B5247" s="138">
        <f>'Revenues 9-14'!C200</f>
        <v>73398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73398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6528</v>
      </c>
      <c r="D5278" s="2" t="str">
        <f t="shared" si="81"/>
        <v>Error?</v>
      </c>
    </row>
    <row r="5279" spans="1:4" x14ac:dyDescent="0.2">
      <c r="A5279" s="5">
        <v>5218</v>
      </c>
      <c r="B5279" s="138">
        <f>'Revenues 9-14'!C214</f>
        <v>2196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8724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130346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130346</v>
      </c>
      <c r="C5326" s="2" t="s">
        <v>573</v>
      </c>
      <c r="D5326" s="2" t="str">
        <f t="shared" si="82"/>
        <v>Error?</v>
      </c>
    </row>
    <row r="5327" spans="1:5" x14ac:dyDescent="0.2">
      <c r="A5327" s="5">
        <v>5266</v>
      </c>
      <c r="B5327" s="138">
        <f>'Revenues 9-14'!C268</f>
        <v>2154918</v>
      </c>
      <c r="C5327" s="2" t="s">
        <v>573</v>
      </c>
      <c r="D5327" s="2" t="str">
        <f t="shared" si="82"/>
        <v>Error?</v>
      </c>
    </row>
    <row r="5328" spans="1:5" x14ac:dyDescent="0.2">
      <c r="A5328" s="5">
        <v>5267</v>
      </c>
      <c r="B5328" s="138">
        <f>'Revenues 9-14'!D5</f>
        <v>131225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131225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58720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58720</v>
      </c>
      <c r="C5339" s="2" t="s">
        <v>573</v>
      </c>
      <c r="D5339" s="2" t="str">
        <f t="shared" si="82"/>
        <v>Error?</v>
      </c>
    </row>
    <row r="5340" spans="1:4" x14ac:dyDescent="0.2">
      <c r="A5340" s="5">
        <v>5279</v>
      </c>
      <c r="B5340" s="138">
        <f>'Revenues 9-14'!D65</f>
        <v>2802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2802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2722</v>
      </c>
      <c r="D5354" s="2" t="str">
        <f t="shared" si="82"/>
        <v>Error?</v>
      </c>
    </row>
    <row r="5355" spans="1:4" x14ac:dyDescent="0.2">
      <c r="A5355" s="5">
        <v>5294</v>
      </c>
      <c r="B5355" s="138">
        <f>'Revenues 9-14'!D108</f>
        <v>2722</v>
      </c>
      <c r="C5355" s="2" t="s">
        <v>573</v>
      </c>
      <c r="D5355" s="2" t="str">
        <f t="shared" si="82"/>
        <v>Error?</v>
      </c>
    </row>
    <row r="5356" spans="1:4" x14ac:dyDescent="0.2">
      <c r="A5356" s="5">
        <v>5295</v>
      </c>
      <c r="B5356" s="138">
        <f>'Revenues 9-14'!D109</f>
        <v>195469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195469</v>
      </c>
      <c r="C5508" s="2" t="s">
        <v>573</v>
      </c>
      <c r="D5508" s="2" t="str">
        <f t="shared" si="85"/>
        <v>Error?</v>
      </c>
    </row>
    <row r="5509" spans="1:4" x14ac:dyDescent="0.2">
      <c r="A5509" s="5">
        <v>5448</v>
      </c>
      <c r="B5509" s="138">
        <f>'Revenues 9-14'!E5</f>
        <v>21181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21181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68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24237</v>
      </c>
      <c r="C5526" s="2" t="s">
        <v>573</v>
      </c>
      <c r="D5526" s="2" t="str">
        <f t="shared" si="85"/>
        <v>Error?</v>
      </c>
    </row>
    <row r="5527" spans="1:4" x14ac:dyDescent="0.2">
      <c r="A5527" s="5">
        <v>5466</v>
      </c>
      <c r="B5527" s="138">
        <f>'Revenues 9-14'!E109</f>
        <v>45486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45486</v>
      </c>
      <c r="C5552" s="2" t="s">
        <v>573</v>
      </c>
      <c r="D5552" s="2" t="str">
        <f t="shared" si="85"/>
        <v>Error?</v>
      </c>
    </row>
    <row r="5553" spans="1:4" x14ac:dyDescent="0.2">
      <c r="A5553" s="5">
        <v>5492</v>
      </c>
      <c r="B5553" s="138">
        <f>'Revenues 9-14'!F5</f>
        <v>97374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97374</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3522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3522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100896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47581</v>
      </c>
      <c r="D5615" s="2" t="str">
        <f t="shared" si="86"/>
        <v>Error?</v>
      </c>
    </row>
    <row r="5616" spans="1:4" x14ac:dyDescent="0.2">
      <c r="A5616" s="10">
        <v>5555</v>
      </c>
      <c r="D5616" s="2" t="str">
        <f t="shared" si="86"/>
        <v>OK</v>
      </c>
    </row>
    <row r="5617" spans="1:5" x14ac:dyDescent="0.2">
      <c r="A5617" s="5">
        <v>5556</v>
      </c>
      <c r="B5617" s="138">
        <f>'Revenues 9-14'!F153</f>
        <v>21259</v>
      </c>
      <c r="D5617" s="2" t="str">
        <f t="shared" si="86"/>
        <v>Error?</v>
      </c>
    </row>
    <row r="5618" spans="1:5" x14ac:dyDescent="0.2">
      <c r="A5618" s="5">
        <v>5557</v>
      </c>
      <c r="B5618" s="138">
        <f>'Revenues 9-14'!F155</f>
        <v>68840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68840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68840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169736</v>
      </c>
      <c r="C5720" s="2" t="s">
        <v>573</v>
      </c>
      <c r="D5720" s="2" t="str">
        <f t="shared" si="88"/>
        <v>Error?</v>
      </c>
    </row>
    <row r="5721" spans="1:4" x14ac:dyDescent="0.2">
      <c r="A5721" s="5">
        <v>5660</v>
      </c>
      <c r="B5721" s="138">
        <f>'Revenues 9-14'!G5</f>
        <v>33575</v>
      </c>
      <c r="D5721" s="2" t="str">
        <f t="shared" si="88"/>
        <v>Error?</v>
      </c>
    </row>
    <row r="5722" spans="1:4" x14ac:dyDescent="0.2">
      <c r="A5722" s="5">
        <v>5661</v>
      </c>
      <c r="B5722" s="138">
        <f>'Revenues 9-14'!G7</f>
        <v>0</v>
      </c>
      <c r="D5722" s="2" t="str">
        <f t="shared" si="88"/>
        <v>Error?</v>
      </c>
    </row>
    <row r="5723" spans="1:4" x14ac:dyDescent="0.2">
      <c r="A5723" s="5">
        <v>5662</v>
      </c>
      <c r="B5723" s="138">
        <f>'Revenues 9-14'!G8</f>
        <v>33575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67150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v>
      </c>
      <c r="C5730" s="2" t="s">
        <v>573</v>
      </c>
      <c r="D5730" s="2" t="str">
        <f t="shared" si="88"/>
        <v>Error?</v>
      </c>
    </row>
    <row r="5731" spans="1:4" x14ac:dyDescent="0.2">
      <c r="A5731" s="5">
        <v>5670</v>
      </c>
      <c r="B5731" s="138">
        <f>'Revenues 9-14'!G65</f>
        <v>60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67710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69965</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69965</v>
      </c>
      <c r="C5915" s="2" t="s">
        <v>573</v>
      </c>
      <c r="D5915" s="2" t="str">
        <f t="shared" si="91"/>
        <v>Error?</v>
      </c>
    </row>
    <row r="5916" spans="1:4" x14ac:dyDescent="0.2">
      <c r="A5916" s="5">
        <v>5855</v>
      </c>
      <c r="B5916" s="138">
        <f>'Revenues 9-14'!I5</f>
        <v>26245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26245</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4652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4652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30897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26245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26245</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26267</v>
      </c>
      <c r="C6023" s="2" t="s">
        <v>573</v>
      </c>
      <c r="D6023" s="2" t="str">
        <f t="shared" si="93"/>
        <v>Error?</v>
      </c>
    </row>
    <row r="6024" spans="1:5" x14ac:dyDescent="0.2">
      <c r="A6024" s="5">
        <v>5963</v>
      </c>
      <c r="B6024" s="138">
        <f>'Revenues 9-14'!G109</f>
        <v>67710</v>
      </c>
      <c r="C6024" s="2" t="s">
        <v>573</v>
      </c>
      <c r="D6024" s="2" t="str">
        <f t="shared" si="93"/>
        <v>Error?</v>
      </c>
    </row>
    <row r="6025" spans="1:5" x14ac:dyDescent="0.2">
      <c r="A6025" s="5">
        <v>5964</v>
      </c>
      <c r="B6025" s="138">
        <f>'Revenues 9-14'!H109</f>
        <v>69965</v>
      </c>
      <c r="C6025" s="2" t="s">
        <v>573</v>
      </c>
      <c r="D6025" s="2" t="str">
        <f t="shared" si="93"/>
        <v>Error?</v>
      </c>
    </row>
    <row r="6026" spans="1:5" x14ac:dyDescent="0.2">
      <c r="A6026" s="5">
        <v>5965</v>
      </c>
      <c r="B6026" s="138">
        <f>'Revenues 9-14'!I109</f>
        <v>30897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26267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53231</v>
      </c>
      <c r="D6031" s="2" t="str">
        <f t="shared" si="93"/>
        <v>Error?</v>
      </c>
    </row>
    <row r="6032" spans="1:5" x14ac:dyDescent="0.2">
      <c r="A6032" s="5">
        <v>5971</v>
      </c>
      <c r="B6032" s="138">
        <f>'Acct Summary 7-8'!G15</f>
        <v>4239</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13353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273.39999999999998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13192</v>
      </c>
      <c r="D6077" s="2" t="str">
        <f t="shared" si="93"/>
        <v>Error?</v>
      </c>
      <c r="E6077" s="2" t="s">
        <v>930</v>
      </c>
    </row>
    <row r="6078" spans="1:5" x14ac:dyDescent="0.2">
      <c r="A6078">
        <v>6017</v>
      </c>
      <c r="B6078" s="138">
        <f>'Short-Term Long-Term Debt 24'!E27</f>
        <v>6529</v>
      </c>
      <c r="D6078" s="2" t="str">
        <f t="shared" si="93"/>
        <v>Error?</v>
      </c>
      <c r="E6078" s="2" t="s">
        <v>930</v>
      </c>
    </row>
    <row r="6079" spans="1:5" x14ac:dyDescent="0.2">
      <c r="A6079">
        <v>6018</v>
      </c>
      <c r="B6079" s="138">
        <f>'Short-Term Long-Term Debt 24'!F27</f>
        <v>6663</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10100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27883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10100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27883</v>
      </c>
      <c r="D6215" s="2" t="str">
        <f t="shared" si="96"/>
        <v>Error?</v>
      </c>
      <c r="E6215" s="2" t="s">
        <v>190</v>
      </c>
    </row>
    <row r="6216" spans="1:5" x14ac:dyDescent="0.2">
      <c r="A6216">
        <v>6155</v>
      </c>
      <c r="B6216" s="138">
        <f>'Assets-Liab 5-6'!J41</f>
        <v>27883</v>
      </c>
      <c r="D6216" s="2" t="str">
        <f t="shared" si="96"/>
        <v>Error?</v>
      </c>
      <c r="E6216" s="2" t="s">
        <v>190</v>
      </c>
    </row>
    <row r="6217" spans="1:5" x14ac:dyDescent="0.2">
      <c r="A6217">
        <v>6156</v>
      </c>
      <c r="B6217" s="138">
        <f>'Assets-Liab 5-6'!J4</f>
        <v>27883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270201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270201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270201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245339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245339</v>
      </c>
      <c r="D6229" s="2" t="str">
        <f t="shared" si="96"/>
        <v>Error?</v>
      </c>
      <c r="E6229" s="2" t="s">
        <v>190</v>
      </c>
    </row>
    <row r="6230" spans="1:5" x14ac:dyDescent="0.2">
      <c r="A6230">
        <v>6169</v>
      </c>
      <c r="B6230" s="138">
        <f>'Acct Summary 7-8'!J20</f>
        <v>24862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24862</v>
      </c>
      <c r="D6263" s="2" t="str">
        <f t="shared" si="96"/>
        <v>Error?</v>
      </c>
      <c r="E6263" s="2" t="s">
        <v>190</v>
      </c>
    </row>
    <row r="6264" spans="1:5" x14ac:dyDescent="0.2">
      <c r="A6264">
        <v>6203</v>
      </c>
      <c r="B6264" s="138">
        <f>'Acct Summary 7-8'!J79</f>
        <v>3021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27883</v>
      </c>
      <c r="D6266" s="2" t="str">
        <f t="shared" si="96"/>
        <v>Error?</v>
      </c>
      <c r="E6266" s="2" t="s">
        <v>190</v>
      </c>
    </row>
    <row r="6267" spans="1:5" x14ac:dyDescent="0.2">
      <c r="A6267">
        <v>6206</v>
      </c>
      <c r="B6267" s="138">
        <f>'Acct Summary 7-8'!C82</f>
        <v>178092</v>
      </c>
      <c r="D6267" s="2" t="str">
        <f t="shared" si="96"/>
        <v>Error?</v>
      </c>
      <c r="E6267" s="2" t="s">
        <v>190</v>
      </c>
    </row>
    <row r="6268" spans="1:5" x14ac:dyDescent="0.2">
      <c r="A6268">
        <v>6207</v>
      </c>
      <c r="B6268" s="138">
        <f>'Acct Summary 7-8'!D82</f>
        <v>11442</v>
      </c>
      <c r="D6268" s="2" t="str">
        <f t="shared" si="96"/>
        <v>Error?</v>
      </c>
      <c r="E6268" s="2" t="s">
        <v>190</v>
      </c>
    </row>
    <row r="6269" spans="1:5" x14ac:dyDescent="0.2">
      <c r="A6269">
        <v>6208</v>
      </c>
      <c r="B6269" s="138">
        <f>'Acct Summary 7-8'!E82</f>
        <v>-8552</v>
      </c>
      <c r="D6269" s="2" t="str">
        <f t="shared" si="96"/>
        <v>Error?</v>
      </c>
      <c r="E6269" s="2" t="s">
        <v>190</v>
      </c>
    </row>
    <row r="6270" spans="1:5" x14ac:dyDescent="0.2">
      <c r="A6270">
        <v>6209</v>
      </c>
      <c r="B6270" s="138">
        <f>'Acct Summary 7-8'!F82</f>
        <v>62110</v>
      </c>
      <c r="D6270" s="2" t="str">
        <f t="shared" si="96"/>
        <v>Error?</v>
      </c>
      <c r="E6270" s="2" t="s">
        <v>190</v>
      </c>
    </row>
    <row r="6271" spans="1:5" x14ac:dyDescent="0.2">
      <c r="A6271">
        <v>6210</v>
      </c>
      <c r="B6271" s="138">
        <f>'Acct Summary 7-8'!G82</f>
        <v>-20325</v>
      </c>
      <c r="D6271" s="2" t="str">
        <f t="shared" ref="D6271:D6334" si="97">IF(ISBLANK(B6271),"OK",IF(A6271-B6271=0,"OK","Error?"))</f>
        <v>Error?</v>
      </c>
      <c r="E6271" s="2" t="s">
        <v>190</v>
      </c>
    </row>
    <row r="6272" spans="1:5" x14ac:dyDescent="0.2">
      <c r="A6272">
        <v>6211</v>
      </c>
      <c r="B6272" s="138">
        <f>'Acct Summary 7-8'!H82</f>
        <v>19299</v>
      </c>
      <c r="D6272" s="2" t="str">
        <f t="shared" si="97"/>
        <v>Error?</v>
      </c>
      <c r="E6272" s="2" t="s">
        <v>190</v>
      </c>
    </row>
    <row r="6273" spans="1:5" x14ac:dyDescent="0.2">
      <c r="A6273">
        <v>6212</v>
      </c>
      <c r="B6273" s="138">
        <f>'Acct Summary 7-8'!I82</f>
        <v>30897</v>
      </c>
      <c r="D6273" s="2" t="str">
        <f t="shared" si="97"/>
        <v>Error?</v>
      </c>
      <c r="E6273" s="2" t="s">
        <v>190</v>
      </c>
    </row>
    <row r="6274" spans="1:5" x14ac:dyDescent="0.2">
      <c r="A6274">
        <v>6213</v>
      </c>
      <c r="B6274" s="138">
        <f>'Acct Summary 7-8'!J82</f>
        <v>24862</v>
      </c>
      <c r="D6274" s="2" t="str">
        <f t="shared" si="97"/>
        <v>Error?</v>
      </c>
      <c r="E6274" s="2" t="s">
        <v>190</v>
      </c>
    </row>
    <row r="6275" spans="1:5" x14ac:dyDescent="0.2">
      <c r="A6275">
        <v>6214</v>
      </c>
      <c r="B6275" s="138">
        <f>'Acct Summary 7-8'!K82</f>
        <v>26267</v>
      </c>
      <c r="D6275" s="2" t="str">
        <f t="shared" si="97"/>
        <v>Error?</v>
      </c>
      <c r="E6275" s="2" t="s">
        <v>190</v>
      </c>
    </row>
    <row r="6276" spans="1:5" x14ac:dyDescent="0.2">
      <c r="A6276">
        <v>6215</v>
      </c>
      <c r="B6276" s="138">
        <f>'Acct Summary 7-8'!C83</f>
        <v>0.10163780616839647</v>
      </c>
      <c r="D6276" s="2" t="str">
        <f t="shared" si="97"/>
        <v>Error?</v>
      </c>
      <c r="E6276" s="2" t="s">
        <v>190</v>
      </c>
    </row>
    <row r="6277" spans="1:5" x14ac:dyDescent="0.2">
      <c r="A6277">
        <v>6216</v>
      </c>
      <c r="B6277" s="138">
        <f>'Acct Summary 7-8'!D83</f>
        <v>3.6849529477691254E-2</v>
      </c>
      <c r="D6277" s="2" t="str">
        <f t="shared" si="97"/>
        <v>Error?</v>
      </c>
      <c r="E6277" s="2" t="s">
        <v>190</v>
      </c>
    </row>
    <row r="6278" spans="1:5" x14ac:dyDescent="0.2">
      <c r="A6278">
        <v>6217</v>
      </c>
      <c r="B6278" s="138">
        <f>'Acct Summary 7-8'!E83</f>
        <v>-0.28837334772052875</v>
      </c>
      <c r="D6278" s="2" t="str">
        <f t="shared" si="97"/>
        <v>Error?</v>
      </c>
      <c r="E6278" s="2" t="s">
        <v>190</v>
      </c>
    </row>
    <row r="6279" spans="1:5" x14ac:dyDescent="0.2">
      <c r="A6279">
        <v>6218</v>
      </c>
      <c r="B6279" s="138">
        <f>'Acct Summary 7-8'!F83</f>
        <v>0.1611229577515941</v>
      </c>
      <c r="D6279" s="2" t="str">
        <f t="shared" si="97"/>
        <v>Error?</v>
      </c>
      <c r="E6279" s="2" t="s">
        <v>190</v>
      </c>
    </row>
    <row r="6280" spans="1:5" x14ac:dyDescent="0.2">
      <c r="A6280">
        <v>6219</v>
      </c>
      <c r="B6280" s="138">
        <f>'Acct Summary 7-8'!G83</f>
        <v>2.2208260489510487</v>
      </c>
      <c r="D6280" s="2" t="str">
        <f t="shared" si="97"/>
        <v>Error?</v>
      </c>
      <c r="E6280" s="2" t="s">
        <v>190</v>
      </c>
    </row>
    <row r="6281" spans="1:5" x14ac:dyDescent="0.2">
      <c r="A6281">
        <v>6220</v>
      </c>
      <c r="B6281" s="138">
        <f>'Acct Summary 7-8'!H83</f>
        <v>0.21329104131208418</v>
      </c>
      <c r="D6281" s="2" t="str">
        <f t="shared" si="97"/>
        <v>Error?</v>
      </c>
      <c r="E6281" s="2" t="s">
        <v>190</v>
      </c>
    </row>
    <row r="6282" spans="1:5" x14ac:dyDescent="0.2">
      <c r="A6282">
        <v>6221</v>
      </c>
      <c r="B6282" s="138">
        <f>'Acct Summary 7-8'!I83</f>
        <v>5.4999279065669107E-2</v>
      </c>
      <c r="D6282" s="2" t="str">
        <f t="shared" si="97"/>
        <v>Error?</v>
      </c>
      <c r="E6282" s="2" t="s">
        <v>190</v>
      </c>
    </row>
    <row r="6283" spans="1:5" x14ac:dyDescent="0.2">
      <c r="A6283">
        <v>6222</v>
      </c>
      <c r="B6283" s="138">
        <f>'Acct Summary 7-8'!J83</f>
        <v>0.89165441308324067</v>
      </c>
      <c r="D6283" s="2" t="str">
        <f t="shared" si="97"/>
        <v>Error?</v>
      </c>
      <c r="E6283" s="2" t="s">
        <v>190</v>
      </c>
    </row>
    <row r="6284" spans="1:5" x14ac:dyDescent="0.2">
      <c r="A6284">
        <v>6223</v>
      </c>
      <c r="B6284" s="138">
        <f>'Acct Summary 7-8'!K83</f>
        <v>0.17940346827126005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269985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269985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216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216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270201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50159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58976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677</v>
      </c>
      <c r="D7018" s="2" t="str">
        <f t="shared" si="108"/>
        <v>Error?</v>
      </c>
    </row>
    <row r="7019" spans="1:4" x14ac:dyDescent="0.2">
      <c r="A7019">
        <v>6958</v>
      </c>
      <c r="B7019" s="138">
        <f>'Expenditures 15-22'!K112</f>
        <v>677</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245339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270201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8994</v>
      </c>
      <c r="D7073" s="2" t="str">
        <f t="shared" si="109"/>
        <v>Error?</v>
      </c>
    </row>
    <row r="7074" spans="1:4" x14ac:dyDescent="0.2">
      <c r="A7074">
        <v>7013</v>
      </c>
      <c r="B7074" s="138">
        <f>'Expenditures 15-22'!K216</f>
        <v>8994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838</v>
      </c>
      <c r="D7093" s="2" t="str">
        <f t="shared" si="109"/>
        <v>Error?</v>
      </c>
    </row>
    <row r="7094" spans="1:4" x14ac:dyDescent="0.2">
      <c r="A7094">
        <v>7033</v>
      </c>
      <c r="B7094" s="138">
        <f>'Expenditures 15-22'!K254</f>
        <v>838</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12142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12142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95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95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11622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11622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13744</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6184</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19928</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186923</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186923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2559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2559</v>
      </c>
      <c r="D7198" s="2" t="str">
        <f t="shared" si="111"/>
        <v>Error?</v>
      </c>
    </row>
    <row r="7199" spans="1:4" x14ac:dyDescent="0.2">
      <c r="A7199">
        <v>7138</v>
      </c>
      <c r="B7199" s="138">
        <f>'Expenditures 15-22'!C330</f>
        <v>186923</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52232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6184</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245339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186923</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52232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6184</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245339</v>
      </c>
      <c r="D7224" s="2" t="str">
        <f t="shared" si="111"/>
        <v>Error?</v>
      </c>
    </row>
    <row r="7225" spans="1:4" x14ac:dyDescent="0.2">
      <c r="A7225">
        <v>7164</v>
      </c>
      <c r="B7225" s="138">
        <f>'Expenditures 15-22'!K343</f>
        <v>24862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13</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8804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104633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12070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12070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30000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94202</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94202</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10508</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57964</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3537</v>
      </c>
      <c r="D7724" s="2" t="str">
        <f t="shared" si="126"/>
        <v>Error?</v>
      </c>
      <c r="E7724" s="2" t="s">
        <v>827</v>
      </c>
      <c r="F7724" s="2"/>
    </row>
    <row r="7725" spans="1:6" x14ac:dyDescent="0.2">
      <c r="A7725">
        <v>7664</v>
      </c>
      <c r="B7725" s="138">
        <f>'Rest Tax Levies-Tort Im 25'!J19</f>
        <v>29320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32857</v>
      </c>
      <c r="D7727" s="2" t="str">
        <f t="shared" si="126"/>
        <v>Error?</v>
      </c>
      <c r="E7727" s="2" t="s">
        <v>827</v>
      </c>
    </row>
    <row r="7728" spans="1:6" x14ac:dyDescent="0.2">
      <c r="A7728">
        <v>7667</v>
      </c>
      <c r="B7728" s="138">
        <f>'Revenues 9-14'!E103</f>
        <v>24237</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90821</v>
      </c>
      <c r="D7730" s="2" t="str">
        <f t="shared" si="126"/>
        <v>Error?</v>
      </c>
      <c r="E7730" s="2" t="s">
        <v>827</v>
      </c>
    </row>
    <row r="7731" spans="1:6" x14ac:dyDescent="0.2">
      <c r="A7731">
        <v>7670</v>
      </c>
      <c r="B7731" s="138">
        <f>'Revenues 9-14'!H103</f>
        <v>69965</v>
      </c>
      <c r="D7731" s="2" t="str">
        <f t="shared" si="126"/>
        <v>Error?</v>
      </c>
      <c r="E7731" s="2" t="s">
        <v>827</v>
      </c>
    </row>
    <row r="7732" spans="1:6" x14ac:dyDescent="0.2">
      <c r="A7732">
        <v>7671</v>
      </c>
      <c r="B7732" s="138">
        <f>'Rest Tax Levies-Tort Im 25'!J24</f>
        <v>33381</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33381</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96852</v>
      </c>
      <c r="D7797" s="2" t="str">
        <f t="shared" si="127"/>
        <v>Error?</v>
      </c>
      <c r="E7797" s="4" t="s">
        <v>1903</v>
      </c>
    </row>
    <row r="7798" spans="1:5" x14ac:dyDescent="0.2">
      <c r="A7798">
        <v>7737</v>
      </c>
      <c r="B7798" s="138">
        <f>'Contracts Paid in CY 29'!F141</f>
        <v>25000</v>
      </c>
      <c r="D7798" s="2" t="str">
        <f t="shared" si="127"/>
        <v>Error?</v>
      </c>
      <c r="E7798" s="4" t="s">
        <v>1903</v>
      </c>
    </row>
    <row r="7799" spans="1:5" x14ac:dyDescent="0.2">
      <c r="A7799">
        <v>7738</v>
      </c>
      <c r="B7799" s="138">
        <f>'Contracts Paid in CY 29'!G141</f>
        <v>71852</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1" t="s">
        <v>1191</v>
      </c>
      <c r="B2" s="2381"/>
      <c r="C2" s="2381"/>
      <c r="D2" s="2381"/>
      <c r="E2" s="2381"/>
      <c r="F2" s="2381"/>
      <c r="G2" s="2381"/>
      <c r="H2" s="2381"/>
      <c r="I2" s="2381"/>
      <c r="J2" s="2381"/>
      <c r="K2" s="2381"/>
      <c r="L2" s="2381"/>
    </row>
    <row r="3" spans="1:29" ht="13.5" customHeight="1" x14ac:dyDescent="0.2">
      <c r="A3" s="2412" t="s">
        <v>1190</v>
      </c>
      <c r="B3" s="2412"/>
      <c r="C3" s="2412"/>
      <c r="D3" s="2412"/>
      <c r="E3" s="2412"/>
      <c r="F3" s="2412"/>
      <c r="G3" s="2412"/>
      <c r="H3" s="2412"/>
      <c r="I3" s="2412"/>
      <c r="J3" s="2412"/>
      <c r="K3" s="2412"/>
      <c r="L3" s="2412"/>
    </row>
    <row r="4" spans="1:29" ht="13.5" customHeight="1" x14ac:dyDescent="0.2">
      <c r="A4" s="2381" t="s">
        <v>1988</v>
      </c>
      <c r="B4" s="2402"/>
      <c r="C4" s="2402"/>
      <c r="D4" s="2402"/>
      <c r="E4" s="2402"/>
      <c r="F4" s="2402"/>
      <c r="G4" s="2402"/>
      <c r="H4" s="2402"/>
      <c r="I4" s="2402"/>
      <c r="J4" s="2402"/>
      <c r="K4" s="2402"/>
      <c r="L4" s="240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3" t="str">
        <f>COVER!A17</f>
        <v>Monroe SD 70</v>
      </c>
      <c r="B7" s="2404"/>
      <c r="C7" s="2404"/>
      <c r="D7" s="2405"/>
      <c r="E7" s="2406">
        <f>COVER!A13</f>
        <v>48072070002</v>
      </c>
      <c r="F7" s="2407"/>
      <c r="G7" s="2413" t="str">
        <f>COVER!T23</f>
        <v>066-004769</v>
      </c>
      <c r="H7" s="2414"/>
      <c r="I7" s="2414"/>
      <c r="J7" s="2414"/>
      <c r="K7" s="2414"/>
      <c r="L7" s="241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6"/>
      <c r="B9" s="2417"/>
      <c r="C9" s="2417"/>
      <c r="D9" s="2417"/>
      <c r="E9" s="2417"/>
      <c r="F9" s="2418"/>
      <c r="G9" s="2387" t="str">
        <f>COVER!T13</f>
        <v>Meister, Hilton, Chitwood &amp; Associates, Inc.</v>
      </c>
      <c r="H9" s="2419"/>
      <c r="I9" s="2419"/>
      <c r="J9" s="2419"/>
      <c r="K9" s="2419"/>
      <c r="L9" s="2420"/>
    </row>
    <row r="10" spans="1:29" ht="13.5" customHeight="1" x14ac:dyDescent="0.2">
      <c r="A10" s="2393" t="str">
        <f>COVER!A38</f>
        <v>Darrick Reiley</v>
      </c>
      <c r="B10" s="2394"/>
      <c r="C10" s="2394"/>
      <c r="D10" s="2394"/>
      <c r="E10" s="2394"/>
      <c r="F10" s="2395"/>
      <c r="G10" s="2387" t="str">
        <f>COVER!T17</f>
        <v>809 W. Detweiller Drive, Suite 806</v>
      </c>
      <c r="H10" s="2388"/>
      <c r="I10" s="2388"/>
      <c r="J10" s="2388"/>
      <c r="K10" s="2388"/>
      <c r="L10" s="2389"/>
    </row>
    <row r="11" spans="1:29" ht="13.5" customHeight="1" x14ac:dyDescent="0.2">
      <c r="A11" s="1184" t="s">
        <v>1519</v>
      </c>
      <c r="B11" s="1185"/>
      <c r="C11" s="1186"/>
      <c r="D11" s="1191"/>
      <c r="E11" s="1186"/>
      <c r="F11" s="1190"/>
      <c r="G11" s="2387" t="str">
        <f>COVER!T19</f>
        <v>Peoria</v>
      </c>
      <c r="H11" s="2388"/>
      <c r="I11" s="2388"/>
      <c r="J11" s="2388"/>
      <c r="K11" s="2388"/>
      <c r="L11" s="2389"/>
    </row>
    <row r="12" spans="1:29" ht="13.5" customHeight="1" x14ac:dyDescent="0.2">
      <c r="A12" s="2396" t="s">
        <v>1518</v>
      </c>
      <c r="B12" s="2397"/>
      <c r="C12" s="2397"/>
      <c r="D12" s="2397"/>
      <c r="E12" s="2397"/>
      <c r="F12" s="2398"/>
      <c r="G12" s="2390"/>
      <c r="H12" s="2391"/>
      <c r="I12" s="2391"/>
      <c r="J12" s="2391"/>
      <c r="K12" s="2391"/>
      <c r="L12" s="2392"/>
    </row>
    <row r="13" spans="1:29" ht="13.5" customHeight="1" x14ac:dyDescent="0.2">
      <c r="A13" s="2387"/>
      <c r="B13" s="2388"/>
      <c r="C13" s="2388"/>
      <c r="D13" s="2388"/>
      <c r="E13" s="2388"/>
      <c r="F13" s="2389"/>
      <c r="G13" s="2382" t="s">
        <v>1520</v>
      </c>
      <c r="H13" s="2383"/>
      <c r="I13" s="2399" t="str">
        <f>COVER!T25</f>
        <v>ron.hilton1@comcast.net</v>
      </c>
      <c r="J13" s="2400"/>
      <c r="K13" s="2400"/>
      <c r="L13" s="2401"/>
    </row>
    <row r="14" spans="1:29" ht="13.5" customHeight="1" x14ac:dyDescent="0.2">
      <c r="A14" s="2387" t="str">
        <f>COVER!A19</f>
        <v>5137 West Cisna Road</v>
      </c>
      <c r="B14" s="2388"/>
      <c r="C14" s="2388"/>
      <c r="D14" s="2388"/>
      <c r="E14" s="2388"/>
      <c r="F14" s="2389"/>
      <c r="G14" s="1195" t="s">
        <v>1185</v>
      </c>
      <c r="H14" s="1193"/>
      <c r="I14" s="1193"/>
      <c r="J14" s="1193"/>
      <c r="K14" s="1193"/>
      <c r="L14" s="1194"/>
    </row>
    <row r="15" spans="1:29" ht="13.5" customHeight="1" x14ac:dyDescent="0.2">
      <c r="A15" s="2387" t="str">
        <f>COVER!A21</f>
        <v>Bartonville</v>
      </c>
      <c r="B15" s="2388"/>
      <c r="C15" s="2388"/>
      <c r="D15" s="2388"/>
      <c r="E15" s="2388"/>
      <c r="F15" s="2389"/>
      <c r="G15" s="2384" t="str">
        <f>COVER!T15</f>
        <v>Ron Hilton</v>
      </c>
      <c r="H15" s="2385"/>
      <c r="I15" s="2385"/>
      <c r="J15" s="2385"/>
      <c r="K15" s="2385"/>
      <c r="L15" s="2386"/>
    </row>
    <row r="16" spans="1:29" ht="12.2" customHeight="1" x14ac:dyDescent="0.2">
      <c r="A16" s="2409">
        <f>COVER!A25</f>
        <v>61607</v>
      </c>
      <c r="B16" s="2410"/>
      <c r="C16" s="2410"/>
      <c r="D16" s="2410"/>
      <c r="E16" s="2410"/>
      <c r="F16" s="2411"/>
      <c r="G16" s="2421"/>
      <c r="H16" s="2422"/>
      <c r="I16" s="2422"/>
      <c r="J16" s="2422"/>
      <c r="K16" s="2422"/>
      <c r="L16" s="2423"/>
    </row>
    <row r="17" spans="1:13" ht="12.2" customHeight="1" x14ac:dyDescent="0.2">
      <c r="A17" s="2424"/>
      <c r="B17" s="2410"/>
      <c r="C17" s="2410"/>
      <c r="D17" s="2410"/>
      <c r="E17" s="2410"/>
      <c r="F17" s="2411"/>
      <c r="G17" s="1195" t="s">
        <v>1184</v>
      </c>
      <c r="H17" s="1193"/>
      <c r="I17" s="1193"/>
      <c r="J17" s="1193"/>
      <c r="K17" s="1197" t="s">
        <v>1183</v>
      </c>
      <c r="L17" s="1190"/>
      <c r="M17" s="1183"/>
    </row>
    <row r="18" spans="1:13" ht="12.2" customHeight="1" x14ac:dyDescent="0.2">
      <c r="A18" s="2393"/>
      <c r="B18" s="2394"/>
      <c r="C18" s="2394"/>
      <c r="D18" s="2394"/>
      <c r="E18" s="2394"/>
      <c r="F18" s="2395"/>
      <c r="G18" s="2403" t="str">
        <f>COVER!T21</f>
        <v>(309) 683-0441</v>
      </c>
      <c r="H18" s="2404"/>
      <c r="I18" s="2404"/>
      <c r="J18" s="2404"/>
      <c r="K18" s="2403" t="str">
        <f>COVER!X21</f>
        <v>(309) 692-0492</v>
      </c>
      <c r="L18" s="240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Monroe SD 70</v>
      </c>
      <c r="B1" s="2402"/>
      <c r="C1" s="2402"/>
      <c r="D1" s="2402"/>
    </row>
    <row r="2" spans="1:11" s="1212" customFormat="1" ht="12.75" x14ac:dyDescent="0.2">
      <c r="A2" s="2426">
        <f>'Single Audit Cover'!E7</f>
        <v>48072070002</v>
      </c>
      <c r="B2" s="2427"/>
      <c r="C2" s="2427"/>
      <c r="D2" s="2427"/>
    </row>
    <row r="3" spans="1:11" s="1212" customFormat="1" ht="12.75" x14ac:dyDescent="0.2">
      <c r="A3" s="2425" t="s">
        <v>1513</v>
      </c>
      <c r="B3" s="2402"/>
      <c r="C3" s="2402"/>
      <c r="D3" s="240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Monroe SD 70</v>
      </c>
      <c r="B1" s="2429"/>
      <c r="C1" s="2429"/>
      <c r="D1" s="2429"/>
      <c r="E1" s="2429"/>
    </row>
    <row r="2" spans="1:5" x14ac:dyDescent="0.2">
      <c r="A2" s="2430">
        <f>'Single Audit Cover'!E7</f>
        <v>48072070002</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130346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13353</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-5432</v>
      </c>
    </row>
    <row r="19" spans="1:4" ht="13.5" thickBot="1" x14ac:dyDescent="0.25">
      <c r="A19" s="1262" t="s">
        <v>1235</v>
      </c>
      <c r="D19" s="1263">
        <f>SUM(D10:D17)</f>
        <v>138267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138267</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138267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2" t="str">
        <f>'Single Audit Cover'!A7</f>
        <v>Monroe SD 70</v>
      </c>
      <c r="C1" s="2433"/>
      <c r="D1" s="2433"/>
      <c r="E1" s="2433"/>
      <c r="F1" s="2433"/>
      <c r="G1" s="2433"/>
      <c r="H1" s="2433"/>
      <c r="I1" s="2433"/>
      <c r="J1" s="2433"/>
      <c r="K1" s="2433"/>
      <c r="L1" s="2433"/>
      <c r="M1" s="2433"/>
    </row>
    <row r="2" spans="2:14" ht="15" x14ac:dyDescent="0.2">
      <c r="B2" s="2434">
        <f>'Single Audit Cover'!E7</f>
        <v>48072070002</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Monroe SD 70</v>
      </c>
      <c r="B1" s="2446"/>
      <c r="C1" s="2446"/>
      <c r="D1" s="2446"/>
      <c r="E1" s="2446"/>
      <c r="F1" s="2446"/>
    </row>
    <row r="2" spans="1:7" ht="13.5" customHeight="1" x14ac:dyDescent="0.2">
      <c r="A2" s="2434">
        <f>'Single Audit Cover'!E7</f>
        <v>48072070002</v>
      </c>
      <c r="B2" s="2434"/>
      <c r="C2" s="2434"/>
      <c r="D2" s="2434"/>
      <c r="E2" s="2434"/>
      <c r="F2" s="2434"/>
      <c r="G2" s="1272"/>
    </row>
    <row r="3" spans="1:7" ht="15.75" customHeight="1" x14ac:dyDescent="0.2">
      <c r="A3" s="2447" t="s">
        <v>1271</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73" t="s">
        <v>1728</v>
      </c>
      <c r="C6" s="317"/>
      <c r="D6" s="317"/>
    </row>
    <row r="7" spans="1:7" ht="60.95" customHeight="1" x14ac:dyDescent="0.2">
      <c r="A7" s="2445" t="s">
        <v>1729</v>
      </c>
      <c r="B7" s="2445"/>
      <c r="C7" s="2445"/>
      <c r="D7" s="2445"/>
      <c r="E7" s="2445"/>
      <c r="F7" s="244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5" t="s">
        <v>1731</v>
      </c>
      <c r="B13" s="2445"/>
      <c r="C13" s="2445"/>
      <c r="D13" s="2445"/>
      <c r="E13" s="2445"/>
      <c r="F13" s="2445"/>
    </row>
    <row r="14" spans="1:7" ht="9.75" customHeight="1" x14ac:dyDescent="0.2">
      <c r="C14" s="1257"/>
      <c r="D14" s="1257"/>
    </row>
    <row r="15" spans="1:7" ht="13.5" customHeight="1" x14ac:dyDescent="0.2">
      <c r="C15" s="1846" t="s">
        <v>1270</v>
      </c>
      <c r="D15" s="2443" t="s">
        <v>1269</v>
      </c>
      <c r="E15" s="2443"/>
      <c r="F15" s="2443"/>
    </row>
    <row r="16" spans="1:7" ht="13.5" customHeight="1" x14ac:dyDescent="0.2">
      <c r="A16" s="1279"/>
      <c r="B16" s="1273" t="s">
        <v>1268</v>
      </c>
      <c r="C16" s="1846" t="s">
        <v>1267</v>
      </c>
      <c r="D16" s="2444" t="s">
        <v>1588</v>
      </c>
      <c r="E16" s="2444"/>
      <c r="F16" s="2444"/>
    </row>
    <row r="17" spans="1:6" ht="20.45" customHeight="1" x14ac:dyDescent="0.2">
      <c r="A17" s="1280"/>
      <c r="B17" s="1281"/>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9" t="s">
        <v>1732</v>
      </c>
      <c r="B32" s="2439"/>
      <c r="C32" s="2439"/>
      <c r="D32" s="2439"/>
      <c r="E32" s="2439"/>
      <c r="F32" s="2439"/>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0">
        <f>+C33+C34</f>
        <v>0</v>
      </c>
      <c r="F34" s="244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2" t="s">
        <v>1590</v>
      </c>
      <c r="C49" s="2442"/>
      <c r="D49" s="2442"/>
      <c r="E49" s="1396"/>
    </row>
    <row r="50" spans="1:5" s="1297" customFormat="1" ht="3.75" customHeight="1" x14ac:dyDescent="0.2">
      <c r="A50" s="1296"/>
      <c r="B50" s="1845"/>
      <c r="C50" s="1845"/>
      <c r="D50" s="1845"/>
      <c r="E50" s="1396"/>
    </row>
    <row r="51" spans="1:5" s="1297" customFormat="1" ht="20.25" customHeight="1" x14ac:dyDescent="0.2">
      <c r="A51" s="1298">
        <v>6</v>
      </c>
      <c r="B51" s="2437" t="s">
        <v>1551</v>
      </c>
      <c r="C51" s="2437"/>
      <c r="D51" s="2437"/>
    </row>
    <row r="52" spans="1:5" ht="14.25" customHeight="1" x14ac:dyDescent="0.2">
      <c r="A52" s="1298"/>
      <c r="B52" s="2437"/>
      <c r="C52" s="2437"/>
      <c r="D52" s="243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5" colorId="8" zoomScale="110" zoomScaleNormal="110" workbookViewId="0">
      <selection activeCell="B68" sqref="B6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t="s">
        <v>2063</v>
      </c>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2063</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t="s">
        <v>2114</v>
      </c>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2064</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1" zoomScale="110" zoomScaleNormal="110" workbookViewId="0">
      <selection activeCell="B46" sqref="B46"/>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Monroe SD 70</v>
      </c>
      <c r="C1" s="2461"/>
      <c r="D1" s="2461"/>
      <c r="E1" s="2461"/>
      <c r="F1" s="2461"/>
      <c r="G1" s="2461"/>
      <c r="H1" s="2461"/>
      <c r="I1" s="2461"/>
      <c r="J1" s="1406"/>
    </row>
    <row r="2" spans="2:10" s="317" customFormat="1" ht="12.75" customHeight="1" x14ac:dyDescent="0.2">
      <c r="B2" s="2462">
        <f>'Single Audit Cover'!E7</f>
        <v>48072070002</v>
      </c>
      <c r="C2" s="2463"/>
      <c r="D2" s="2463"/>
      <c r="E2" s="2463"/>
      <c r="F2" s="2463"/>
      <c r="G2" s="2463"/>
      <c r="H2" s="2463"/>
      <c r="I2" s="2463"/>
      <c r="J2" s="1406"/>
    </row>
    <row r="3" spans="2:10" s="317" customFormat="1" ht="12.75" customHeight="1" x14ac:dyDescent="0.2">
      <c r="B3" s="2464" t="s">
        <v>1285</v>
      </c>
      <c r="C3" s="2465"/>
      <c r="D3" s="2465"/>
      <c r="E3" s="2465"/>
      <c r="F3" s="2465"/>
      <c r="G3" s="2465"/>
      <c r="H3" s="2465"/>
      <c r="I3" s="2465"/>
      <c r="J3" s="1407"/>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4" t="s">
        <v>1284</v>
      </c>
      <c r="C7" s="2465"/>
      <c r="D7" s="2465"/>
      <c r="E7" s="2465"/>
      <c r="F7" s="2465"/>
      <c r="G7" s="2465"/>
      <c r="H7" s="2465"/>
      <c r="I7" s="246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6"/>
      <c r="D11" s="246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7"/>
      <c r="E29" s="2467"/>
      <c r="F29" s="2467"/>
      <c r="G29" s="2467"/>
      <c r="H29" s="2467"/>
      <c r="I29" s="246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8" t="s">
        <v>1751</v>
      </c>
      <c r="D37" s="2469"/>
      <c r="E37" s="2469"/>
      <c r="F37" s="2470"/>
      <c r="G37" s="2468" t="s">
        <v>1592</v>
      </c>
      <c r="H37" s="2469"/>
      <c r="I37" s="2470"/>
    </row>
    <row r="38" spans="2:9" ht="16.5" customHeight="1" x14ac:dyDescent="0.2">
      <c r="B38" s="1428"/>
      <c r="C38" s="2456"/>
      <c r="D38" s="2457"/>
      <c r="E38" s="2457"/>
      <c r="F38" s="2458"/>
      <c r="G38" s="2471"/>
      <c r="H38" s="2472"/>
      <c r="I38" s="2473"/>
    </row>
    <row r="39" spans="2:9" ht="16.5" customHeight="1" x14ac:dyDescent="0.2">
      <c r="B39" s="1428"/>
      <c r="C39" s="2456"/>
      <c r="D39" s="2457"/>
      <c r="E39" s="2457"/>
      <c r="F39" s="2458"/>
      <c r="G39" s="2459"/>
      <c r="H39" s="2459"/>
      <c r="I39" s="2459"/>
    </row>
    <row r="40" spans="2:9" ht="16.5" customHeight="1" x14ac:dyDescent="0.2">
      <c r="B40" s="1428"/>
      <c r="C40" s="2456"/>
      <c r="D40" s="2457"/>
      <c r="E40" s="2457"/>
      <c r="F40" s="2458"/>
      <c r="G40" s="2459"/>
      <c r="H40" s="2459"/>
      <c r="I40" s="2459"/>
    </row>
    <row r="41" spans="2:9" ht="16.5" customHeight="1" x14ac:dyDescent="0.2">
      <c r="B41" s="1428"/>
      <c r="C41" s="2456"/>
      <c r="D41" s="2457"/>
      <c r="E41" s="2457"/>
      <c r="F41" s="2458"/>
      <c r="G41" s="2459"/>
      <c r="H41" s="2459"/>
      <c r="I41" s="2459"/>
    </row>
    <row r="42" spans="2:9" ht="16.5" customHeight="1" x14ac:dyDescent="0.2">
      <c r="B42" s="1428"/>
      <c r="C42" s="2456"/>
      <c r="D42" s="2457"/>
      <c r="E42" s="2457"/>
      <c r="F42" s="2458"/>
      <c r="G42" s="2459"/>
      <c r="H42" s="2459"/>
      <c r="I42" s="2459"/>
    </row>
    <row r="43" spans="2:9" ht="16.5" customHeight="1" x14ac:dyDescent="0.2">
      <c r="B43" s="1428"/>
      <c r="C43" s="2449" t="s">
        <v>1593</v>
      </c>
      <c r="D43" s="2450"/>
      <c r="E43" s="2450"/>
      <c r="F43" s="2451"/>
      <c r="G43" s="2452">
        <f>SUM(G38:I42)</f>
        <v>0</v>
      </c>
      <c r="H43" s="2452"/>
      <c r="I43" s="2452"/>
    </row>
    <row r="44" spans="2:9" ht="12.75" customHeight="1" x14ac:dyDescent="0.2"/>
    <row r="45" spans="2:9" ht="12.75" customHeight="1" x14ac:dyDescent="0.2">
      <c r="B45" s="1419" t="s">
        <v>2094</v>
      </c>
      <c r="D45" s="2453">
        <v>0</v>
      </c>
      <c r="E45" s="2454"/>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5"/>
      <c r="F49" s="2455"/>
      <c r="G49" s="2455"/>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Monroe SD 70</v>
      </c>
      <c r="C1" s="2460"/>
      <c r="D1" s="2460"/>
      <c r="E1" s="2460"/>
      <c r="F1" s="2460"/>
      <c r="G1" s="2460"/>
      <c r="H1" s="2460"/>
      <c r="I1" s="2460"/>
      <c r="J1" s="2460"/>
      <c r="K1" s="2460"/>
      <c r="L1" s="1371"/>
      <c r="M1" s="1371"/>
    </row>
    <row r="2" spans="1:13" ht="12" customHeight="1" x14ac:dyDescent="0.2">
      <c r="B2" s="2462">
        <f>'Single Audit Cover'!E7</f>
        <v>48072070002</v>
      </c>
      <c r="C2" s="2462"/>
      <c r="D2" s="2462"/>
      <c r="E2" s="2462"/>
      <c r="F2" s="2462"/>
      <c r="G2" s="2462"/>
      <c r="H2" s="2462"/>
      <c r="I2" s="2462"/>
      <c r="J2" s="2462"/>
      <c r="K2" s="2462"/>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v>1</v>
      </c>
      <c r="E10" s="322"/>
      <c r="F10" s="1384" t="s">
        <v>1295</v>
      </c>
      <c r="G10" s="1385"/>
      <c r="H10" s="1386" t="s">
        <v>1294</v>
      </c>
      <c r="I10" s="1385" t="s">
        <v>2063</v>
      </c>
      <c r="J10" s="1387" t="s">
        <v>1293</v>
      </c>
      <c r="K10" s="322"/>
      <c r="L10" s="1378"/>
    </row>
    <row r="11" spans="1:13" ht="13.5" customHeight="1" x14ac:dyDescent="0.2">
      <c r="B11" s="322"/>
      <c r="C11" s="322"/>
      <c r="D11" s="322"/>
      <c r="E11" s="322"/>
      <c r="F11" s="322"/>
      <c r="G11" s="1380"/>
      <c r="H11" s="322"/>
      <c r="I11" s="1388" t="s">
        <v>1292</v>
      </c>
      <c r="J11" s="322"/>
      <c r="K11" s="1389">
        <v>1990</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t="s">
        <v>2095</v>
      </c>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t="s">
        <v>2096</v>
      </c>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t="s">
        <v>2097</v>
      </c>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t="s">
        <v>2098</v>
      </c>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t="s">
        <v>2099</v>
      </c>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t="s">
        <v>2100</v>
      </c>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t="s">
        <v>2101</v>
      </c>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35&amp;R&amp;8Page 35</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Monroe SD 70</v>
      </c>
      <c r="C1" s="2460"/>
      <c r="D1" s="2460"/>
      <c r="E1" s="2460"/>
      <c r="F1" s="2460"/>
      <c r="G1" s="2460"/>
      <c r="H1" s="2460"/>
      <c r="I1" s="2460"/>
      <c r="J1" s="2460"/>
      <c r="K1" s="2460"/>
      <c r="L1" s="1371"/>
      <c r="M1" s="1371"/>
    </row>
    <row r="2" spans="1:13" ht="12" customHeight="1" x14ac:dyDescent="0.2">
      <c r="B2" s="2462">
        <f>'Single Audit Cover'!E7</f>
        <v>48072070002</v>
      </c>
      <c r="C2" s="2462"/>
      <c r="D2" s="2462"/>
      <c r="E2" s="2462"/>
      <c r="F2" s="2462"/>
      <c r="G2" s="2462"/>
      <c r="H2" s="2462"/>
      <c r="I2" s="2462"/>
      <c r="J2" s="2462"/>
      <c r="K2" s="2462"/>
      <c r="L2" s="1372"/>
      <c r="M2" s="1373"/>
    </row>
    <row r="3" spans="1:13" ht="10.35" customHeight="1" x14ac:dyDescent="0.2">
      <c r="B3" s="2476" t="s">
        <v>1285</v>
      </c>
      <c r="C3" s="2476"/>
      <c r="D3" s="2476"/>
      <c r="E3" s="2476"/>
      <c r="F3" s="2476"/>
      <c r="G3" s="2476"/>
      <c r="H3" s="2476"/>
      <c r="I3" s="2476"/>
      <c r="J3" s="2476"/>
      <c r="K3" s="2476"/>
      <c r="L3" s="1937"/>
      <c r="M3" s="1937"/>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v>2</v>
      </c>
      <c r="E10" s="322"/>
      <c r="F10" s="1384" t="s">
        <v>1295</v>
      </c>
      <c r="G10" s="1385"/>
      <c r="H10" s="1386" t="s">
        <v>1294</v>
      </c>
      <c r="I10" s="1385" t="s">
        <v>2063</v>
      </c>
      <c r="J10" s="1387" t="s">
        <v>1293</v>
      </c>
      <c r="K10" s="322"/>
      <c r="L10" s="1378"/>
    </row>
    <row r="11" spans="1:13" ht="13.5" customHeight="1" x14ac:dyDescent="0.2">
      <c r="B11" s="322"/>
      <c r="C11" s="322"/>
      <c r="D11" s="322"/>
      <c r="E11" s="322"/>
      <c r="F11" s="322"/>
      <c r="G11" s="1380"/>
      <c r="H11" s="322"/>
      <c r="I11" s="1388" t="s">
        <v>1292</v>
      </c>
      <c r="J11" s="322"/>
      <c r="K11" s="1389">
        <v>2008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55.15" customHeight="1" x14ac:dyDescent="0.2">
      <c r="B14" s="2475" t="s">
        <v>2102</v>
      </c>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68.45" customHeight="1" x14ac:dyDescent="0.2">
      <c r="B17" s="2475" t="s">
        <v>2103</v>
      </c>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t="s">
        <v>2104</v>
      </c>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t="s">
        <v>2105</v>
      </c>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t="s">
        <v>2106</v>
      </c>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t="s">
        <v>2107</v>
      </c>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55.9" customHeight="1" x14ac:dyDescent="0.2">
      <c r="B32" s="2474" t="s">
        <v>2108</v>
      </c>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36&amp;R&amp;8Page 36</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Monroe SD 70</v>
      </c>
      <c r="C1" s="2483"/>
      <c r="D1" s="2483"/>
      <c r="E1" s="2483"/>
      <c r="F1" s="2483"/>
      <c r="G1" s="2483"/>
      <c r="H1" s="2483"/>
      <c r="I1" s="2483"/>
      <c r="J1" s="2483"/>
      <c r="K1" s="2483"/>
      <c r="L1" s="1449"/>
    </row>
    <row r="2" spans="1:12" ht="12.75" customHeight="1" x14ac:dyDescent="0.2">
      <c r="B2" s="2484">
        <f>'Single Audit Cover'!E7</f>
        <v>48072070002</v>
      </c>
      <c r="C2" s="2484"/>
      <c r="D2" s="2484"/>
      <c r="E2" s="2484"/>
      <c r="F2" s="2484"/>
      <c r="G2" s="2484"/>
      <c r="H2" s="2484"/>
      <c r="I2" s="2484"/>
      <c r="J2" s="2484"/>
      <c r="K2" s="2484"/>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5" t="s">
        <v>1308</v>
      </c>
      <c r="C6" s="2485"/>
      <c r="D6" s="2485"/>
      <c r="E6" s="2485"/>
      <c r="F6" s="2485"/>
      <c r="G6" s="2485"/>
      <c r="H6" s="2485"/>
      <c r="I6" s="2485"/>
      <c r="J6" s="2485"/>
      <c r="K6" s="2485"/>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7"/>
      <c r="G12" s="2467"/>
      <c r="H12" s="2467"/>
      <c r="I12" s="2467"/>
      <c r="J12" s="2467"/>
      <c r="K12" s="246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c r="E14" s="2480"/>
      <c r="F14" s="2480"/>
      <c r="H14" s="1459" t="s">
        <v>1303</v>
      </c>
      <c r="I14" s="2481"/>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c r="E16" s="2481"/>
      <c r="F16" s="2481"/>
      <c r="G16" s="2481"/>
      <c r="H16" s="2481"/>
      <c r="I16" s="2481"/>
      <c r="J16" s="2481"/>
      <c r="K16" s="2481"/>
      <c r="L16" s="322"/>
    </row>
    <row r="17" spans="2:12" ht="13.5" customHeight="1" x14ac:dyDescent="0.2">
      <c r="B17" s="1384" t="s">
        <v>1301</v>
      </c>
      <c r="C17" s="1384"/>
      <c r="D17" s="2482"/>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0" t="str">
        <f>'Single Audit Cover'!A7</f>
        <v>Monroe SD 70</v>
      </c>
      <c r="C1" s="2460"/>
      <c r="D1" s="2460"/>
      <c r="E1" s="1469"/>
    </row>
    <row r="2" spans="2:5" s="1279" customFormat="1" ht="12.75" customHeight="1" x14ac:dyDescent="0.2">
      <c r="B2" s="2462">
        <f>'Single Audit Cover'!E7</f>
        <v>48072070002</v>
      </c>
      <c r="C2" s="2462"/>
      <c r="D2" s="2462"/>
      <c r="E2" s="1470"/>
    </row>
    <row r="3" spans="2:5" ht="12.75" customHeight="1" x14ac:dyDescent="0.2">
      <c r="B3" s="2476" t="s">
        <v>1766</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J50" sqref="J5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50339033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1.9337E-2</v>
      </c>
      <c r="E10" s="356" t="s">
        <v>1005</v>
      </c>
      <c r="F10" s="355">
        <v>2.4919E-3</v>
      </c>
      <c r="G10" s="356" t="s">
        <v>1005</v>
      </c>
      <c r="H10" s="355">
        <v>1.5950000000000001E-3</v>
      </c>
      <c r="I10" s="356" t="s">
        <v>1006</v>
      </c>
      <c r="J10" s="1732">
        <f>ROUND(D10+F10+H10,5)</f>
        <v>2.342E-2</v>
      </c>
      <c r="K10" s="222"/>
      <c r="L10" s="355">
        <v>4.9799999999999996E-4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2551020</v>
      </c>
      <c r="E16" s="356"/>
      <c r="F16" s="1733">
        <f>SUM('Acct Summary 7-8'!C17,'Acct Summary 7-8'!D17,'Acct Summary 7-8'!F17)</f>
        <v>2281671</v>
      </c>
      <c r="G16" s="356"/>
      <c r="H16" s="1733">
        <f>SUM(D16-F16)</f>
        <v>269349</v>
      </c>
      <c r="I16" s="222"/>
      <c r="J16" s="1733">
        <f>SUM('Acct Summary 7-8'!C81,'Acct Summary 7-8'!D81,'Acct Summary 7-8'!F81,'Acct Summary 7-8'!I81)</f>
        <v>3009981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6663</v>
      </c>
      <c r="E24" s="356" t="s">
        <v>1006</v>
      </c>
      <c r="F24" s="1734">
        <f>SUM(D22,F22,H22,J22,L22, D24)</f>
        <v>6663</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2063</v>
      </c>
      <c r="C31" s="367" t="s">
        <v>586</v>
      </c>
      <c r="D31" s="237" t="s">
        <v>1072</v>
      </c>
      <c r="E31" s="222"/>
      <c r="F31" s="222"/>
      <c r="G31" s="363"/>
      <c r="H31" s="1735">
        <f>IF(B31="X",(J7*0.069),IF(B32="X",(J7*0.138),"Enter x in a.or b."))</f>
        <v>3473393.2770000002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62983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Monroe SD 70</v>
      </c>
      <c r="E7" s="391"/>
      <c r="G7" s="252"/>
      <c r="H7" s="387"/>
      <c r="I7" s="387"/>
      <c r="J7" s="387"/>
      <c r="K7" s="387"/>
      <c r="L7" s="329"/>
      <c r="M7" s="329"/>
      <c r="N7" s="329"/>
      <c r="O7" s="329"/>
      <c r="P7" s="329"/>
    </row>
    <row r="8" spans="1:18" ht="12.75" x14ac:dyDescent="0.2">
      <c r="A8" s="329"/>
      <c r="B8" s="329"/>
      <c r="C8" s="389" t="s">
        <v>1125</v>
      </c>
      <c r="D8" s="392">
        <f>COVER!A13</f>
        <v>48072070002</v>
      </c>
      <c r="E8" s="393"/>
      <c r="G8" s="329"/>
      <c r="H8" s="329"/>
      <c r="I8" s="329"/>
      <c r="J8" s="329"/>
      <c r="K8" s="329"/>
      <c r="L8" s="329"/>
      <c r="M8" s="329"/>
      <c r="N8" s="329"/>
      <c r="O8" s="329"/>
      <c r="P8" s="329"/>
    </row>
    <row r="9" spans="1:18" ht="12.75" x14ac:dyDescent="0.2">
      <c r="A9" s="329"/>
      <c r="B9" s="329"/>
      <c r="C9" s="389" t="s">
        <v>713</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3000829</v>
      </c>
      <c r="I12" s="404"/>
      <c r="J12" s="404"/>
      <c r="K12" s="405">
        <f>TRUNC((H12/H13*100000),5)/100000</f>
        <v>1.1763251562000001</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2551020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2281671</v>
      </c>
      <c r="I17" s="404"/>
      <c r="J17" s="416"/>
      <c r="K17" s="405">
        <f>TRUNC((H17/H18*100000),5)/100000</f>
        <v>0.89441517510000002</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2551020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2995256</v>
      </c>
      <c r="I24" s="422"/>
      <c r="J24" s="422"/>
      <c r="K24" s="423">
        <f>TRUNC(((H24/H25*100000)/100000),2)</f>
        <v>472.58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6337.9750000000004</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1002099.1299300001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62983</v>
      </c>
      <c r="I32" s="420"/>
      <c r="J32" s="420"/>
      <c r="K32" s="423">
        <f>TRUNC(100-((((H32/H33*100))*100)/100),2)</f>
        <v>98.18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3473393.2770000002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99" zoomScaleNormal="99" workbookViewId="0">
      <pane ySplit="2" topLeftCell="A15" activePane="bottomLeft" state="frozen"/>
      <selection pane="bottomLeft" activeCell="N36" sqref="N3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647689</v>
      </c>
      <c r="D4" s="466">
        <v>89334</v>
      </c>
      <c r="E4" s="466">
        <v>16299</v>
      </c>
      <c r="F4" s="466">
        <v>101291</v>
      </c>
      <c r="G4" s="466">
        <v>753</v>
      </c>
      <c r="H4" s="466">
        <v>90482</v>
      </c>
      <c r="I4" s="466">
        <v>175248</v>
      </c>
      <c r="J4" s="467">
        <v>27883</v>
      </c>
      <c r="K4" s="466">
        <v>146413</v>
      </c>
      <c r="L4" s="466">
        <v>9294</v>
      </c>
      <c r="M4" s="468"/>
      <c r="N4" s="469"/>
    </row>
    <row r="5" spans="1:14" x14ac:dyDescent="0.2">
      <c r="A5" s="463" t="s">
        <v>992</v>
      </c>
      <c r="B5" s="470">
        <v>120</v>
      </c>
      <c r="C5" s="465">
        <v>1089219</v>
      </c>
      <c r="D5" s="466">
        <v>221761</v>
      </c>
      <c r="E5" s="466">
        <v>13357</v>
      </c>
      <c r="F5" s="466">
        <v>284191</v>
      </c>
      <c r="G5" s="466">
        <v>23</v>
      </c>
      <c r="H5" s="466"/>
      <c r="I5" s="466">
        <v>386523</v>
      </c>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v>10100</v>
      </c>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v>5214</v>
      </c>
      <c r="D12" s="466"/>
      <c r="E12" s="466"/>
      <c r="F12" s="466"/>
      <c r="G12" s="466">
        <v>172</v>
      </c>
      <c r="H12" s="466"/>
      <c r="I12" s="466"/>
      <c r="J12" s="467"/>
      <c r="K12" s="466"/>
      <c r="L12" s="466"/>
      <c r="M12" s="469"/>
      <c r="N12" s="469"/>
    </row>
    <row r="13" spans="1:14" ht="13.5" customHeight="1" thickBot="1" x14ac:dyDescent="0.25">
      <c r="A13" s="1736" t="s">
        <v>644</v>
      </c>
      <c r="B13" s="1709"/>
      <c r="C13" s="1737">
        <f>SUM(C4:C12)</f>
        <v>1752222</v>
      </c>
      <c r="D13" s="1737">
        <f t="shared" ref="D13:L13" si="0">SUM(D4:D12)</f>
        <v>311095</v>
      </c>
      <c r="E13" s="1737">
        <f t="shared" si="0"/>
        <v>29656</v>
      </c>
      <c r="F13" s="1737">
        <f t="shared" si="0"/>
        <v>385482</v>
      </c>
      <c r="G13" s="1737">
        <f t="shared" si="0"/>
        <v>948</v>
      </c>
      <c r="H13" s="1737">
        <f t="shared" si="0"/>
        <v>90482</v>
      </c>
      <c r="I13" s="1737">
        <f t="shared" si="0"/>
        <v>561771</v>
      </c>
      <c r="J13" s="1737">
        <f t="shared" si="0"/>
        <v>27883</v>
      </c>
      <c r="K13" s="1737">
        <f t="shared" si="0"/>
        <v>146413</v>
      </c>
      <c r="L13" s="1737">
        <f t="shared" si="0"/>
        <v>9294</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16025</v>
      </c>
      <c r="N16" s="484"/>
    </row>
    <row r="17" spans="1:14" s="485" customFormat="1" ht="12.75" customHeight="1" x14ac:dyDescent="0.2">
      <c r="A17" s="482" t="s">
        <v>1403</v>
      </c>
      <c r="B17" s="483">
        <v>230</v>
      </c>
      <c r="C17" s="477"/>
      <c r="D17" s="477"/>
      <c r="E17" s="477"/>
      <c r="F17" s="477"/>
      <c r="G17" s="477"/>
      <c r="H17" s="477"/>
      <c r="I17" s="477"/>
      <c r="J17" s="477"/>
      <c r="K17" s="477"/>
      <c r="L17" s="477"/>
      <c r="M17" s="467">
        <v>692277</v>
      </c>
      <c r="N17" s="484"/>
    </row>
    <row r="18" spans="1:14" s="485" customFormat="1" ht="12.75" customHeight="1" x14ac:dyDescent="0.2">
      <c r="A18" s="482" t="s">
        <v>1404</v>
      </c>
      <c r="B18" s="483">
        <v>240</v>
      </c>
      <c r="C18" s="477"/>
      <c r="D18" s="477"/>
      <c r="E18" s="477"/>
      <c r="F18" s="477"/>
      <c r="G18" s="477"/>
      <c r="H18" s="477"/>
      <c r="I18" s="477"/>
      <c r="J18" s="477"/>
      <c r="K18" s="477"/>
      <c r="L18" s="477"/>
      <c r="M18" s="467">
        <v>451964</v>
      </c>
      <c r="N18" s="484"/>
    </row>
    <row r="19" spans="1:14" s="485" customFormat="1" ht="12.75" customHeight="1" x14ac:dyDescent="0.2">
      <c r="A19" s="482" t="s">
        <v>1405</v>
      </c>
      <c r="B19" s="483">
        <v>250</v>
      </c>
      <c r="C19" s="477"/>
      <c r="D19" s="477"/>
      <c r="E19" s="477"/>
      <c r="F19" s="477"/>
      <c r="G19" s="477"/>
      <c r="H19" s="477"/>
      <c r="I19" s="477"/>
      <c r="J19" s="477"/>
      <c r="K19" s="477"/>
      <c r="L19" s="477"/>
      <c r="M19" s="467">
        <v>146997</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29656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33327</v>
      </c>
    </row>
    <row r="23" spans="1:14" ht="13.5" customHeight="1" thickBot="1" x14ac:dyDescent="0.25">
      <c r="A23" s="1736" t="s">
        <v>643</v>
      </c>
      <c r="B23" s="1741"/>
      <c r="C23" s="468"/>
      <c r="D23" s="468"/>
      <c r="E23" s="468"/>
      <c r="F23" s="468"/>
      <c r="G23" s="468"/>
      <c r="H23" s="468"/>
      <c r="I23" s="468"/>
      <c r="J23" s="468"/>
      <c r="K23" s="468"/>
      <c r="L23" s="468"/>
      <c r="M23" s="1688">
        <f>SUM(M15:M22)</f>
        <v>1307263</v>
      </c>
      <c r="N23" s="1688">
        <f>SUM(N21:N22)</f>
        <v>62983</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v>10100</v>
      </c>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v>589</v>
      </c>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9294</v>
      </c>
      <c r="M33" s="468"/>
      <c r="N33" s="469"/>
    </row>
    <row r="34" spans="1:14" ht="13.5" customHeight="1" thickBot="1" x14ac:dyDescent="0.25">
      <c r="A34" s="1738" t="s">
        <v>654</v>
      </c>
      <c r="B34" s="1739"/>
      <c r="C34" s="1740">
        <f>SUM(C25:C33)</f>
        <v>0</v>
      </c>
      <c r="D34" s="1740">
        <f t="shared" ref="D34:K34" si="1">SUM(D25:D33)</f>
        <v>589</v>
      </c>
      <c r="E34" s="1740">
        <f t="shared" si="1"/>
        <v>0</v>
      </c>
      <c r="F34" s="1740">
        <f t="shared" si="1"/>
        <v>0</v>
      </c>
      <c r="G34" s="1740">
        <f t="shared" si="1"/>
        <v>10100</v>
      </c>
      <c r="H34" s="1740">
        <f t="shared" si="1"/>
        <v>0</v>
      </c>
      <c r="I34" s="1740">
        <f t="shared" si="1"/>
        <v>0</v>
      </c>
      <c r="J34" s="1740">
        <f t="shared" si="1"/>
        <v>0</v>
      </c>
      <c r="K34" s="1740">
        <f t="shared" si="1"/>
        <v>0</v>
      </c>
      <c r="L34" s="1721">
        <f>SUM(L33)</f>
        <v>9294</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62983</v>
      </c>
    </row>
    <row r="37" spans="1:14" ht="13.5" thickBot="1" x14ac:dyDescent="0.25">
      <c r="A37" s="1736" t="s">
        <v>653</v>
      </c>
      <c r="B37" s="1741"/>
      <c r="C37" s="477"/>
      <c r="D37" s="477"/>
      <c r="E37" s="477"/>
      <c r="F37" s="477"/>
      <c r="G37" s="477"/>
      <c r="H37" s="477"/>
      <c r="I37" s="477"/>
      <c r="J37" s="477"/>
      <c r="K37" s="477"/>
      <c r="L37" s="480"/>
      <c r="M37" s="468"/>
      <c r="N37" s="1688">
        <f>SUM(N36:N36)</f>
        <v>62983</v>
      </c>
    </row>
    <row r="38" spans="1:14" s="329" customFormat="1" ht="13.5" customHeight="1" thickTop="1" x14ac:dyDescent="0.2">
      <c r="A38" s="496" t="s">
        <v>420</v>
      </c>
      <c r="B38" s="483">
        <v>714</v>
      </c>
      <c r="C38" s="466">
        <v>0</v>
      </c>
      <c r="D38" s="466">
        <v>0</v>
      </c>
      <c r="E38" s="466">
        <v>21380</v>
      </c>
      <c r="F38" s="466">
        <v>0</v>
      </c>
      <c r="G38" s="466">
        <v>0</v>
      </c>
      <c r="H38" s="466">
        <v>12001</v>
      </c>
      <c r="I38" s="466">
        <v>0</v>
      </c>
      <c r="J38" s="466">
        <v>0</v>
      </c>
      <c r="K38" s="466">
        <v>0</v>
      </c>
      <c r="L38" s="481"/>
      <c r="M38" s="497"/>
      <c r="N38" s="497"/>
    </row>
    <row r="39" spans="1:14" s="329" customFormat="1" ht="13.5" customHeight="1" x14ac:dyDescent="0.2">
      <c r="A39" s="496" t="s">
        <v>342</v>
      </c>
      <c r="B39" s="483">
        <v>730</v>
      </c>
      <c r="C39" s="466">
        <f>'Acct Summary 7-8'!C81-C38</f>
        <v>1752222</v>
      </c>
      <c r="D39" s="466">
        <f>'Acct Summary 7-8'!D81-D38</f>
        <v>310506</v>
      </c>
      <c r="E39" s="466">
        <f>'Acct Summary 7-8'!E81-E38</f>
        <v>8276</v>
      </c>
      <c r="F39" s="466">
        <f>'Acct Summary 7-8'!F81-F38</f>
        <v>385482</v>
      </c>
      <c r="G39" s="466">
        <f>'Acct Summary 7-8'!G81-G38</f>
        <v>-9152</v>
      </c>
      <c r="H39" s="466">
        <f>'Acct Summary 7-8'!H81-H38</f>
        <v>78481</v>
      </c>
      <c r="I39" s="466">
        <f>'Acct Summary 7-8'!I81-I38</f>
        <v>561771</v>
      </c>
      <c r="J39" s="466">
        <f>'Acct Summary 7-8'!J81-J38</f>
        <v>27883</v>
      </c>
      <c r="K39" s="466">
        <f>'Acct Summary 7-8'!K81-K38</f>
        <v>146413</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1307263</v>
      </c>
      <c r="N40" s="497"/>
    </row>
    <row r="41" spans="1:14" ht="13.5" customHeight="1" thickBot="1" x14ac:dyDescent="0.25">
      <c r="A41" s="1736" t="s">
        <v>655</v>
      </c>
      <c r="B41" s="1706"/>
      <c r="C41" s="1688">
        <f>(SUM(C34,C37,C38,C39))</f>
        <v>1752222</v>
      </c>
      <c r="D41" s="1688">
        <f t="shared" ref="D41:L41" si="2">SUM(D34,D37,D38:D39)</f>
        <v>311095</v>
      </c>
      <c r="E41" s="1688">
        <f t="shared" si="2"/>
        <v>29656</v>
      </c>
      <c r="F41" s="1688">
        <f t="shared" si="2"/>
        <v>385482</v>
      </c>
      <c r="G41" s="1688">
        <f t="shared" si="2"/>
        <v>948</v>
      </c>
      <c r="H41" s="1688">
        <f t="shared" si="2"/>
        <v>90482</v>
      </c>
      <c r="I41" s="1688">
        <f t="shared" si="2"/>
        <v>561771</v>
      </c>
      <c r="J41" s="1688">
        <f t="shared" si="2"/>
        <v>27883</v>
      </c>
      <c r="K41" s="1688">
        <f t="shared" si="2"/>
        <v>146413</v>
      </c>
      <c r="L41" s="1688">
        <f t="shared" si="2"/>
        <v>9294</v>
      </c>
      <c r="M41" s="1688">
        <f>SUM(M40)</f>
        <v>1307263</v>
      </c>
      <c r="N41" s="1688">
        <f>SUM(N37)</f>
        <v>62983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notes are an intergral part of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8" zoomScaleNormal="98" zoomScaleSheetLayoutView="100" workbookViewId="0">
      <pane ySplit="2" topLeftCell="A24" activePane="bottomLeft" state="frozen"/>
      <selection pane="bottomLeft" activeCell="C79" sqref="C79:K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1216378</v>
      </c>
      <c r="D4" s="1742">
        <f>'Revenues 9-14'!D109</f>
        <v>195469</v>
      </c>
      <c r="E4" s="1742">
        <f>'Revenues 9-14'!E109</f>
        <v>45486</v>
      </c>
      <c r="F4" s="1742">
        <f>'Revenues 9-14'!F109</f>
        <v>100896</v>
      </c>
      <c r="G4" s="1742">
        <f>'Revenues 9-14'!G109</f>
        <v>67710</v>
      </c>
      <c r="H4" s="1742">
        <f>'Revenues 9-14'!H109</f>
        <v>69965</v>
      </c>
      <c r="I4" s="1742">
        <f>'Revenues 9-14'!I109</f>
        <v>30897</v>
      </c>
      <c r="J4" s="1742">
        <f>'Revenues 9-14'!J109</f>
        <v>270201</v>
      </c>
      <c r="K4" s="1742">
        <f>'Revenues 9-14'!K109</f>
        <v>26267</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808194</v>
      </c>
      <c r="D6" s="1743">
        <f>'Revenues 9-14'!D170</f>
        <v>0</v>
      </c>
      <c r="E6" s="1743">
        <f>'Revenues 9-14'!E170</f>
        <v>0</v>
      </c>
      <c r="F6" s="1743">
        <f>'Revenues 9-14'!F170</f>
        <v>68840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130346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2154918</v>
      </c>
      <c r="D8" s="1688">
        <f t="shared" ref="D8:K8" si="0">SUM(D4:D7)</f>
        <v>195469</v>
      </c>
      <c r="E8" s="1688">
        <f t="shared" si="0"/>
        <v>45486</v>
      </c>
      <c r="F8" s="1688">
        <f t="shared" si="0"/>
        <v>169736</v>
      </c>
      <c r="G8" s="1688">
        <f t="shared" si="0"/>
        <v>67710</v>
      </c>
      <c r="H8" s="1688">
        <f t="shared" si="0"/>
        <v>69965</v>
      </c>
      <c r="I8" s="1688">
        <f t="shared" si="0"/>
        <v>30897</v>
      </c>
      <c r="J8" s="1688">
        <f t="shared" si="0"/>
        <v>270201</v>
      </c>
      <c r="K8" s="1688">
        <f t="shared" si="0"/>
        <v>26267</v>
      </c>
      <c r="L8" s="347"/>
    </row>
    <row r="9" spans="1:13" ht="15.75" thickTop="1" x14ac:dyDescent="0.2">
      <c r="A9" s="514" t="s">
        <v>1653</v>
      </c>
      <c r="B9" s="515">
        <v>3998</v>
      </c>
      <c r="C9" s="481">
        <v>842856</v>
      </c>
      <c r="D9" s="516"/>
      <c r="E9" s="481"/>
      <c r="F9" s="481"/>
      <c r="G9" s="517"/>
      <c r="H9" s="481"/>
      <c r="I9" s="509" t="s">
        <v>1169</v>
      </c>
      <c r="J9" s="478"/>
      <c r="K9" s="481"/>
      <c r="L9" s="347"/>
    </row>
    <row r="10" spans="1:13" s="519" customFormat="1" ht="13.5" thickBot="1" x14ac:dyDescent="0.25">
      <c r="A10" s="1736" t="s">
        <v>1173</v>
      </c>
      <c r="B10" s="1709"/>
      <c r="C10" s="1688">
        <f>SUM(C8:C9)</f>
        <v>2997774</v>
      </c>
      <c r="D10" s="1688">
        <f t="shared" ref="D10:K10" si="1">SUM(D8:D9)</f>
        <v>195469</v>
      </c>
      <c r="E10" s="1688">
        <f t="shared" si="1"/>
        <v>45486</v>
      </c>
      <c r="F10" s="1688">
        <f t="shared" si="1"/>
        <v>169736</v>
      </c>
      <c r="G10" s="1688">
        <f t="shared" si="1"/>
        <v>67710</v>
      </c>
      <c r="H10" s="1688">
        <f t="shared" si="1"/>
        <v>69965</v>
      </c>
      <c r="I10" s="1688">
        <f t="shared" si="1"/>
        <v>30897</v>
      </c>
      <c r="J10" s="1688">
        <f t="shared" si="1"/>
        <v>270201</v>
      </c>
      <c r="K10" s="1688">
        <f t="shared" si="1"/>
        <v>26267</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1410296</v>
      </c>
      <c r="D12" s="520" t="s">
        <v>1169</v>
      </c>
      <c r="E12" s="468" t="s">
        <v>1169</v>
      </c>
      <c r="F12" s="468" t="s">
        <v>1169</v>
      </c>
      <c r="G12" s="1742">
        <f>'Expenditures 15-22'!K229</f>
        <v>39833</v>
      </c>
      <c r="H12" s="521"/>
      <c r="I12" s="468" t="s">
        <v>1169</v>
      </c>
      <c r="J12" s="468" t="s">
        <v>1169</v>
      </c>
      <c r="K12" s="521" t="s">
        <v>1169</v>
      </c>
      <c r="L12" s="347"/>
    </row>
    <row r="13" spans="1:13" ht="15.75" customHeight="1" x14ac:dyDescent="0.2">
      <c r="A13" s="1576" t="s">
        <v>457</v>
      </c>
      <c r="B13" s="1578">
        <v>2000</v>
      </c>
      <c r="C13" s="1743">
        <f>'Expenditures 15-22'!K74</f>
        <v>400737</v>
      </c>
      <c r="D13" s="1743">
        <f>'Expenditures 15-22'!K129</f>
        <v>184027</v>
      </c>
      <c r="E13" s="469" t="s">
        <v>1169</v>
      </c>
      <c r="F13" s="1743">
        <f>'Expenditures 15-22'!K184</f>
        <v>107626</v>
      </c>
      <c r="G13" s="1743">
        <f>'Expenditures 15-22'!K279</f>
        <v>43963</v>
      </c>
      <c r="H13" s="1743">
        <f>'Expenditures 15-22'!K303</f>
        <v>50666</v>
      </c>
      <c r="I13" s="468" t="s">
        <v>1169</v>
      </c>
      <c r="J13" s="1743">
        <f>'Expenditures 15-22'!K330</f>
        <v>245339</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178308</v>
      </c>
      <c r="D15" s="1743">
        <f>'Expenditures 15-22'!K139</f>
        <v>0</v>
      </c>
      <c r="E15" s="1743">
        <f>'Expenditures 15-22'!K160</f>
        <v>0</v>
      </c>
      <c r="F15" s="1743">
        <f>'Expenditures 15-22'!K196</f>
        <v>0</v>
      </c>
      <c r="G15" s="1743">
        <f>'Expenditures 15-22'!K285</f>
        <v>4239</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677</v>
      </c>
      <c r="D16" s="1743">
        <f>'Expenditures 15-22'!K149</f>
        <v>0</v>
      </c>
      <c r="E16" s="1743">
        <f>'Expenditures 15-22'!K172</f>
        <v>54038</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1990018</v>
      </c>
      <c r="D17" s="1688">
        <f t="shared" si="2"/>
        <v>184027</v>
      </c>
      <c r="E17" s="1688">
        <f t="shared" si="2"/>
        <v>54038</v>
      </c>
      <c r="F17" s="1688">
        <f t="shared" si="2"/>
        <v>107626</v>
      </c>
      <c r="G17" s="1688">
        <f t="shared" si="2"/>
        <v>88035</v>
      </c>
      <c r="H17" s="1688">
        <f t="shared" si="2"/>
        <v>50666</v>
      </c>
      <c r="I17" s="468"/>
      <c r="J17" s="1688">
        <f>SUM(J12:J16)</f>
        <v>245339</v>
      </c>
      <c r="K17" s="1688">
        <f>SUM(K12:K16)</f>
        <v>0</v>
      </c>
      <c r="L17" s="347"/>
    </row>
    <row r="18" spans="1:12" ht="15" customHeight="1" thickTop="1" x14ac:dyDescent="0.2">
      <c r="A18" s="1744" t="s">
        <v>1654</v>
      </c>
      <c r="B18" s="1745">
        <v>4180</v>
      </c>
      <c r="C18" s="1742">
        <f t="shared" ref="C18:H18" si="3">C9</f>
        <v>842856</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2832874</v>
      </c>
      <c r="D19" s="1688">
        <f t="shared" si="4"/>
        <v>184027</v>
      </c>
      <c r="E19" s="1688">
        <f t="shared" si="4"/>
        <v>54038</v>
      </c>
      <c r="F19" s="1688">
        <f t="shared" si="4"/>
        <v>107626</v>
      </c>
      <c r="G19" s="1688">
        <f t="shared" si="4"/>
        <v>88035</v>
      </c>
      <c r="H19" s="1688">
        <f t="shared" si="4"/>
        <v>50666</v>
      </c>
      <c r="I19" s="468"/>
      <c r="J19" s="1688">
        <f>SUM(J17:J18)</f>
        <v>245339</v>
      </c>
      <c r="K19" s="1688">
        <f>SUM(K17:K18)</f>
        <v>0</v>
      </c>
      <c r="L19" s="347"/>
    </row>
    <row r="20" spans="1:12" ht="16.5" thickTop="1" thickBot="1" x14ac:dyDescent="0.25">
      <c r="A20" s="2126" t="s">
        <v>1655</v>
      </c>
      <c r="B20" s="2127"/>
      <c r="C20" s="1746">
        <f>C8-C17</f>
        <v>164900</v>
      </c>
      <c r="D20" s="1746">
        <f t="shared" ref="D20:K20" si="5">D8-D17</f>
        <v>11442</v>
      </c>
      <c r="E20" s="1746">
        <f t="shared" si="5"/>
        <v>-8552</v>
      </c>
      <c r="F20" s="1746">
        <f t="shared" si="5"/>
        <v>62110</v>
      </c>
      <c r="G20" s="1746">
        <f t="shared" si="5"/>
        <v>-20325</v>
      </c>
      <c r="H20" s="1746">
        <f t="shared" si="5"/>
        <v>19299</v>
      </c>
      <c r="I20" s="1746">
        <f t="shared" si="5"/>
        <v>30897</v>
      </c>
      <c r="J20" s="1746">
        <f t="shared" si="5"/>
        <v>24862</v>
      </c>
      <c r="K20" s="1746">
        <f t="shared" si="5"/>
        <v>26267</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v>13192</v>
      </c>
      <c r="D43" s="467"/>
      <c r="E43" s="467"/>
      <c r="F43" s="467"/>
      <c r="G43" s="467"/>
      <c r="H43" s="467"/>
      <c r="I43" s="467"/>
      <c r="J43" s="467"/>
      <c r="K43" s="467"/>
      <c r="L43" s="524"/>
    </row>
    <row r="44" spans="1:12" s="485" customFormat="1" ht="13.5" customHeight="1" thickBot="1" x14ac:dyDescent="0.25">
      <c r="A44" s="2140" t="s">
        <v>374</v>
      </c>
      <c r="B44" s="2141"/>
      <c r="C44" s="1703">
        <f>SUM(C24:C43)</f>
        <v>13192</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6" t="s">
        <v>440</v>
      </c>
      <c r="B76" s="2117"/>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8" t="s">
        <v>1177</v>
      </c>
      <c r="B77" s="2119"/>
      <c r="C77" s="1703">
        <f t="shared" ref="C77:K77" si="8">C44-C76</f>
        <v>13192</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2" t="s">
        <v>597</v>
      </c>
      <c r="B78" s="2123"/>
      <c r="C78" s="1702">
        <f t="shared" ref="C78:K78" si="9">C20+C77</f>
        <v>178092</v>
      </c>
      <c r="D78" s="1702">
        <f t="shared" si="9"/>
        <v>11442</v>
      </c>
      <c r="E78" s="1702">
        <f t="shared" si="9"/>
        <v>-8552</v>
      </c>
      <c r="F78" s="1702">
        <f t="shared" si="9"/>
        <v>62110</v>
      </c>
      <c r="G78" s="1702">
        <f t="shared" si="9"/>
        <v>-20325</v>
      </c>
      <c r="H78" s="1702">
        <f t="shared" si="9"/>
        <v>19299</v>
      </c>
      <c r="I78" s="1702">
        <f t="shared" si="9"/>
        <v>30897</v>
      </c>
      <c r="J78" s="1702">
        <f t="shared" si="9"/>
        <v>24862</v>
      </c>
      <c r="K78" s="1702">
        <f t="shared" si="9"/>
        <v>26267</v>
      </c>
      <c r="L78" s="533"/>
    </row>
    <row r="79" spans="1:12" ht="13.5" thickTop="1" x14ac:dyDescent="0.2">
      <c r="A79" s="1494" t="s">
        <v>1948</v>
      </c>
      <c r="B79" s="534"/>
      <c r="C79" s="478">
        <v>1574130</v>
      </c>
      <c r="D79" s="535">
        <v>299064</v>
      </c>
      <c r="E79" s="535">
        <v>38208</v>
      </c>
      <c r="F79" s="535">
        <v>323372</v>
      </c>
      <c r="G79" s="535">
        <v>11173</v>
      </c>
      <c r="H79" s="535">
        <v>71183</v>
      </c>
      <c r="I79" s="535">
        <v>530874</v>
      </c>
      <c r="J79" s="535">
        <v>3021</v>
      </c>
      <c r="K79" s="535">
        <v>120146</v>
      </c>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1949</v>
      </c>
      <c r="B81" s="2121"/>
      <c r="C81" s="1688">
        <f>(SUM(C78:C80))</f>
        <v>1752222</v>
      </c>
      <c r="D81" s="1688">
        <f>SUM(D78:D80)</f>
        <v>310506</v>
      </c>
      <c r="E81" s="1688">
        <f t="shared" ref="E81:K81" si="10">SUM(E78:E80)</f>
        <v>29656</v>
      </c>
      <c r="F81" s="1688">
        <f t="shared" si="10"/>
        <v>385482</v>
      </c>
      <c r="G81" s="1688">
        <f t="shared" si="10"/>
        <v>-9152</v>
      </c>
      <c r="H81" s="1688">
        <f t="shared" si="10"/>
        <v>90482</v>
      </c>
      <c r="I81" s="1688">
        <f t="shared" si="10"/>
        <v>561771</v>
      </c>
      <c r="J81" s="1688">
        <f t="shared" si="10"/>
        <v>27883</v>
      </c>
      <c r="K81" s="1688">
        <f t="shared" si="10"/>
        <v>146413</v>
      </c>
      <c r="L81" s="347"/>
    </row>
    <row r="82" spans="1:12" ht="0.75" customHeight="1" thickTop="1" thickBot="1" x14ac:dyDescent="0.25">
      <c r="A82" s="536" t="s">
        <v>343</v>
      </c>
      <c r="B82" s="537"/>
      <c r="C82" s="538">
        <f>(C81-C79)</f>
        <v>178092</v>
      </c>
      <c r="D82" s="538">
        <f t="shared" ref="D82:K82" si="11">(D81-D79)</f>
        <v>11442</v>
      </c>
      <c r="E82" s="538">
        <f t="shared" si="11"/>
        <v>-8552</v>
      </c>
      <c r="F82" s="538">
        <f t="shared" si="11"/>
        <v>62110</v>
      </c>
      <c r="G82" s="538">
        <f t="shared" si="11"/>
        <v>-20325</v>
      </c>
      <c r="H82" s="538">
        <f t="shared" si="11"/>
        <v>19299</v>
      </c>
      <c r="I82" s="538">
        <f t="shared" si="11"/>
        <v>30897</v>
      </c>
      <c r="J82" s="538">
        <f t="shared" si="11"/>
        <v>24862</v>
      </c>
      <c r="K82" s="538">
        <f t="shared" si="11"/>
        <v>26267</v>
      </c>
    </row>
    <row r="83" spans="1:12" ht="14.25" hidden="1" thickTop="1" thickBot="1" x14ac:dyDescent="0.25">
      <c r="A83" s="539" t="s">
        <v>344</v>
      </c>
      <c r="B83" s="464"/>
      <c r="C83" s="540">
        <f>C82/C81</f>
        <v>0.10163780616839647</v>
      </c>
      <c r="D83" s="540">
        <f t="shared" ref="D83:K83" si="12">D82/D81</f>
        <v>3.6849529477691254E-2</v>
      </c>
      <c r="E83" s="540">
        <f t="shared" si="12"/>
        <v>-0.28837334772052875</v>
      </c>
      <c r="F83" s="540">
        <f t="shared" si="12"/>
        <v>0.1611229577515941</v>
      </c>
      <c r="G83" s="540">
        <f t="shared" si="12"/>
        <v>2.2208260489510487</v>
      </c>
      <c r="H83" s="540">
        <f t="shared" si="12"/>
        <v>0.21329104131208418</v>
      </c>
      <c r="I83" s="540">
        <f t="shared" si="12"/>
        <v>5.4999279065669107E-2</v>
      </c>
      <c r="J83" s="540">
        <f t="shared" si="12"/>
        <v>0.89165441308324067</v>
      </c>
      <c r="K83" s="540">
        <f t="shared" si="12"/>
        <v>0.17940346827126005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notes are an intergral part of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F65" sqref="F6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1018304</v>
      </c>
      <c r="D5" s="481">
        <v>131225</v>
      </c>
      <c r="E5" s="466">
        <v>21181</v>
      </c>
      <c r="F5" s="548">
        <v>97374</v>
      </c>
      <c r="G5" s="466">
        <v>33575</v>
      </c>
      <c r="H5" s="466"/>
      <c r="I5" s="466">
        <v>26245</v>
      </c>
      <c r="J5" s="467">
        <v>269985</v>
      </c>
      <c r="K5" s="466">
        <v>26245</v>
      </c>
    </row>
    <row r="6" spans="1:12" ht="15" x14ac:dyDescent="0.2">
      <c r="A6" s="463" t="s">
        <v>1662</v>
      </c>
      <c r="B6" s="470">
        <v>1130</v>
      </c>
      <c r="C6" s="466">
        <v>26245</v>
      </c>
      <c r="D6" s="466"/>
      <c r="E6" s="475"/>
      <c r="F6" s="475"/>
      <c r="G6" s="468"/>
      <c r="H6" s="468"/>
      <c r="I6" s="468"/>
      <c r="J6" s="468"/>
      <c r="K6" s="468"/>
    </row>
    <row r="7" spans="1:12" x14ac:dyDescent="0.2">
      <c r="A7" s="463" t="s">
        <v>110</v>
      </c>
      <c r="B7" s="549">
        <v>1140</v>
      </c>
      <c r="C7" s="466">
        <v>10499</v>
      </c>
      <c r="D7" s="466"/>
      <c r="E7" s="468"/>
      <c r="F7" s="467"/>
      <c r="G7" s="467"/>
      <c r="H7" s="467"/>
      <c r="I7" s="468"/>
      <c r="J7" s="468"/>
      <c r="K7" s="468"/>
    </row>
    <row r="8" spans="1:12" x14ac:dyDescent="0.2">
      <c r="A8" s="463" t="s">
        <v>413</v>
      </c>
      <c r="B8" s="470">
        <v>1150</v>
      </c>
      <c r="C8" s="475"/>
      <c r="D8" s="475"/>
      <c r="E8" s="477"/>
      <c r="F8" s="477"/>
      <c r="G8" s="481">
        <v>33575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1055048</v>
      </c>
      <c r="D12" s="1707">
        <f t="shared" si="0"/>
        <v>131225</v>
      </c>
      <c r="E12" s="1707">
        <f t="shared" si="0"/>
        <v>21181</v>
      </c>
      <c r="F12" s="1707">
        <f t="shared" si="0"/>
        <v>97374</v>
      </c>
      <c r="G12" s="1707">
        <f t="shared" si="0"/>
        <v>67150</v>
      </c>
      <c r="H12" s="1707">
        <f t="shared" si="0"/>
        <v>0</v>
      </c>
      <c r="I12" s="1707">
        <f t="shared" si="0"/>
        <v>26245</v>
      </c>
      <c r="J12" s="1707">
        <f t="shared" si="0"/>
        <v>269985</v>
      </c>
      <c r="K12" s="1688">
        <f t="shared" si="0"/>
        <v>26245</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10795</v>
      </c>
      <c r="D16" s="466">
        <v>58720</v>
      </c>
      <c r="E16" s="466"/>
      <c r="F16" s="466"/>
      <c r="G16" s="466">
        <v>500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10795</v>
      </c>
      <c r="D18" s="1710">
        <f t="shared" ref="D18:K18" si="1">SUM(D14:D17)</f>
        <v>58720</v>
      </c>
      <c r="E18" s="1710">
        <f t="shared" si="1"/>
        <v>0</v>
      </c>
      <c r="F18" s="1710">
        <f t="shared" si="1"/>
        <v>0</v>
      </c>
      <c r="G18" s="1710">
        <f t="shared" si="1"/>
        <v>500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14757</v>
      </c>
      <c r="D65" s="466">
        <v>2802</v>
      </c>
      <c r="E65" s="466">
        <v>68</v>
      </c>
      <c r="F65" s="467">
        <v>3522</v>
      </c>
      <c r="G65" s="466">
        <v>60</v>
      </c>
      <c r="H65" s="466"/>
      <c r="I65" s="466">
        <v>4652</v>
      </c>
      <c r="J65" s="467">
        <v>216</v>
      </c>
      <c r="K65" s="466">
        <v>22</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14757</v>
      </c>
      <c r="D67" s="1688">
        <f t="shared" ref="D67:K67" si="2">SUM(D65:D66)</f>
        <v>2802</v>
      </c>
      <c r="E67" s="1688">
        <f t="shared" si="2"/>
        <v>68</v>
      </c>
      <c r="F67" s="1688">
        <f t="shared" si="2"/>
        <v>3522</v>
      </c>
      <c r="G67" s="1688">
        <f t="shared" si="2"/>
        <v>60</v>
      </c>
      <c r="H67" s="1688">
        <f t="shared" si="2"/>
        <v>0</v>
      </c>
      <c r="I67" s="1688">
        <f t="shared" si="2"/>
        <v>4652</v>
      </c>
      <c r="J67" s="1688">
        <f t="shared" si="2"/>
        <v>216</v>
      </c>
      <c r="K67" s="1688">
        <f t="shared" si="2"/>
        <v>22</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53231</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53231</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8515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57678</v>
      </c>
      <c r="D81" s="466"/>
      <c r="E81" s="468"/>
      <c r="F81" s="468"/>
      <c r="G81" s="468"/>
      <c r="H81" s="468"/>
      <c r="I81" s="468"/>
      <c r="J81" s="468"/>
      <c r="K81" s="468"/>
    </row>
    <row r="82" spans="1:11" ht="12.75" customHeight="1" thickBot="1" x14ac:dyDescent="0.25">
      <c r="A82" s="1708" t="s">
        <v>241</v>
      </c>
      <c r="B82" s="1709"/>
      <c r="C82" s="1707">
        <f>SUM(C77:C81)</f>
        <v>66193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15721</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15721</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24237</v>
      </c>
      <c r="F103" s="468"/>
      <c r="G103" s="468"/>
      <c r="H103" s="489">
        <v>69965</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633</v>
      </c>
      <c r="D107" s="466">
        <v>2722</v>
      </c>
      <c r="E107" s="466"/>
      <c r="F107" s="466"/>
      <c r="G107" s="466"/>
      <c r="H107" s="466"/>
      <c r="I107" s="466"/>
      <c r="J107" s="467"/>
      <c r="K107" s="466"/>
    </row>
    <row r="108" spans="1:12" ht="12.75" customHeight="1" thickBot="1" x14ac:dyDescent="0.25">
      <c r="A108" s="1708" t="s">
        <v>487</v>
      </c>
      <c r="B108" s="1712"/>
      <c r="C108" s="1707">
        <f>SUM(C95:C107)</f>
        <v>633</v>
      </c>
      <c r="D108" s="1707">
        <f t="shared" ref="D108:K108" si="3">SUM(D95:D107)</f>
        <v>2722</v>
      </c>
      <c r="E108" s="1707">
        <f t="shared" si="3"/>
        <v>24237</v>
      </c>
      <c r="F108" s="1707">
        <f t="shared" si="3"/>
        <v>0</v>
      </c>
      <c r="G108" s="1707">
        <f t="shared" si="3"/>
        <v>0</v>
      </c>
      <c r="H108" s="1707">
        <f t="shared" si="3"/>
        <v>69965</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1216378</v>
      </c>
      <c r="D109" s="1715">
        <f t="shared" si="4"/>
        <v>195469</v>
      </c>
      <c r="E109" s="1715">
        <f t="shared" si="4"/>
        <v>45486</v>
      </c>
      <c r="F109" s="1715">
        <f t="shared" si="4"/>
        <v>100896</v>
      </c>
      <c r="G109" s="1715">
        <f t="shared" si="4"/>
        <v>67710</v>
      </c>
      <c r="H109" s="1715">
        <f t="shared" si="4"/>
        <v>69965</v>
      </c>
      <c r="I109" s="1715">
        <f t="shared" si="4"/>
        <v>30897</v>
      </c>
      <c r="J109" s="1715">
        <f t="shared" si="4"/>
        <v>270201</v>
      </c>
      <c r="K109" s="1702">
        <f t="shared" si="4"/>
        <v>26267</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732300</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732300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11891</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63565</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75456</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438</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47581</v>
      </c>
      <c r="G152" s="467"/>
      <c r="H152" s="468"/>
      <c r="I152" s="468"/>
      <c r="J152" s="468"/>
      <c r="K152" s="468"/>
    </row>
    <row r="153" spans="1:11" ht="12.75" customHeight="1" x14ac:dyDescent="0.2">
      <c r="A153" s="463" t="s">
        <v>1057</v>
      </c>
      <c r="B153" s="562">
        <v>3510</v>
      </c>
      <c r="C153" s="551"/>
      <c r="D153" s="466"/>
      <c r="E153" s="561"/>
      <c r="F153" s="466">
        <v>21259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68840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4" t="s">
        <v>398</v>
      </c>
      <c r="B169" s="2145"/>
      <c r="C169" s="1722">
        <f t="shared" ref="C169:K169" si="6">SUM(C132,C141,C145,C146:C150,C155,C156:C167,C168)</f>
        <v>75894</v>
      </c>
      <c r="D169" s="1722">
        <f t="shared" si="6"/>
        <v>0</v>
      </c>
      <c r="E169" s="1722">
        <f t="shared" si="6"/>
        <v>0</v>
      </c>
      <c r="F169" s="1722">
        <f t="shared" si="6"/>
        <v>68840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808194</v>
      </c>
      <c r="D170" s="1715">
        <f t="shared" si="7"/>
        <v>0</v>
      </c>
      <c r="E170" s="1715">
        <f t="shared" si="7"/>
        <v>0</v>
      </c>
      <c r="F170" s="1715">
        <f t="shared" si="7"/>
        <v>68840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35522</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35522</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73398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73398</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6528</v>
      </c>
      <c r="D213" s="466"/>
      <c r="E213" s="468"/>
      <c r="F213" s="466"/>
      <c r="G213" s="466"/>
      <c r="H213" s="468"/>
      <c r="I213" s="468"/>
      <c r="J213" s="468"/>
      <c r="K213" s="468"/>
    </row>
    <row r="214" spans="1:11" ht="12.75" customHeight="1" x14ac:dyDescent="0.2">
      <c r="A214" s="463" t="s">
        <v>1054</v>
      </c>
      <c r="B214" s="470">
        <v>4625</v>
      </c>
      <c r="C214" s="551">
        <v>2196</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8724</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275</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6995</v>
      </c>
      <c r="D263" s="576"/>
      <c r="E263" s="468"/>
      <c r="F263" s="576"/>
      <c r="G263" s="576"/>
      <c r="H263" s="468"/>
      <c r="I263" s="468"/>
      <c r="J263" s="468"/>
      <c r="K263" s="468"/>
    </row>
    <row r="264" spans="1:11" ht="12.75" customHeight="1" thickTop="1" thickBot="1" x14ac:dyDescent="0.25">
      <c r="A264" s="463" t="s">
        <v>377</v>
      </c>
      <c r="B264" s="470">
        <v>4992</v>
      </c>
      <c r="C264" s="575">
        <v>5432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130346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130346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2154918</v>
      </c>
      <c r="D268" s="1715">
        <f t="shared" si="12"/>
        <v>195469</v>
      </c>
      <c r="E268" s="1715">
        <f t="shared" si="12"/>
        <v>45486</v>
      </c>
      <c r="F268" s="1715">
        <f t="shared" si="12"/>
        <v>169736</v>
      </c>
      <c r="G268" s="1715">
        <f t="shared" si="12"/>
        <v>67710</v>
      </c>
      <c r="H268" s="1715">
        <f t="shared" si="12"/>
        <v>69965</v>
      </c>
      <c r="I268" s="1715">
        <f t="shared" si="12"/>
        <v>30897</v>
      </c>
      <c r="J268" s="1715">
        <f t="shared" si="12"/>
        <v>270201</v>
      </c>
      <c r="K268" s="1702">
        <f t="shared" si="12"/>
        <v>26267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notes are an intergral part of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H169" sqref="H16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873238</v>
      </c>
      <c r="D5" s="466">
        <v>130906</v>
      </c>
      <c r="E5" s="466">
        <v>26808</v>
      </c>
      <c r="F5" s="466">
        <v>68541</v>
      </c>
      <c r="G5" s="466">
        <v>23854</v>
      </c>
      <c r="H5" s="466">
        <v>15083</v>
      </c>
      <c r="I5" s="467"/>
      <c r="J5" s="467"/>
      <c r="K5" s="1671">
        <f>SUM(C5:J5)</f>
        <v>1138430</v>
      </c>
      <c r="L5" s="466">
        <v>1167435</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50159</v>
      </c>
      <c r="D7" s="467">
        <v>13</v>
      </c>
      <c r="E7" s="467"/>
      <c r="F7" s="467">
        <v>8804</v>
      </c>
      <c r="G7" s="467"/>
      <c r="H7" s="467"/>
      <c r="I7" s="467"/>
      <c r="J7" s="467"/>
      <c r="K7" s="1671">
        <f t="shared" ref="K7:K32" si="0">SUM(C7:J7)</f>
        <v>58976</v>
      </c>
      <c r="L7" s="466"/>
    </row>
    <row r="8" spans="1:14" x14ac:dyDescent="0.2">
      <c r="A8" s="1504" t="s">
        <v>164</v>
      </c>
      <c r="B8" s="614">
        <v>1200</v>
      </c>
      <c r="C8" s="466">
        <v>116875</v>
      </c>
      <c r="D8" s="466">
        <v>38766</v>
      </c>
      <c r="E8" s="466"/>
      <c r="F8" s="466"/>
      <c r="G8" s="466"/>
      <c r="H8" s="466"/>
      <c r="I8" s="467"/>
      <c r="J8" s="467"/>
      <c r="K8" s="1671">
        <f t="shared" si="0"/>
        <v>155641</v>
      </c>
      <c r="L8" s="466">
        <v>142514</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42446</v>
      </c>
      <c r="D14" s="466">
        <v>496</v>
      </c>
      <c r="E14" s="466">
        <v>8696</v>
      </c>
      <c r="F14" s="466">
        <v>1452</v>
      </c>
      <c r="G14" s="466"/>
      <c r="H14" s="466">
        <v>4159</v>
      </c>
      <c r="I14" s="467"/>
      <c r="J14" s="467"/>
      <c r="K14" s="1671">
        <f t="shared" si="0"/>
        <v>57249</v>
      </c>
      <c r="L14" s="466">
        <v>56200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1082718</v>
      </c>
      <c r="D33" s="1670">
        <f t="shared" ref="D33:L33" si="1">SUM(D5:D32)</f>
        <v>170181</v>
      </c>
      <c r="E33" s="1670">
        <f t="shared" si="1"/>
        <v>35504</v>
      </c>
      <c r="F33" s="1670">
        <f t="shared" si="1"/>
        <v>78797</v>
      </c>
      <c r="G33" s="1670">
        <f t="shared" si="1"/>
        <v>23854</v>
      </c>
      <c r="H33" s="1670">
        <f t="shared" si="1"/>
        <v>19242</v>
      </c>
      <c r="I33" s="1670">
        <f t="shared" si="1"/>
        <v>0</v>
      </c>
      <c r="J33" s="1670">
        <f t="shared" si="1"/>
        <v>0</v>
      </c>
      <c r="K33" s="1670">
        <f t="shared" si="1"/>
        <v>1410296</v>
      </c>
      <c r="L33" s="1670">
        <f t="shared" si="1"/>
        <v>1366149</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0</v>
      </c>
      <c r="F42" s="1670">
        <f t="shared" si="3"/>
        <v>0</v>
      </c>
      <c r="G42" s="1670">
        <f t="shared" si="3"/>
        <v>0</v>
      </c>
      <c r="H42" s="1670">
        <f t="shared" si="3"/>
        <v>0</v>
      </c>
      <c r="I42" s="1670">
        <f t="shared" si="3"/>
        <v>0</v>
      </c>
      <c r="J42" s="1670">
        <f t="shared" si="3"/>
        <v>0</v>
      </c>
      <c r="K42" s="1670">
        <f t="shared" si="3"/>
        <v>0</v>
      </c>
      <c r="L42" s="1670">
        <f t="shared" si="3"/>
        <v>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v>4443</v>
      </c>
      <c r="E44" s="481">
        <v>2000</v>
      </c>
      <c r="F44" s="481"/>
      <c r="G44" s="481"/>
      <c r="H44" s="481"/>
      <c r="I44" s="467"/>
      <c r="J44" s="467"/>
      <c r="K44" s="1672">
        <f>SUM(C44:J44)</f>
        <v>6443</v>
      </c>
      <c r="L44" s="481">
        <v>9000</v>
      </c>
    </row>
    <row r="45" spans="1:14" x14ac:dyDescent="0.2">
      <c r="A45" s="1504" t="s">
        <v>815</v>
      </c>
      <c r="B45" s="614">
        <v>2220</v>
      </c>
      <c r="C45" s="466">
        <v>11381</v>
      </c>
      <c r="D45" s="466">
        <v>611</v>
      </c>
      <c r="E45" s="466"/>
      <c r="F45" s="466"/>
      <c r="G45" s="466"/>
      <c r="H45" s="466"/>
      <c r="I45" s="467"/>
      <c r="J45" s="467"/>
      <c r="K45" s="1672">
        <f>SUM(C45:J45)</f>
        <v>11992</v>
      </c>
      <c r="L45" s="466">
        <v>12100</v>
      </c>
    </row>
    <row r="46" spans="1:14" x14ac:dyDescent="0.2">
      <c r="A46" s="1504" t="s">
        <v>816</v>
      </c>
      <c r="B46" s="614">
        <v>2230</v>
      </c>
      <c r="C46" s="466">
        <v>10847</v>
      </c>
      <c r="D46" s="466">
        <v>2468</v>
      </c>
      <c r="E46" s="466">
        <v>16565</v>
      </c>
      <c r="F46" s="466"/>
      <c r="G46" s="466"/>
      <c r="H46" s="466"/>
      <c r="I46" s="467"/>
      <c r="J46" s="467"/>
      <c r="K46" s="1672">
        <f>SUM(C46:J46)</f>
        <v>29880</v>
      </c>
      <c r="L46" s="466">
        <v>26147</v>
      </c>
    </row>
    <row r="47" spans="1:14" ht="12.75" customHeight="1" thickBot="1" x14ac:dyDescent="0.25">
      <c r="A47" s="1668" t="s">
        <v>561</v>
      </c>
      <c r="B47" s="1669" t="s">
        <v>32</v>
      </c>
      <c r="C47" s="1670">
        <f>SUM(C44:C46)</f>
        <v>22228</v>
      </c>
      <c r="D47" s="1670">
        <f t="shared" ref="D47:K47" si="4">SUM(D44:D46)</f>
        <v>7522</v>
      </c>
      <c r="E47" s="1670">
        <f t="shared" si="4"/>
        <v>18565</v>
      </c>
      <c r="F47" s="1670">
        <f t="shared" si="4"/>
        <v>0</v>
      </c>
      <c r="G47" s="1670">
        <f t="shared" si="4"/>
        <v>0</v>
      </c>
      <c r="H47" s="1670">
        <f t="shared" si="4"/>
        <v>0</v>
      </c>
      <c r="I47" s="1670">
        <f t="shared" si="4"/>
        <v>0</v>
      </c>
      <c r="J47" s="1670">
        <f t="shared" si="4"/>
        <v>0</v>
      </c>
      <c r="K47" s="1670">
        <f t="shared" si="4"/>
        <v>48315</v>
      </c>
      <c r="L47" s="1670">
        <f>SUM(L44:L46)</f>
        <v>47247</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1937</v>
      </c>
      <c r="D49" s="481"/>
      <c r="E49" s="481">
        <v>9436</v>
      </c>
      <c r="F49" s="481">
        <v>1582</v>
      </c>
      <c r="G49" s="481"/>
      <c r="H49" s="481">
        <v>1547</v>
      </c>
      <c r="I49" s="467"/>
      <c r="J49" s="467"/>
      <c r="K49" s="1672">
        <f>SUM(C49:J49)</f>
        <v>14502</v>
      </c>
      <c r="L49" s="481">
        <v>15600</v>
      </c>
    </row>
    <row r="50" spans="1:14" x14ac:dyDescent="0.2">
      <c r="A50" s="1504" t="s">
        <v>818</v>
      </c>
      <c r="B50" s="614">
        <v>2320</v>
      </c>
      <c r="C50" s="466">
        <v>105048</v>
      </c>
      <c r="D50" s="466">
        <v>32332</v>
      </c>
      <c r="E50" s="466">
        <v>4852</v>
      </c>
      <c r="F50" s="466">
        <v>996</v>
      </c>
      <c r="G50" s="466"/>
      <c r="H50" s="466">
        <v>937</v>
      </c>
      <c r="I50" s="467"/>
      <c r="J50" s="467"/>
      <c r="K50" s="1672">
        <f>SUM(C50:J50)</f>
        <v>144165</v>
      </c>
      <c r="L50" s="466">
        <v>148817</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106985</v>
      </c>
      <c r="D53" s="1670">
        <f t="shared" ref="D53:L53" si="5">SUM(D49:D52)</f>
        <v>32332</v>
      </c>
      <c r="E53" s="1670">
        <f t="shared" si="5"/>
        <v>14288</v>
      </c>
      <c r="F53" s="1670">
        <f t="shared" si="5"/>
        <v>2578</v>
      </c>
      <c r="G53" s="1670">
        <f t="shared" si="5"/>
        <v>0</v>
      </c>
      <c r="H53" s="1670">
        <f t="shared" si="5"/>
        <v>2484</v>
      </c>
      <c r="I53" s="1670">
        <f t="shared" si="5"/>
        <v>0</v>
      </c>
      <c r="J53" s="1670">
        <f t="shared" si="5"/>
        <v>0</v>
      </c>
      <c r="K53" s="1670">
        <f t="shared" si="5"/>
        <v>158667</v>
      </c>
      <c r="L53" s="1670">
        <f t="shared" si="5"/>
        <v>164417</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43360</v>
      </c>
      <c r="D55" s="481">
        <v>14698</v>
      </c>
      <c r="E55" s="481"/>
      <c r="F55" s="481"/>
      <c r="G55" s="481"/>
      <c r="H55" s="481">
        <v>740</v>
      </c>
      <c r="I55" s="467"/>
      <c r="J55" s="467"/>
      <c r="K55" s="1672">
        <f>SUM(C55:J55)</f>
        <v>58798</v>
      </c>
      <c r="L55" s="481">
        <v>55200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43360</v>
      </c>
      <c r="D57" s="1674">
        <f t="shared" ref="D57:K57" si="6">SUM(D55:D56)</f>
        <v>14698</v>
      </c>
      <c r="E57" s="1674">
        <f t="shared" si="6"/>
        <v>0</v>
      </c>
      <c r="F57" s="1674">
        <f t="shared" si="6"/>
        <v>0</v>
      </c>
      <c r="G57" s="1674">
        <f t="shared" si="6"/>
        <v>0</v>
      </c>
      <c r="H57" s="1674">
        <f t="shared" si="6"/>
        <v>740</v>
      </c>
      <c r="I57" s="1674">
        <f t="shared" si="6"/>
        <v>0</v>
      </c>
      <c r="J57" s="1674">
        <f t="shared" si="6"/>
        <v>0</v>
      </c>
      <c r="K57" s="1674">
        <f t="shared" si="6"/>
        <v>58798</v>
      </c>
      <c r="L57" s="1670">
        <f>SUM(L55:L56)</f>
        <v>55200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36669</v>
      </c>
      <c r="D60" s="466">
        <v>8378</v>
      </c>
      <c r="E60" s="466">
        <v>562</v>
      </c>
      <c r="F60" s="466">
        <v>17</v>
      </c>
      <c r="G60" s="466"/>
      <c r="H60" s="466"/>
      <c r="I60" s="467"/>
      <c r="J60" s="467"/>
      <c r="K60" s="1672">
        <f t="shared" si="7"/>
        <v>45626</v>
      </c>
      <c r="L60" s="466">
        <v>44865</v>
      </c>
      <c r="M60" s="609"/>
      <c r="N60" s="609"/>
    </row>
    <row r="61" spans="1:14" s="343" customFormat="1" x14ac:dyDescent="0.2">
      <c r="A61" s="1504" t="s">
        <v>197</v>
      </c>
      <c r="B61" s="614">
        <v>2540</v>
      </c>
      <c r="C61" s="466"/>
      <c r="D61" s="466"/>
      <c r="E61" s="466">
        <v>3962</v>
      </c>
      <c r="F61" s="466"/>
      <c r="G61" s="466"/>
      <c r="H61" s="466"/>
      <c r="I61" s="467"/>
      <c r="J61" s="467"/>
      <c r="K61" s="1672">
        <f t="shared" si="7"/>
        <v>3962</v>
      </c>
      <c r="L61" s="466">
        <v>3950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35247</v>
      </c>
      <c r="D63" s="466">
        <v>3835</v>
      </c>
      <c r="E63" s="466">
        <v>924</v>
      </c>
      <c r="F63" s="466">
        <v>45363</v>
      </c>
      <c r="G63" s="466"/>
      <c r="H63" s="466"/>
      <c r="I63" s="467"/>
      <c r="J63" s="467"/>
      <c r="K63" s="1672">
        <f t="shared" si="7"/>
        <v>85369</v>
      </c>
      <c r="L63" s="466">
        <v>79083</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71916</v>
      </c>
      <c r="D65" s="1670">
        <f t="shared" ref="D65:L65" si="8">SUM(D59:D64)</f>
        <v>12213</v>
      </c>
      <c r="E65" s="1670">
        <f t="shared" si="8"/>
        <v>5448</v>
      </c>
      <c r="F65" s="1670">
        <f t="shared" si="8"/>
        <v>45380</v>
      </c>
      <c r="G65" s="1670">
        <f t="shared" si="8"/>
        <v>0</v>
      </c>
      <c r="H65" s="1670">
        <f t="shared" si="8"/>
        <v>0</v>
      </c>
      <c r="I65" s="1670">
        <f t="shared" si="8"/>
        <v>0</v>
      </c>
      <c r="J65" s="1670">
        <f t="shared" si="8"/>
        <v>0</v>
      </c>
      <c r="K65" s="1670">
        <f t="shared" si="8"/>
        <v>134957</v>
      </c>
      <c r="L65" s="1670">
        <f t="shared" si="8"/>
        <v>127898</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244489</v>
      </c>
      <c r="D74" s="1677">
        <f t="shared" ref="D74:K74" si="10">SUM(D42,D47,D53,D57,D65,D72,D73)</f>
        <v>66765</v>
      </c>
      <c r="E74" s="1677">
        <f t="shared" si="10"/>
        <v>38301</v>
      </c>
      <c r="F74" s="1677">
        <f t="shared" si="10"/>
        <v>47958</v>
      </c>
      <c r="G74" s="1677">
        <f t="shared" si="10"/>
        <v>0</v>
      </c>
      <c r="H74" s="1677">
        <f t="shared" si="10"/>
        <v>3224</v>
      </c>
      <c r="I74" s="1677">
        <f t="shared" si="10"/>
        <v>0</v>
      </c>
      <c r="J74" s="1677">
        <f t="shared" si="10"/>
        <v>0</v>
      </c>
      <c r="K74" s="1677">
        <f t="shared" si="10"/>
        <v>400737</v>
      </c>
      <c r="L74" s="1677">
        <f>SUM(L42,L47,L53,L57,L65,L72,L73)</f>
        <v>394762</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1103</v>
      </c>
      <c r="F78" s="616"/>
      <c r="G78" s="616"/>
      <c r="H78" s="634"/>
      <c r="I78" s="477"/>
      <c r="J78" s="477"/>
      <c r="K78" s="1671">
        <f t="shared" ref="K78:K83" si="11">SUM(C78:J78)</f>
        <v>1103</v>
      </c>
      <c r="L78" s="481"/>
    </row>
    <row r="79" spans="1:14" x14ac:dyDescent="0.2">
      <c r="A79" s="1504" t="s">
        <v>304</v>
      </c>
      <c r="B79" s="614">
        <v>4120</v>
      </c>
      <c r="C79" s="616"/>
      <c r="D79" s="616"/>
      <c r="E79" s="466"/>
      <c r="F79" s="616"/>
      <c r="G79" s="616"/>
      <c r="H79" s="466">
        <v>177205</v>
      </c>
      <c r="I79" s="477"/>
      <c r="J79" s="477"/>
      <c r="K79" s="1671">
        <f t="shared" si="11"/>
        <v>177205</v>
      </c>
      <c r="L79" s="466">
        <v>200000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1103</v>
      </c>
      <c r="F84" s="616"/>
      <c r="G84" s="616"/>
      <c r="H84" s="1670">
        <f>SUM(H78:H83)</f>
        <v>177205</v>
      </c>
      <c r="I84" s="477"/>
      <c r="J84" s="477"/>
      <c r="K84" s="1670">
        <f>SUM(K78:K83)</f>
        <v>178308</v>
      </c>
      <c r="L84" s="1670">
        <f>SUM(L78:L83)</f>
        <v>200000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1103</v>
      </c>
      <c r="F102" s="616"/>
      <c r="G102" s="616"/>
      <c r="H102" s="1677">
        <f>SUM(H84,H92,H100,H101)</f>
        <v>177205</v>
      </c>
      <c r="I102" s="477"/>
      <c r="J102" s="477"/>
      <c r="K102" s="1677">
        <f>SUM(K84,K92,K100,K101)</f>
        <v>178308</v>
      </c>
      <c r="L102" s="1677">
        <f>SUM(L84,L92,L100,L101)</f>
        <v>200000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v>677</v>
      </c>
      <c r="I109" s="468"/>
      <c r="J109" s="468"/>
      <c r="K109" s="1671">
        <f>H109</f>
        <v>677</v>
      </c>
      <c r="L109" s="466"/>
      <c r="M109" s="210"/>
      <c r="N109" s="210"/>
    </row>
    <row r="110" spans="1:14" s="597" customFormat="1" ht="12.75" customHeight="1" thickBot="1" x14ac:dyDescent="0.25">
      <c r="A110" s="1668" t="s">
        <v>1102</v>
      </c>
      <c r="B110" s="1675" t="s">
        <v>718</v>
      </c>
      <c r="C110" s="616"/>
      <c r="D110" s="616"/>
      <c r="E110" s="616"/>
      <c r="F110" s="616"/>
      <c r="G110" s="616"/>
      <c r="H110" s="1670">
        <f>SUM(H105:H109)</f>
        <v>677</v>
      </c>
      <c r="I110" s="468"/>
      <c r="J110" s="468"/>
      <c r="K110" s="1670">
        <f>SUM(K105:K109)</f>
        <v>677</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677</v>
      </c>
      <c r="I112" s="468"/>
      <c r="J112" s="468"/>
      <c r="K112" s="1670">
        <f>SUM(K110:K111)</f>
        <v>677</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1327207</v>
      </c>
      <c r="D114" s="1670">
        <f t="shared" ref="D114:K114" si="13">SUM(D33,D74,D75,D102,D112,D113)</f>
        <v>236946</v>
      </c>
      <c r="E114" s="1670">
        <f t="shared" si="13"/>
        <v>74908</v>
      </c>
      <c r="F114" s="1670">
        <f t="shared" si="13"/>
        <v>126755</v>
      </c>
      <c r="G114" s="1670">
        <f t="shared" si="13"/>
        <v>23854</v>
      </c>
      <c r="H114" s="1670">
        <f>SUM(H33,H74,H75,H102,H112,H113)</f>
        <v>200348</v>
      </c>
      <c r="I114" s="1670">
        <f t="shared" si="13"/>
        <v>0</v>
      </c>
      <c r="J114" s="1670">
        <f t="shared" si="13"/>
        <v>0</v>
      </c>
      <c r="K114" s="1670">
        <f t="shared" si="13"/>
        <v>1990018</v>
      </c>
      <c r="L114" s="1670">
        <f>SUM(L33,L74,L75,L102,L112,L113)</f>
        <v>1960911</v>
      </c>
    </row>
    <row r="115" spans="1:14" ht="13.5" thickTop="1" x14ac:dyDescent="0.2">
      <c r="A115" s="2181" t="s">
        <v>996</v>
      </c>
      <c r="B115" s="2182"/>
      <c r="C115" s="618"/>
      <c r="D115" s="618"/>
      <c r="E115" s="618"/>
      <c r="F115" s="618"/>
      <c r="G115" s="618"/>
      <c r="H115" s="618"/>
      <c r="I115" s="618"/>
      <c r="J115" s="618"/>
      <c r="K115" s="1684">
        <f>'Revenues 9-14'!C268-'Expenditures 15-22'!K114</f>
        <v>164900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63006</v>
      </c>
      <c r="D124" s="466">
        <v>9339</v>
      </c>
      <c r="E124" s="466">
        <v>56179</v>
      </c>
      <c r="F124" s="466">
        <v>53010</v>
      </c>
      <c r="G124" s="466">
        <v>2493</v>
      </c>
      <c r="H124" s="466"/>
      <c r="I124" s="467"/>
      <c r="J124" s="467"/>
      <c r="K124" s="1670">
        <f>SUM(C124:J124)</f>
        <v>184027</v>
      </c>
      <c r="L124" s="466">
        <v>151200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63006</v>
      </c>
      <c r="D127" s="1670">
        <f t="shared" ref="D127:L127" si="14">SUM(D122:D126)</f>
        <v>9339</v>
      </c>
      <c r="E127" s="1670">
        <f t="shared" si="14"/>
        <v>56179</v>
      </c>
      <c r="F127" s="1670">
        <f t="shared" si="14"/>
        <v>53010</v>
      </c>
      <c r="G127" s="1670">
        <f t="shared" si="14"/>
        <v>2493</v>
      </c>
      <c r="H127" s="1670">
        <f t="shared" si="14"/>
        <v>0</v>
      </c>
      <c r="I127" s="1670">
        <f t="shared" si="14"/>
        <v>0</v>
      </c>
      <c r="J127" s="1670">
        <f t="shared" si="14"/>
        <v>0</v>
      </c>
      <c r="K127" s="1670">
        <f t="shared" si="14"/>
        <v>184027</v>
      </c>
      <c r="L127" s="1670">
        <f t="shared" si="14"/>
        <v>151200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63006</v>
      </c>
      <c r="D129" s="1677">
        <f t="shared" ref="D129:L129" si="15">SUM(D120,D127,D128)</f>
        <v>9339</v>
      </c>
      <c r="E129" s="1677">
        <f t="shared" si="15"/>
        <v>56179</v>
      </c>
      <c r="F129" s="1677">
        <f t="shared" si="15"/>
        <v>53010</v>
      </c>
      <c r="G129" s="1677">
        <f t="shared" si="15"/>
        <v>2493</v>
      </c>
      <c r="H129" s="1677">
        <f t="shared" si="15"/>
        <v>0</v>
      </c>
      <c r="I129" s="1677">
        <f t="shared" si="15"/>
        <v>0</v>
      </c>
      <c r="J129" s="1677">
        <f t="shared" si="15"/>
        <v>0</v>
      </c>
      <c r="K129" s="1677">
        <f t="shared" si="15"/>
        <v>184027</v>
      </c>
      <c r="L129" s="1677">
        <f t="shared" si="15"/>
        <v>151200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1" t="s">
        <v>620</v>
      </c>
      <c r="B151" s="2153"/>
      <c r="C151" s="1670">
        <f>SUM(C129,C130,C139,C149,C150)</f>
        <v>63006</v>
      </c>
      <c r="D151" s="1670">
        <f t="shared" ref="D151:K151" si="16">SUM(D129,D130,D139,D149,D150)</f>
        <v>9339</v>
      </c>
      <c r="E151" s="1670">
        <f t="shared" si="16"/>
        <v>56179</v>
      </c>
      <c r="F151" s="1670">
        <f t="shared" si="16"/>
        <v>53010</v>
      </c>
      <c r="G151" s="1670">
        <f t="shared" si="16"/>
        <v>2493</v>
      </c>
      <c r="H151" s="1670">
        <f t="shared" si="16"/>
        <v>0</v>
      </c>
      <c r="I151" s="1670">
        <f t="shared" si="16"/>
        <v>0</v>
      </c>
      <c r="J151" s="1670">
        <f t="shared" si="16"/>
        <v>0</v>
      </c>
      <c r="K151" s="1670">
        <f t="shared" si="16"/>
        <v>184027</v>
      </c>
      <c r="L151" s="1670">
        <f>SUM(L129,L130,L139,L149,L150)</f>
        <v>151200</v>
      </c>
    </row>
    <row r="152" spans="1:14" ht="12.75" customHeight="1" thickTop="1" x14ac:dyDescent="0.2">
      <c r="A152" s="2174" t="s">
        <v>1178</v>
      </c>
      <c r="B152" s="2175"/>
      <c r="C152" s="618"/>
      <c r="D152" s="618"/>
      <c r="E152" s="618"/>
      <c r="F152" s="618"/>
      <c r="G152" s="618"/>
      <c r="H152" s="618"/>
      <c r="I152" s="618"/>
      <c r="J152" s="616"/>
      <c r="K152" s="1684">
        <f>'Revenues 9-14'!D268-'Expenditures 15-22'!K151</f>
        <v>11442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3538</v>
      </c>
      <c r="I169" s="616"/>
      <c r="J169" s="616"/>
      <c r="K169" s="1671">
        <f>SUM(C169:H169)</f>
        <v>3538</v>
      </c>
      <c r="L169" s="656">
        <v>7000</v>
      </c>
    </row>
    <row r="170" spans="1:14" ht="33.75" customHeight="1" x14ac:dyDescent="0.2">
      <c r="A170" s="669" t="s">
        <v>1670</v>
      </c>
      <c r="B170" s="671" t="s">
        <v>31</v>
      </c>
      <c r="C170" s="616"/>
      <c r="D170" s="616"/>
      <c r="E170" s="616"/>
      <c r="F170" s="616"/>
      <c r="G170" s="616"/>
      <c r="H170" s="569">
        <v>50000</v>
      </c>
      <c r="I170" s="616"/>
      <c r="J170" s="616"/>
      <c r="K170" s="1671">
        <f>SUM(C170:J170)</f>
        <v>50000</v>
      </c>
      <c r="L170" s="569">
        <v>50000</v>
      </c>
    </row>
    <row r="171" spans="1:14" ht="15.75" customHeight="1" x14ac:dyDescent="0.2">
      <c r="A171" s="621" t="s">
        <v>766</v>
      </c>
      <c r="B171" s="672" t="s">
        <v>84</v>
      </c>
      <c r="C171" s="616"/>
      <c r="D171" s="616"/>
      <c r="E171" s="466"/>
      <c r="F171" s="616"/>
      <c r="G171" s="616"/>
      <c r="H171" s="569">
        <v>500</v>
      </c>
      <c r="I171" s="477"/>
      <c r="J171" s="616"/>
      <c r="K171" s="1671">
        <f>SUM(C171:J171)</f>
        <v>500</v>
      </c>
      <c r="L171" s="569">
        <v>0</v>
      </c>
    </row>
    <row r="172" spans="1:14" ht="12.75" customHeight="1" thickBot="1" x14ac:dyDescent="0.25">
      <c r="A172" s="1668" t="s">
        <v>638</v>
      </c>
      <c r="B172" s="1669" t="s">
        <v>492</v>
      </c>
      <c r="C172" s="616"/>
      <c r="D172" s="616"/>
      <c r="E172" s="1677">
        <f>SUM(E168,E169,E170,E171)</f>
        <v>0</v>
      </c>
      <c r="F172" s="616"/>
      <c r="G172" s="616"/>
      <c r="H172" s="1677">
        <f>SUM(H168,H169,H170,H171)</f>
        <v>54038</v>
      </c>
      <c r="I172" s="638"/>
      <c r="J172" s="616"/>
      <c r="K172" s="1677">
        <f>SUM(K168,K169,K170,K171)</f>
        <v>54038</v>
      </c>
      <c r="L172" s="1677">
        <f>SUM(L168,L169,L170,L171)</f>
        <v>57000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54038</v>
      </c>
      <c r="I174" s="638"/>
      <c r="J174" s="616"/>
      <c r="K174" s="1677">
        <f>SUM(K160,K172,K173)</f>
        <v>54038</v>
      </c>
      <c r="L174" s="1677">
        <f>SUM(L160,L172,L173)</f>
        <v>57000</v>
      </c>
    </row>
    <row r="175" spans="1:14" ht="13.5" thickTop="1" x14ac:dyDescent="0.2">
      <c r="A175" s="2181" t="s">
        <v>996</v>
      </c>
      <c r="B175" s="2182"/>
      <c r="C175" s="616"/>
      <c r="D175" s="616"/>
      <c r="E175" s="616"/>
      <c r="F175" s="616"/>
      <c r="G175" s="616"/>
      <c r="H175" s="618"/>
      <c r="I175" s="616"/>
      <c r="J175" s="616"/>
      <c r="K175" s="1684">
        <f>'Revenues 9-14'!E268-'Expenditures 15-22'!K174</f>
        <v>-8552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6448</v>
      </c>
      <c r="D182" s="466"/>
      <c r="E182" s="466">
        <v>101178</v>
      </c>
      <c r="F182" s="466"/>
      <c r="G182" s="466"/>
      <c r="H182" s="466"/>
      <c r="I182" s="467"/>
      <c r="J182" s="467"/>
      <c r="K182" s="1671">
        <f>SUM(C182:J182)</f>
        <v>107626</v>
      </c>
      <c r="L182" s="466">
        <v>116200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6448</v>
      </c>
      <c r="D184" s="1677">
        <f t="shared" ref="D184:J184" si="17">SUM(D180,D182,D183)</f>
        <v>0</v>
      </c>
      <c r="E184" s="1677">
        <f t="shared" si="17"/>
        <v>101178</v>
      </c>
      <c r="F184" s="1677">
        <f t="shared" si="17"/>
        <v>0</v>
      </c>
      <c r="G184" s="1677">
        <f t="shared" si="17"/>
        <v>0</v>
      </c>
      <c r="H184" s="1677">
        <f t="shared" si="17"/>
        <v>0</v>
      </c>
      <c r="I184" s="1677">
        <f t="shared" si="17"/>
        <v>0</v>
      </c>
      <c r="J184" s="1677">
        <f t="shared" si="17"/>
        <v>0</v>
      </c>
      <c r="K184" s="1677">
        <f>SUM(K180,K182,K183)</f>
        <v>107626</v>
      </c>
      <c r="L184" s="1677">
        <f>SUM(L180, L182:L183)</f>
        <v>116200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6448</v>
      </c>
      <c r="D210" s="1670">
        <f>SUM(D184,D185)</f>
        <v>0</v>
      </c>
      <c r="E210" s="1670">
        <f>SUM(E184,E185,E196)</f>
        <v>101178</v>
      </c>
      <c r="F210" s="1670">
        <f>SUM(F184,F185)</f>
        <v>0</v>
      </c>
      <c r="G210" s="1670">
        <f>SUM(G184,G185)</f>
        <v>0</v>
      </c>
      <c r="H210" s="1670">
        <f>SUM(H184,H185,H196,H208,H209)</f>
        <v>0</v>
      </c>
      <c r="I210" s="1670">
        <f>SUM(I184,I185)</f>
        <v>0</v>
      </c>
      <c r="J210" s="1670">
        <f>SUM(J184,J185)</f>
        <v>0</v>
      </c>
      <c r="K210" s="1671">
        <f>SUM(K184,K185,K196,K208,K209)</f>
        <v>107626</v>
      </c>
      <c r="L210" s="1670">
        <f>SUM(L184,L185,L196,L208,L209)</f>
        <v>116200</v>
      </c>
    </row>
    <row r="211" spans="1:14" ht="13.5" thickTop="1" x14ac:dyDescent="0.2">
      <c r="A211" s="2181" t="s">
        <v>996</v>
      </c>
      <c r="B211" s="2182"/>
      <c r="C211" s="618"/>
      <c r="D211" s="618"/>
      <c r="E211" s="618"/>
      <c r="F211" s="618"/>
      <c r="G211" s="618"/>
      <c r="H211" s="618"/>
      <c r="I211" s="616"/>
      <c r="J211" s="616"/>
      <c r="K211" s="1684">
        <f>'Revenues 9-14'!F268-'Expenditures 15-22'!K210</f>
        <v>62110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17935</v>
      </c>
      <c r="E215" s="616"/>
      <c r="F215" s="616"/>
      <c r="G215" s="616"/>
      <c r="H215" s="616"/>
      <c r="I215" s="616"/>
      <c r="J215" s="616"/>
      <c r="K215" s="1671">
        <f>D215</f>
        <v>17935</v>
      </c>
      <c r="L215" s="466">
        <v>18100</v>
      </c>
    </row>
    <row r="216" spans="1:14" x14ac:dyDescent="0.2">
      <c r="A216" s="1504" t="s">
        <v>163</v>
      </c>
      <c r="B216" s="614" t="s">
        <v>967</v>
      </c>
      <c r="C216" s="616"/>
      <c r="D216" s="467">
        <v>8994</v>
      </c>
      <c r="E216" s="616"/>
      <c r="F216" s="616"/>
      <c r="G216" s="616"/>
      <c r="H216" s="616"/>
      <c r="I216" s="616"/>
      <c r="J216" s="616"/>
      <c r="K216" s="1671">
        <f t="shared" ref="K216:K228" si="19">D216</f>
        <v>8994</v>
      </c>
      <c r="L216" s="466">
        <v>0</v>
      </c>
    </row>
    <row r="217" spans="1:14" x14ac:dyDescent="0.2">
      <c r="A217" s="1504" t="s">
        <v>164</v>
      </c>
      <c r="B217" s="614">
        <v>1200</v>
      </c>
      <c r="C217" s="616"/>
      <c r="D217" s="466">
        <v>11481</v>
      </c>
      <c r="E217" s="616"/>
      <c r="F217" s="616"/>
      <c r="G217" s="616"/>
      <c r="H217" s="616"/>
      <c r="I217" s="616"/>
      <c r="J217" s="616"/>
      <c r="K217" s="1671">
        <f t="shared" si="19"/>
        <v>11481</v>
      </c>
      <c r="L217" s="466">
        <v>10800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1423</v>
      </c>
      <c r="E223" s="616"/>
      <c r="F223" s="616"/>
      <c r="G223" s="616"/>
      <c r="H223" s="616"/>
      <c r="I223" s="616"/>
      <c r="J223" s="616"/>
      <c r="K223" s="1671">
        <f t="shared" si="19"/>
        <v>1423</v>
      </c>
      <c r="L223" s="466">
        <v>1200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39833</v>
      </c>
      <c r="E229" s="616"/>
      <c r="F229" s="616"/>
      <c r="G229" s="616"/>
      <c r="H229" s="616"/>
      <c r="I229" s="616"/>
      <c r="J229" s="616"/>
      <c r="K229" s="1670">
        <f>SUM(K215:K228)</f>
        <v>39833</v>
      </c>
      <c r="L229" s="1670">
        <f>SUM(L215:L228)</f>
        <v>30100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3130</v>
      </c>
      <c r="E241" s="616"/>
      <c r="F241" s="616"/>
      <c r="G241" s="616"/>
      <c r="H241" s="616"/>
      <c r="I241" s="616"/>
      <c r="J241" s="616"/>
      <c r="K241" s="1672">
        <f>D241</f>
        <v>3130</v>
      </c>
      <c r="L241" s="466">
        <v>3100</v>
      </c>
    </row>
    <row r="242" spans="1:12" x14ac:dyDescent="0.2">
      <c r="A242" s="1504" t="s">
        <v>816</v>
      </c>
      <c r="B242" s="614">
        <v>2230</v>
      </c>
      <c r="C242" s="616"/>
      <c r="D242" s="466">
        <v>149</v>
      </c>
      <c r="E242" s="616"/>
      <c r="F242" s="616"/>
      <c r="G242" s="616"/>
      <c r="H242" s="616"/>
      <c r="I242" s="616"/>
      <c r="J242" s="616"/>
      <c r="K242" s="1672">
        <f>D242</f>
        <v>149</v>
      </c>
      <c r="L242" s="466">
        <v>0</v>
      </c>
    </row>
    <row r="243" spans="1:12" ht="12.75" customHeight="1" thickBot="1" x14ac:dyDescent="0.25">
      <c r="A243" s="1694" t="s">
        <v>561</v>
      </c>
      <c r="B243" s="1695">
        <v>2200</v>
      </c>
      <c r="C243" s="616"/>
      <c r="D243" s="1670">
        <f>SUM(D240:D242)</f>
        <v>3279</v>
      </c>
      <c r="E243" s="616"/>
      <c r="F243" s="616"/>
      <c r="G243" s="616"/>
      <c r="H243" s="616"/>
      <c r="I243" s="616"/>
      <c r="J243" s="616"/>
      <c r="K243" s="1670">
        <f>SUM(K240:K242)</f>
        <v>3279</v>
      </c>
      <c r="L243" s="1670">
        <f>SUM(L240:L242)</f>
        <v>3100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148</v>
      </c>
      <c r="E245" s="616"/>
      <c r="F245" s="616"/>
      <c r="G245" s="616"/>
      <c r="H245" s="616"/>
      <c r="I245" s="616"/>
      <c r="J245" s="616"/>
      <c r="K245" s="1672">
        <f>D245</f>
        <v>148</v>
      </c>
      <c r="L245" s="481">
        <v>150</v>
      </c>
    </row>
    <row r="246" spans="1:12" x14ac:dyDescent="0.2">
      <c r="A246" s="1504" t="s">
        <v>818</v>
      </c>
      <c r="B246" s="614">
        <v>2320</v>
      </c>
      <c r="C246" s="616"/>
      <c r="D246" s="466">
        <v>7998</v>
      </c>
      <c r="E246" s="616"/>
      <c r="F246" s="616"/>
      <c r="G246" s="616"/>
      <c r="H246" s="616"/>
      <c r="I246" s="616"/>
      <c r="J246" s="616"/>
      <c r="K246" s="1672">
        <f t="shared" ref="K246:K256" si="21">D246</f>
        <v>7998</v>
      </c>
      <c r="L246" s="466">
        <v>8300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838</v>
      </c>
      <c r="E254" s="616"/>
      <c r="F254" s="616"/>
      <c r="G254" s="616"/>
      <c r="H254" s="616"/>
      <c r="I254" s="616"/>
      <c r="J254" s="616"/>
      <c r="K254" s="1672">
        <f t="shared" si="21"/>
        <v>838</v>
      </c>
      <c r="L254" s="466">
        <v>600</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8984</v>
      </c>
      <c r="E257" s="616"/>
      <c r="F257" s="616"/>
      <c r="G257" s="616"/>
      <c r="H257" s="616"/>
      <c r="I257" s="616"/>
      <c r="J257" s="616"/>
      <c r="K257" s="1670">
        <f>SUM(K245:K256)</f>
        <v>8984</v>
      </c>
      <c r="L257" s="1670">
        <f>SUM(L245:L256)</f>
        <v>9050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721</v>
      </c>
      <c r="E259" s="616"/>
      <c r="F259" s="616"/>
      <c r="G259" s="616"/>
      <c r="H259" s="616"/>
      <c r="I259" s="616"/>
      <c r="J259" s="616"/>
      <c r="K259" s="1672">
        <f>D259</f>
        <v>721</v>
      </c>
      <c r="L259" s="481">
        <v>900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721</v>
      </c>
      <c r="E261" s="616"/>
      <c r="F261" s="616"/>
      <c r="G261" s="616"/>
      <c r="H261" s="616"/>
      <c r="I261" s="616"/>
      <c r="J261" s="616"/>
      <c r="K261" s="1670">
        <f>SUM(K259:K260)</f>
        <v>721</v>
      </c>
      <c r="L261" s="1670">
        <f>SUM(L259:L260)</f>
        <v>900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8660</v>
      </c>
      <c r="E264" s="616"/>
      <c r="F264" s="616"/>
      <c r="G264" s="616"/>
      <c r="H264" s="616"/>
      <c r="I264" s="616"/>
      <c r="J264" s="616"/>
      <c r="K264" s="1672">
        <f t="shared" ref="K264:K269" si="22">D264</f>
        <v>8660</v>
      </c>
      <c r="L264" s="466">
        <v>8700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13385</v>
      </c>
      <c r="E266" s="616"/>
      <c r="F266" s="616"/>
      <c r="G266" s="616"/>
      <c r="H266" s="616"/>
      <c r="I266" s="616"/>
      <c r="J266" s="616"/>
      <c r="K266" s="1672">
        <f t="shared" si="22"/>
        <v>13385</v>
      </c>
      <c r="L266" s="466">
        <v>13700</v>
      </c>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v>8934</v>
      </c>
      <c r="E268" s="616"/>
      <c r="F268" s="616"/>
      <c r="G268" s="616"/>
      <c r="H268" s="616"/>
      <c r="I268" s="616"/>
      <c r="J268" s="616"/>
      <c r="K268" s="1672">
        <f t="shared" si="22"/>
        <v>8934</v>
      </c>
      <c r="L268" s="466">
        <v>9000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30979</v>
      </c>
      <c r="E270" s="616"/>
      <c r="F270" s="616"/>
      <c r="G270" s="616"/>
      <c r="H270" s="616"/>
      <c r="I270" s="616"/>
      <c r="J270" s="616"/>
      <c r="K270" s="1670">
        <f>SUM(K263:K269)</f>
        <v>30979</v>
      </c>
      <c r="L270" s="1670">
        <f>SUM(L263:L269)</f>
        <v>31400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43963</v>
      </c>
      <c r="E279" s="616"/>
      <c r="F279" s="616"/>
      <c r="G279" s="616"/>
      <c r="H279" s="616"/>
      <c r="I279" s="616"/>
      <c r="J279" s="616"/>
      <c r="K279" s="1677">
        <f>SUM(K238,K243,K257,K261,K270,K277,K278)</f>
        <v>43963</v>
      </c>
      <c r="L279" s="1677">
        <f>SUM(L238,L243,L257,L261,L270,L277,L278)</f>
        <v>44450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v>4239</v>
      </c>
      <c r="E283" s="616"/>
      <c r="F283" s="616"/>
      <c r="G283" s="616"/>
      <c r="H283" s="616"/>
      <c r="I283" s="616"/>
      <c r="J283" s="616"/>
      <c r="K283" s="1671">
        <f>D283</f>
        <v>4239</v>
      </c>
      <c r="L283" s="466">
        <v>2700</v>
      </c>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4239</v>
      </c>
      <c r="E285" s="616"/>
      <c r="F285" s="616"/>
      <c r="G285" s="616"/>
      <c r="H285" s="616"/>
      <c r="I285" s="616"/>
      <c r="J285" s="616"/>
      <c r="K285" s="1670">
        <f>SUM(K282:K284)</f>
        <v>4239</v>
      </c>
      <c r="L285" s="1670">
        <f>SUM(L282:L284)</f>
        <v>2700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2" t="s">
        <v>505</v>
      </c>
      <c r="B295" s="2173"/>
      <c r="C295" s="616"/>
      <c r="D295" s="1670">
        <f>SUM(D229,D279,D280,D285)</f>
        <v>88035</v>
      </c>
      <c r="E295" s="616"/>
      <c r="F295" s="616"/>
      <c r="G295" s="616"/>
      <c r="H295" s="1670">
        <f>H293</f>
        <v>0</v>
      </c>
      <c r="I295" s="616"/>
      <c r="J295" s="616"/>
      <c r="K295" s="1670">
        <f>SUM(K229,K279,K280,K285,K293,K294)</f>
        <v>88035</v>
      </c>
      <c r="L295" s="1670">
        <f>SUM(L229,L279,L280,L285,L293,L294)</f>
        <v>77250</v>
      </c>
    </row>
    <row r="296" spans="1:14" ht="13.5" thickTop="1" x14ac:dyDescent="0.2">
      <c r="A296" s="2181" t="s">
        <v>996</v>
      </c>
      <c r="B296" s="2182"/>
      <c r="C296" s="616"/>
      <c r="D296" s="618"/>
      <c r="E296" s="616"/>
      <c r="F296" s="616"/>
      <c r="G296" s="616"/>
      <c r="H296" s="687"/>
      <c r="I296" s="616"/>
      <c r="J296" s="616"/>
      <c r="K296" s="1684">
        <f>'Revenues 9-14'!G268-'Expenditures 15-22'!K295</f>
        <v>-20325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1477</v>
      </c>
      <c r="F301" s="466"/>
      <c r="G301" s="466">
        <v>49189</v>
      </c>
      <c r="H301" s="466"/>
      <c r="I301" s="467"/>
      <c r="J301" s="467"/>
      <c r="K301" s="1671">
        <f>SUM(C301:J301)</f>
        <v>50666</v>
      </c>
      <c r="L301" s="467">
        <v>47000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1477</v>
      </c>
      <c r="F303" s="1677">
        <f t="shared" si="23"/>
        <v>0</v>
      </c>
      <c r="G303" s="1677">
        <f t="shared" si="23"/>
        <v>49189</v>
      </c>
      <c r="H303" s="1677">
        <f t="shared" si="23"/>
        <v>0</v>
      </c>
      <c r="I303" s="1677">
        <f t="shared" si="23"/>
        <v>0</v>
      </c>
      <c r="J303" s="1677">
        <f t="shared" si="23"/>
        <v>0</v>
      </c>
      <c r="K303" s="1677">
        <f t="shared" si="23"/>
        <v>50666</v>
      </c>
      <c r="L303" s="1677">
        <f t="shared" si="23"/>
        <v>47000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9" t="s">
        <v>277</v>
      </c>
      <c r="B312" s="2170"/>
      <c r="C312" s="1670">
        <f>SUM(C303)</f>
        <v>0</v>
      </c>
      <c r="D312" s="1670">
        <f>SUM(D303)</f>
        <v>0</v>
      </c>
      <c r="E312" s="1670">
        <f>SUM(E303,E310)</f>
        <v>1477</v>
      </c>
      <c r="F312" s="1670">
        <f>SUM(F303)</f>
        <v>0</v>
      </c>
      <c r="G312" s="1670">
        <f>SUM(G303)</f>
        <v>49189</v>
      </c>
      <c r="H312" s="1670">
        <f>SUM(H303,H310)</f>
        <v>0</v>
      </c>
      <c r="I312" s="1670">
        <f>SUM(I303)</f>
        <v>0</v>
      </c>
      <c r="J312" s="1670">
        <f>SUM(J303)</f>
        <v>0</v>
      </c>
      <c r="K312" s="1670">
        <f>SUM(K303,K310,K311)</f>
        <v>50666</v>
      </c>
      <c r="L312" s="1670">
        <f>SUM(L303,L310,L311)</f>
        <v>47000</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19299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12142</v>
      </c>
      <c r="F320" s="467"/>
      <c r="G320" s="467"/>
      <c r="H320" s="467"/>
      <c r="I320" s="467"/>
      <c r="J320" s="467"/>
      <c r="K320" s="1671">
        <f t="shared" ref="K320:K327" si="24">SUM(C320:J320)</f>
        <v>12142</v>
      </c>
      <c r="L320" s="467">
        <v>13000</v>
      </c>
      <c r="M320" s="665"/>
      <c r="N320" s="665"/>
    </row>
    <row r="321" spans="1:14" s="674" customFormat="1" x14ac:dyDescent="0.2">
      <c r="A321" s="1519" t="s">
        <v>300</v>
      </c>
      <c r="B321" s="697" t="s">
        <v>283</v>
      </c>
      <c r="C321" s="467"/>
      <c r="D321" s="467"/>
      <c r="E321" s="467">
        <v>95</v>
      </c>
      <c r="F321" s="467"/>
      <c r="G321" s="467"/>
      <c r="H321" s="467"/>
      <c r="I321" s="467"/>
      <c r="J321" s="467"/>
      <c r="K321" s="1671">
        <f t="shared" si="24"/>
        <v>95</v>
      </c>
      <c r="L321" s="467">
        <v>85</v>
      </c>
      <c r="M321" s="665"/>
      <c r="N321" s="665"/>
    </row>
    <row r="322" spans="1:14" s="674" customFormat="1" x14ac:dyDescent="0.2">
      <c r="A322" s="1519" t="s">
        <v>238</v>
      </c>
      <c r="B322" s="697" t="s">
        <v>284</v>
      </c>
      <c r="C322" s="467"/>
      <c r="D322" s="467"/>
      <c r="E322" s="467">
        <v>11622</v>
      </c>
      <c r="F322" s="467"/>
      <c r="G322" s="467"/>
      <c r="H322" s="467"/>
      <c r="I322" s="467"/>
      <c r="J322" s="467"/>
      <c r="K322" s="1671">
        <f t="shared" si="24"/>
        <v>11622</v>
      </c>
      <c r="L322" s="467">
        <v>11000</v>
      </c>
      <c r="M322" s="665"/>
      <c r="N322" s="665"/>
    </row>
    <row r="323" spans="1:14" s="674" customFormat="1" x14ac:dyDescent="0.2">
      <c r="A323" s="1519" t="s">
        <v>702</v>
      </c>
      <c r="B323" s="697" t="s">
        <v>285</v>
      </c>
      <c r="C323" s="467"/>
      <c r="D323" s="467"/>
      <c r="E323" s="467">
        <v>13744</v>
      </c>
      <c r="F323" s="467"/>
      <c r="G323" s="467">
        <v>6184</v>
      </c>
      <c r="H323" s="467"/>
      <c r="I323" s="467"/>
      <c r="J323" s="467"/>
      <c r="K323" s="1671">
        <f t="shared" si="24"/>
        <v>19928</v>
      </c>
      <c r="L323" s="467">
        <v>18000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186923</v>
      </c>
      <c r="D325" s="467"/>
      <c r="E325" s="467"/>
      <c r="F325" s="467"/>
      <c r="G325" s="467"/>
      <c r="H325" s="467"/>
      <c r="I325" s="467"/>
      <c r="J325" s="467"/>
      <c r="K325" s="1671">
        <f t="shared" si="24"/>
        <v>186923</v>
      </c>
      <c r="L325" s="467">
        <v>210000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2559</v>
      </c>
      <c r="F327" s="467"/>
      <c r="G327" s="467"/>
      <c r="H327" s="467"/>
      <c r="I327" s="467"/>
      <c r="J327" s="467"/>
      <c r="K327" s="1671">
        <f t="shared" si="24"/>
        <v>2559</v>
      </c>
      <c r="L327" s="467">
        <v>2355</v>
      </c>
      <c r="M327" s="665"/>
      <c r="N327" s="665"/>
    </row>
    <row r="328" spans="1:14" s="674" customFormat="1" x14ac:dyDescent="0.2">
      <c r="A328" s="1520" t="s">
        <v>472</v>
      </c>
      <c r="B328" s="690" t="s">
        <v>1132</v>
      </c>
      <c r="C328" s="474"/>
      <c r="D328" s="474"/>
      <c r="E328" s="474">
        <v>12070</v>
      </c>
      <c r="F328" s="474"/>
      <c r="G328" s="474"/>
      <c r="H328" s="474"/>
      <c r="I328" s="474"/>
      <c r="J328" s="474"/>
      <c r="K328" s="1699">
        <f>SUM(C328:J328)</f>
        <v>12070</v>
      </c>
      <c r="L328" s="474">
        <v>12000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186923</v>
      </c>
      <c r="D330" s="1670">
        <f t="shared" ref="D330:J330" si="25">SUM(D319:D329)</f>
        <v>0</v>
      </c>
      <c r="E330" s="1670">
        <f t="shared" si="25"/>
        <v>52232</v>
      </c>
      <c r="F330" s="1670">
        <f t="shared" si="25"/>
        <v>0</v>
      </c>
      <c r="G330" s="1670">
        <f t="shared" si="25"/>
        <v>6184</v>
      </c>
      <c r="H330" s="1670">
        <f t="shared" si="25"/>
        <v>0</v>
      </c>
      <c r="I330" s="1670">
        <f t="shared" si="25"/>
        <v>0</v>
      </c>
      <c r="J330" s="1670">
        <f t="shared" si="25"/>
        <v>0</v>
      </c>
      <c r="K330" s="1670">
        <f>SUM(K319:K329)</f>
        <v>245339</v>
      </c>
      <c r="L330" s="1670">
        <f>SUM(L319:L329)</f>
        <v>266440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186923</v>
      </c>
      <c r="D342" s="1670">
        <f>SUM(D330)</f>
        <v>0</v>
      </c>
      <c r="E342" s="1670">
        <f>SUM(E330)</f>
        <v>52232</v>
      </c>
      <c r="F342" s="1670">
        <f>SUM(F330)</f>
        <v>0</v>
      </c>
      <c r="G342" s="1670">
        <f>SUM(G330)</f>
        <v>6184</v>
      </c>
      <c r="H342" s="1670">
        <f>SUM(H330,H334,H340)</f>
        <v>0</v>
      </c>
      <c r="I342" s="1670">
        <f>SUM(I330)</f>
        <v>0</v>
      </c>
      <c r="J342" s="1670">
        <f>SUM(J330)</f>
        <v>0</v>
      </c>
      <c r="K342" s="1670">
        <f>SUM(K330,K334,K340)</f>
        <v>245339</v>
      </c>
      <c r="L342" s="1677">
        <f>SUM(L330,L340,L341)</f>
        <v>266440</v>
      </c>
    </row>
    <row r="343" spans="1:14" ht="12.75" customHeight="1" thickTop="1" x14ac:dyDescent="0.2">
      <c r="A343" s="2167" t="s">
        <v>996</v>
      </c>
      <c r="B343" s="2168"/>
      <c r="C343" s="616"/>
      <c r="D343" s="616"/>
      <c r="E343" s="616"/>
      <c r="F343" s="616"/>
      <c r="G343" s="616"/>
      <c r="H343" s="616"/>
      <c r="I343" s="616"/>
      <c r="J343" s="616"/>
      <c r="K343" s="1684">
        <f>'Revenues 9-14'!J268-'Expenditures 15-22'!K342</f>
        <v>24862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5000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5000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5000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5000</v>
      </c>
    </row>
    <row r="368" spans="1:14" ht="13.5" thickTop="1" x14ac:dyDescent="0.2">
      <c r="A368" s="2181" t="s">
        <v>996</v>
      </c>
      <c r="B368" s="2182"/>
      <c r="C368" s="654"/>
      <c r="D368" s="654"/>
      <c r="E368" s="626"/>
      <c r="F368" s="626"/>
      <c r="G368" s="626"/>
      <c r="H368" s="626"/>
      <c r="I368" s="626"/>
      <c r="J368" s="623"/>
      <c r="K368" s="1671">
        <f>'Revenues 9-14'!K268-'Expenditures 15-22'!K367</f>
        <v>26267</v>
      </c>
      <c r="L368" s="654"/>
    </row>
  </sheetData>
  <sheetProtection algorithmName="SHA-512" hashValue="VJbOX8JWL3TtxVCDhV3rojqnB6ovdG+yGqbJekZGx3V7FI28OCZW28LDDMO55hiz4muVB2g+b94RjEpZbzIzhQ==" saltValue="84K9WFCjB/mVbL5asjlyz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notes are an intergral part of the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d21dc803-237d-4c68-8692-8d731fd29118"/>
    <ds:schemaRef ds:uri="6ce3111e-7420-4802-b50a-75d4e9a0b980"/>
    <ds:schemaRef ds:uri="http://www.w3.org/XML/1998/namespace"/>
    <ds:schemaRef ds:uri="http://purl.org/dc/elements/1.1/"/>
    <ds:schemaRef ds:uri="http://purl.org/dc/dcmitype/"/>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4d435f69-8686-490b-bd6d-b153bf22ab50"/>
    <ds:schemaRef ds:uri="http://schemas.microsoft.com/sharepoint/v3"/>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2019-09-22T16:35:28Z</cp:lastPrinted>
  <dcterms:created xsi:type="dcterms:W3CDTF">2003-10-29T19:06:34Z</dcterms:created>
  <dcterms:modified xsi:type="dcterms:W3CDTF">2019-10-31T19:22:03Z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