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A2B46C7-5E96-4352-B31F-AA2B98C279E7}"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3)" sheetId="184" r:id="rId32"/>
    <sheet name="SF&amp;QC Sec-2 (2)" sheetId="183"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31">#REF!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31">#REF!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31">#REF!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31">#REF!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31">#REF!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F20" i="181" s="1"/>
  <c r="E19" i="181"/>
  <c r="F19" i="181" s="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0" i="127"/>
  <c r="B61" i="127"/>
  <c r="E26" i="108"/>
  <c r="D27" i="108"/>
  <c r="E27" i="108"/>
  <c r="F27" i="108"/>
  <c r="G27" i="108"/>
  <c r="F28" i="108"/>
  <c r="F36" i="108"/>
  <c r="G28" i="108"/>
  <c r="G29"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J22" i="37"/>
  <c r="L22" i="37"/>
  <c r="D24" i="37"/>
  <c r="B4270" i="106" s="1"/>
  <c r="D4270" i="106" s="1"/>
  <c r="L5" i="11"/>
  <c r="B2056" i="106" s="1"/>
  <c r="D2056" i="106" s="1"/>
  <c r="B5752" i="106"/>
  <c r="D5752" i="106" s="1"/>
  <c r="D7245" i="106" l="1"/>
  <c r="D22" i="37"/>
  <c r="F65" i="34"/>
  <c r="F46" i="34"/>
  <c r="E38" i="108"/>
  <c r="D31" i="108"/>
  <c r="G26" i="108"/>
  <c r="B7047" i="106"/>
  <c r="D7047" i="106" s="1"/>
  <c r="D6103" i="106"/>
  <c r="B3647" i="106"/>
  <c r="D3647" i="106" s="1"/>
  <c r="K76" i="4"/>
  <c r="B3586" i="106" s="1"/>
  <c r="D3586" i="106" s="1"/>
  <c r="B1274" i="106"/>
  <c r="D1274" i="106" s="1"/>
  <c r="B1124" i="106"/>
  <c r="D1124" i="106" s="1"/>
  <c r="G15" i="145"/>
  <c r="L13" i="11"/>
  <c r="B2060" i="106" s="1"/>
  <c r="D2060" i="106" s="1"/>
  <c r="D69" i="36"/>
  <c r="F19" i="7"/>
  <c r="B1807" i="106" s="1"/>
  <c r="D1807" i="106" s="1"/>
  <c r="G30" i="108"/>
  <c r="C342" i="29"/>
  <c r="B7216" i="106" s="1"/>
  <c r="D7216" i="106" s="1"/>
  <c r="F67" i="34"/>
  <c r="F77" i="4"/>
  <c r="B3255" i="106" s="1"/>
  <c r="D3255" i="106" s="1"/>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5778" i="106" l="1"/>
  <c r="D5778" i="106" s="1"/>
  <c r="G6" i="4"/>
  <c r="B2604" i="106" s="1"/>
  <c r="D2604" i="106" s="1"/>
  <c r="D7254" i="106"/>
  <c r="D7250" i="106"/>
  <c r="L16" i="11"/>
  <c r="B2061" i="106" s="1"/>
  <c r="D2061" i="106" s="1"/>
  <c r="B2031" i="106"/>
  <c r="D2031" i="106" s="1"/>
  <c r="N23" i="3"/>
  <c r="B284" i="106" s="1"/>
  <c r="D284" i="106" s="1"/>
  <c r="L114" i="29"/>
  <c r="D41" i="108"/>
  <c r="E43" i="108" s="1"/>
  <c r="C114" i="29"/>
  <c r="B757" i="106" s="1"/>
  <c r="D757" i="106" s="1"/>
  <c r="K342" i="29"/>
  <c r="F13" i="34"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J78" i="4" s="1"/>
  <c r="B6223" i="106"/>
  <c r="D6223" i="106" s="1"/>
  <c r="J10" i="4"/>
  <c r="B6225" i="106" s="1"/>
  <c r="D6225" i="106"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D78" i="4"/>
  <c r="D10" i="146"/>
  <c r="B6215" i="106"/>
  <c r="D6215" i="106" s="1"/>
  <c r="J41" i="3"/>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F177" i="34" l="1"/>
  <c r="F179" i="34" s="1"/>
  <c r="B3567" i="106"/>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2913" i="106"/>
  <c r="D2913" i="106" s="1"/>
  <c r="D50" i="36"/>
  <c r="B213" i="106"/>
  <c r="D213" i="106" s="1"/>
  <c r="D49" i="36"/>
  <c r="B189" i="106"/>
  <c r="D189" i="106" s="1"/>
  <c r="G41" i="3"/>
  <c r="B170" i="106"/>
  <c r="D170" i="106" s="1"/>
  <c r="F41" i="3"/>
  <c r="B140" i="106"/>
  <c r="D140" i="106" s="1"/>
  <c r="E41" i="3"/>
  <c r="B92" i="106"/>
  <c r="D92" i="106" s="1"/>
  <c r="C41" i="3"/>
  <c r="J16" i="37"/>
  <c r="B4269" i="106" s="1"/>
  <c r="D4269" i="106" s="1"/>
  <c r="D76" i="36"/>
  <c r="B124" i="106"/>
  <c r="D124" i="106" s="1"/>
  <c r="D45" i="36"/>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<sst xmlns="http://schemas.openxmlformats.org/spreadsheetml/2006/main" count="5160" uniqueCount="2123">
  <si>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</si>
  <si>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</si>
  <si>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</si>
  <si>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</si>
  <si>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</si>
  <si>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</si>
  <si>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</si>
  <si>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</si>
  <si>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</si>
  <si>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</si>
  <si>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</si>
  <si>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</si>
  <si>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</si>
  <si>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</si>
  <si>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</si>
  <si>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</si>
  <si>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</si>
  <si>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</si>
  <si>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</si>
  <si>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</si>
  <si>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</si>
  <si>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</si>
  <si>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</si>
  <si>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</si>
  <si>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</si>
  <si>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</si>
  <si>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</si>
  <si>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</si>
  <si>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</si>
  <si>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</si>
  <si>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</si>
  <si>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</si>
  <si>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</si>
  <si>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</si>
  <si>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</si>
  <si>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</si>
  <si>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</si>
  <si>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</si>
  <si>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</si>
  <si>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</si>
  <si>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</si>
  <si>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</si>
  <si>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</si>
  <si>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</si>
  <si>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</si>
  <si>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</si>
  <si>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</si>
  <si>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</si>
  <si>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</si>
  <si>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</si>
  <si>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</si>
  <si>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</si>
  <si>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</si>
  <si>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</si>
  <si>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</si>
  <si>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</si>
  <si>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</si>
  <si>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</si>
  <si>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</si>
  <si>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</si>
  <si>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</si>
  <si>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</si>
  <si>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</si>
  <si>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</si>
  <si>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</si>
  <si>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</si>
  <si>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</si>
  <si>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</si>
  <si>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</si>
  <si>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</si>
  <si>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</si>
  <si>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</si>
  <si>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</si>
  <si>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</si>
  <si>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</si>
  <si>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</si>
  <si>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</si>
  <si>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</si>
  <si>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</si>
  <si>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</si>
  <si>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</si>
  <si>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</si>
  <si>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</si>
  <si>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</si>
  <si>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</si>
  <si>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</si>
  <si>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</si>
  <si>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</si>
  <si>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</si>
  <si>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</si>
  <si>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</si>
  <si>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</si>
  <si>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</si>
  <si>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</si>
  <si>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</si>
  <si>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</si>
  <si>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</si>
  <si>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</si>
  <si>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</si>
  <si>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</si>
  <si>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</si>
  <si>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</si>
  <si>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</si>
  <si>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</si>
  <si>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</si>
  <si>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</si>
  <si>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</si>
  <si>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</si>
  <si>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</si>
  <si>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</si>
  <si>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</si>
  <si>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</si>
  <si>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</si>
  <si>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</si>
  <si>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</si>
  <si>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</si>
  <si>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</si>
  <si>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</si>
  <si>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</si>
  <si>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</si>
  <si>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</si>
  <si>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</si>
  <si>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</si>
  <si>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</si>
  <si>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</si>
  <si>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</si>
  <si>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</si>
  <si>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</si>
  <si>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</si>
  <si>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</si>
  <si>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</si>
  <si>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</si>
  <si>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</si>
  <si>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</si>
  <si>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</si>
  <si>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</si>
  <si>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</si>
  <si>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</si>
  <si>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</si>
  <si>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</si>
  <si>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</si>
  <si>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</si>
  <si>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</si>
  <si>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</si>
  <si>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</si>
  <si>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</si>
  <si>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</si>
  <si>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</si>
  <si>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</si>
  <si>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</si>
  <si>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</si>
  <si>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</si>
  <si>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</si>
  <si>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</si>
  <si>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</si>
  <si>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</si>
  <si>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</si>
  <si>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</si>
  <si>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</si>
  <si>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</si>
  <si>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</si>
  <si>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</si>
  <si>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</si>
  <si>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</si>
  <si>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</si>
  <si>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</si>
  <si>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</si>
  <si>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</si>
  <si>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</si>
  <si>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</si>
  <si>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</si>
  <si>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</si>
  <si>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</si>
  <si>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</si>
  <si>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</si>
  <si>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</si>
  <si>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</si>
  <si>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</si>
  <si>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</si>
  <si>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</si>
  <si>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</si>
  <si>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</si>
  <si>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</si>
  <si>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</si>
  <si>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</si>
  <si>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</si>
  <si>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</si>
  <si>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</si>
  <si>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</si>
  <si>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</si>
  <si>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</si>
  <si>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</si>
  <si>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</si>
  <si>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</si>
  <si>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</si>
  <si>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</si>
  <si>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</si>
  <si>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</si>
  <si>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</si>
  <si>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</si>
  <si>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</si>
  <si>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</si>
  <si>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</si>
  <si>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</si>
  <si>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</si>
  <si>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</si>
  <si>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</si>
  <si>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</si>
  <si>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</si>
  <si>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</si>
  <si>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</si>
  <si>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</si>
  <si>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</si>
  <si>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</si>
  <si>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</si>
  <si>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</si>
  <si>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</si>
  <si>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</si>
  <si>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</si>
  <si>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</si>
  <si>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</si>
  <si>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</si>
  <si>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</si>
  <si>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</si>
  <si>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</si>
  <si>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</si>
  <si>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</si>
  <si>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</si>
  <si>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</si>
  <si>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</si>
  <si>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</si>
  <si>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</si>
  <si>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</si>
  <si>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</si>
  <si>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</si>
  <si>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</si>
  <si>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</si>
  <si>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</si>
  <si>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</si>
  <si>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</si>
  <si>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</si>
  <si>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</si>
  <si>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</si>
  <si>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</si>
  <si>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</si>
  <si>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</si>
  <si>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</si>
  <si>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</si>
  <si>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</si>
  <si>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</si>
  <si>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</si>
  <si>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</si>
  <si>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</si>
  <si>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</si>
  <si>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</si>
  <si>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</si>
  <si>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</si>
  <si>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</si>
  <si>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</si>
  <si>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</si>
  <si>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</si>
  <si>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</si>
  <si>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</si>
  <si>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</si>
  <si>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</si>
  <si>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</si>
  <si>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</si>
  <si>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</si>
  <si>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</si>
  <si>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</si>
  <si>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</si>
  <si>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</si>
  <si>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</si>
  <si>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</si>
  <si>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</si>
  <si>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</si>
  <si>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</si>
  <si>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</si>
  <si>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</si>
  <si>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</si>
  <si>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</si>
  <si>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</si>
  <si>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</si>
  <si>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</si>
  <si>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</si>
  <si>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</si>
  <si>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</si>
  <si>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</si>
  <si>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</si>
  <si>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</si>
  <si>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</si>
  <si>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</si>
  <si>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</si>
  <si>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</si>
  <si>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</si>
  <si>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</si>
  <si>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</si>
  <si>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</si>
  <si>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</si>
  <si>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</si>
  <si>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</si>
  <si>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</si>
  <si>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</si>
  <si>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</si>
  <si>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</si>
  <si>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</si>
  <si>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</si>
  <si>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</si>
  <si>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</si>
  <si>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</si>
  <si>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</si>
  <si>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</si>
  <si>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</si>
  <si>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</si>
  <si>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</si>
  <si>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</si>
  <si>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</si>
  <si>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</si>
  <si>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</si>
  <si>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</si>
  <si>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</si>
  <si>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</si>
  <si>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</si>
  <si>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</si>
  <si>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</si>
  <si>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</si>
  <si>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</si>
  <si>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</si>
  <si>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</si>
  <si>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</si>
  <si>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</si>
  <si>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</si>
  <si>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</si>
  <si>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</si>
  <si>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</si>
  <si>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</si>
  <si>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</si>
  <si>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</si>
  <si>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</si>
  <si>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</si>
  <si>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</si>
  <si>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</si>
  <si>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</si>
  <si>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</si>
  <si>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</si>
  <si>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</si>
  <si>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</si>
  <si>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</si>
  <si>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</si>
  <si>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</si>
  <si>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</si>
  <si>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</si>
  <si>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</si>
  <si>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</si>
  <si>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</si>
  <si>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</si>
  <si>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</si>
  <si>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</si>
  <si>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</si>
  <si>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</si>
  <si>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</si>
  <si>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</si>
  <si>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</si>
  <si>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</si>
  <si>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</si>
  <si>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</si>
  <si>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</si>
  <si>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</si>
  <si>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</si>
  <si>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</si>
  <si>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</si>
  <si>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</si>
  <si>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</si>
  <si>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</si>
  <si>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</si>
  <si>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</si>
  <si>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</si>
  <si>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</si>
  <si>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</si>
  <si>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</si>
  <si>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</si>
  <si>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</si>
  <si>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</si>
  <si>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</si>
  <si>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</si>
  <si>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</si>
  <si>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</si>
  <si>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</si>
  <si>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</si>
  <si>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</si>
  <si>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</si>
  <si>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</si>
  <si>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</si>
  <si>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</si>
  <si>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</si>
  <si>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</si>
  <si>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</si>
  <si>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</si>
  <si>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</si>
  <si>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</si>
  <si>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</si>
  <si>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</si>
  <si>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</si>
  <si>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</si>
  <si>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</si>
  <si>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</si>
  <si>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</si>
  <si>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</si>
  <si>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</si>
  <si>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</si>
  <si>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</si>
  <si>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</si>
  <si>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</si>
  <si>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</si>
  <si>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</si>
  <si>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</si>
  <si>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</si>
  <si>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</si>
  <si>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</si>
  <si>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</si>
  <si>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</si>
  <si>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</si>
  <si>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</si>
  <si>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</si>
  <si>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</si>
  <si>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</si>
  <si>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</si>
  <si>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</si>
  <si>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</si>
  <si>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</si>
  <si>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</si>
  <si>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</si>
  <si>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</si>
  <si>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</si>
  <si>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</si>
  <si>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</si>
  <si>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</si>
  <si>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</si>
  <si>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</si>
  <si>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</si>
  <si>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</si>
  <si>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</si>
  <si>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</si>
  <si>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</si>
  <si>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</si>
  <si>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</si>
  <si>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</si>
  <si>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</si>
  <si>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</si>
  <si>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</si>
  <si>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</si>
  <si>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</si>
  <si>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</si>
  <si>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</si>
  <si>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</si>
  <si>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</si>
  <si>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</si>
  <si>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</si>
  <si>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</si>
  <si>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</si>
  <si>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</si>
  <si>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</si>
  <si>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</si>
  <si>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</si>
  <si>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</si>
  <si>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</si>
  <si>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</si>
  <si>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</si>
  <si>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</si>
  <si>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</si>
  <si>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</si>
  <si>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</si>
  <si>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</si>
  <si>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</si>
  <si>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</si>
  <si>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</si>
  <si>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</si>
  <si>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</si>
  <si>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</si>
  <si>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</si>
  <si>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</si>
  <si>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</si>
  <si>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</si>
  <si>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</si>
  <si>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</si>
  <si>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</si>
  <si>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</si>
  <si>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</si>
  <si>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</si>
  <si>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</si>
  <si>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</si>
  <si>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</si>
  <si>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</si>
  <si>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</si>
  <si>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</si>
  <si>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</si>
  <si>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</si>
  <si>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</si>
  <si>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</si>
  <si>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</si>
  <si>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</si>
  <si>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</si>
  <si>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</si>
  <si>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</si>
  <si>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</si>
  <si>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</si>
  <si>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</si>
  <si>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</si>
  <si>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</si>
  <si>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</si>
  <si>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</si>
  <si>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</si>
  <si>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</si>
  <si>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</si>
  <si>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</si>
  <si>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</si>
  <si>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</si>
  <si>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</si>
  <si>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</si>
  <si>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</si>
  <si>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</si>
  <si>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</si>
  <si>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</si>
  <si>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</si>
  <si>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</si>
  <si>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</si>
  <si>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</si>
  <si>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</si>
  <si>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</si>
  <si>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</si>
  <si>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</si>
  <si>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</si>
  <si>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</si>
  <si>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</si>
  <si>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</si>
  <si>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</si>
  <si>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</si>
  <si>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</si>
  <si>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</si>
  <si>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</si>
  <si>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</si>
  <si>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</si>
  <si>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</si>
  <si>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</si>
  <si>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</si>
  <si>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</si>
  <si>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</si>
  <si>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</si>
  <si>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</si>
  <si>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</si>
  <si>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</si>
  <si>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</si>
  <si>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</si>
  <si>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</si>
  <si>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</si>
  <si>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</si>
  <si>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</si>
  <si>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</si>
  <si>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</si>
  <si>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</si>
  <si>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</si>
  <si>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</si>
  <si>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</si>
  <si>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</si>
  <si>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</si>
  <si>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</si>
  <si>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</si>
  <si>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</si>
  <si>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</si>
  <si>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</si>
  <si>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</si>
  <si>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</si>
  <si>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</si>
  <si>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</si>
  <si>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</si>
  <si>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</si>
  <si>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</si>
  <si>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</si>
  <si>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</si>
  <si>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</si>
  <si>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</si>
  <si>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</si>
  <si>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</si>
  <si>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</si>
  <si>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</si>
  <si>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</si>
  <si>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</si>
  <si>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</si>
  <si>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</si>
  <si>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</si>
  <si>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</si>
  <si>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</si>
  <si>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</si>
  <si>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</si>
  <si>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</si>
  <si>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</si>
  <si>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</si>
  <si>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</si>
  <si>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</si>
  <si>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</si>
  <si>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</si>
  <si>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</si>
  <si>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</si>
  <si>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</si>
  <si>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</si>
  <si>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</si>
  <si>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</si>
  <si>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</si>
  <si>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</si>
  <si>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</si>
  <si>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</si>
  <si>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</si>
  <si>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</si>
  <si>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</si>
  <si>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</si>
  <si>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</si>
  <si>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</si>
  <si>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</si>
  <si>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</si>
  <si>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</si>
  <si>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</si>
  <si>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</si>
  <si>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</si>
  <si>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</si>
  <si>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</si>
  <si>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</si>
  <si>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</si>
  <si>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</si>
  <si>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</si>
  <si>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</si>
  <si>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</si>
  <si>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</si>
  <si>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</si>
  <si>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</si>
  <si>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</si>
  <si>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</si>
  <si>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</si>
  <si>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</si>
  <si>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</si>
  <si>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</si>
  <si>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</si>
  <si>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</si>
  <si>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</si>
  <si>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</si>
  <si>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</si>
  <si>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</si>
  <si>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</si>
  <si>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</si>
  <si>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</si>
  <si>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</si>
  <si>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</si>
  <si>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</si>
  <si>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</si>
  <si>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</si>
  <si>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</si>
  <si>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</si>
  <si>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</si>
  <si>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</si>
  <si>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</si>
  <si>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</si>
  <si>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</si>
  <si>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</si>
  <si>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</si>
  <si>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</si>
  <si>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</si>
  <si>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</si>
  <si>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</si>
  <si>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</si>
  <si>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</si>
  <si>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</si>
  <si>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</si>
  <si>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</si>
  <si>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</si>
  <si>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</si>
  <si>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</si>
  <si>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</si>
  <si>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</si>
  <si>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</si>
  <si>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</si>
  <si>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</si>
  <si>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</si>
  <si>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</si>
  <si>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</si>
  <si>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</si>
  <si>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</si>
  <si>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</si>
  <si>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</si>
  <si>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</si>
  <si>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</si>
  <si>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</si>
  <si>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</si>
  <si>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</si>
  <si>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</si>
  <si>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</si>
  <si>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</si>
  <si>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</si>
  <si>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</si>
  <si>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</si>
  <si>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</si>
  <si>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</si>
  <si>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</si>
  <si>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</si>
  <si>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</si>
  <si>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</si>
  <si>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</si>
  <si>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</si>
  <si>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</si>
  <si>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</si>
  <si>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</si>
  <si>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</si>
  <si>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</si>
  <si>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</si>
  <si>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</si>
  <si>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</si>
  <si>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</si>
  <si>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</si>
  <si>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</si>
  <si>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</si>
  <si>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</si>
  <si>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</si>
  <si>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</si>
  <si>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</si>
  <si>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</si>
  <si>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</si>
  <si>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</si>
  <si>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</si>
  <si>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</si>
  <si>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</si>
  <si>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</si>
  <si>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</si>
  <si>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</si>
  <si>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</si>
  <si>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</si>
  <si>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</si>
  <si>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</si>
  <si>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</si>
  <si>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</si>
  <si>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</si>
  <si>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</si>
  <si>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</si>
  <si>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</si>
  <si>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</si>
  <si>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</si>
  <si>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</si>
  <si>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</si>
  <si>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</si>
  <si>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</si>
  <si>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</si>
  <si>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</si>
  <si>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</si>
  <si>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</si>
  <si>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</si>
  <si>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</si>
  <si>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</si>
  <si>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</si>
  <si>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</si>
  <si>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</si>
  <si>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</si>
  <si>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</si>
  <si>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</si>
  <si>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</si>
  <si>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</si>
  <si>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</si>
  <si>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</si>
  <si>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</si>
  <si>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</si>
  <si>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</si>
  <si>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</si>
  <si>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</si>
  <si>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</si>
  <si>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</si>
  <si>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</si>
  <si>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</si>
  <si>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</si>
  <si>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</si>
  <si>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</si>
  <si>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</si>
  <si>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</si>
  <si>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</si>
  <si>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</si>
  <si>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</si>
  <si>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</si>
  <si>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</si>
  <si>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</si>
  <si>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</si>
  <si>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</si>
  <si>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</si>
  <si>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</si>
  <si>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</si>
  <si>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</si>
  <si>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</si>
  <si>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</si>
  <si>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</si>
  <si>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</si>
  <si>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</si>
  <si>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</si>
  <si>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</si>
  <si>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</si>
  <si>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</si>
  <si>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</si>
  <si>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</si>
  <si>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</si>
  <si>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</si>
  <si>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</si>
  <si>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</si>
  <si>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</si>
  <si>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</si>
  <si>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</si>
  <si>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</si>
  <si>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</si>
  <si>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</si>
  <si>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</si>
  <si>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</si>
  <si>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</si>
  <si>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</si>
  <si>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</si>
  <si>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</si>
  <si>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</si>
  <si>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</si>
  <si>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</si>
  <si>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</si>
  <si>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</si>
  <si>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</si>
  <si>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</si>
  <si>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</si>
  <si>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</si>
  <si>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</si>
  <si>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</si>
  <si>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</si>
  <si>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</si>
  <si>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</si>
  <si>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</si>
  <si>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</si>
  <si>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</si>
  <si>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</si>
  <si>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</si>
  <si>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</si>
  <si>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</si>
  <si>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</si>
  <si>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</si>
  <si>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</si>
  <si>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</si>
  <si>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</si>
  <si>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</si>
  <si>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</si>
  <si>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</si>
  <si>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</si>
  <si>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</si>
  <si>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</si>
  <si>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</si>
  <si>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</si>
  <si>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</si>
  <si>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</si>
  <si>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</si>
  <si>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</si>
  <si>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</si>
  <si>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</si>
  <si>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</si>
  <si>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</si>
  <si>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</si>
  <si>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</si>
  <si>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</si>
  <si>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</si>
  <si>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</si>
  <si>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</si>
  <si>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</si>
  <si>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</si>
  <si>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</si>
  <si>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</si>
  <si>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</si>
  <si>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</si>
  <si>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</si>
  <si>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</si>
  <si>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</si>
  <si>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</si>
  <si>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</si>
  <si>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</si>
  <si>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</si>
  <si>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</si>
  <si>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</si>
  <si>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</si>
  <si>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</si>
  <si>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</si>
  <si>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</si>
  <si>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</si>
  <si>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</si>
  <si>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</si>
  <si>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</si>
  <si>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</si>
  <si>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</si>
  <si>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</si>
  <si>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</si>
  <si>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</si>
  <si>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</si>
  <si>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</si>
  <si>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</si>
  <si>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</si>
  <si>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</si>
  <si>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</si>
  <si>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</si>
  <si>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</si>
  <si>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</si>
  <si>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</si>
  <si>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</si>
  <si>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</si>
  <si>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</si>
  <si>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</si>
  <si>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</si>
  <si>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</si>
  <si>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</si>
  <si>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</si>
  <si>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</si>
  <si>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</si>
  <si>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</si>
  <si>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</si>
  <si>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</si>
  <si>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</si>
  <si>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</si>
  <si>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</si>
  <si>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</si>
  <si>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</si>
  <si>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</si>
  <si>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</si>
  <si>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</si>
  <si>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</si>
  <si>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</si>
  <si>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</si>
  <si>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</si>
  <si>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</si>
  <si>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</si>
  <si>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</si>
  <si>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</si>
  <si>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</si>
  <si>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</si>
  <si>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</si>
  <si>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</si>
  <si>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</si>
  <si>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</si>
  <si>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</si>
  <si>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</si>
  <si>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</si>
  <si>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</si>
  <si>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</si>
  <si>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</si>
  <si>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</si>
  <si>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</si>
  <si>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</si>
  <si>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</si>
  <si>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</si>
  <si>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</si>
  <si>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</si>
  <si>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</si>
  <si>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</si>
  <si>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</si>
  <si>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</si>
  <si>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</si>
  <si>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</si>
  <si>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</si>
  <si>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</si>
  <si>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</si>
  <si>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</si>
  <si>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</si>
  <si>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</si>
  <si>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</si>
  <si>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</si>
  <si>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</si>
  <si>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</si>
  <si>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</si>
  <si>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</si>
  <si>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</si>
  <si>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</si>
  <si>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</si>
  <si>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</si>
  <si>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</si>
  <si>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</si>
  <si>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</si>
  <si>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</si>
  <si>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</si>
  <si>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</si>
  <si>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</si>
  <si>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</si>
  <si>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</si>
  <si>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</si>
  <si>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</si>
  <si>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</si>
  <si>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</si>
  <si>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</si>
  <si>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</si>
  <si>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</si>
  <si>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</si>
  <si>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</si>
  <si>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</si>
  <si>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</si>
  <si>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</si>
  <si>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</si>
  <si>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</si>
  <si>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</si>
  <si>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</si>
  <si>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</si>
  <si>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</si>
  <si>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</si>
  <si>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</si>
  <si>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</si>
  <si>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</si>
  <si>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</si>
  <si>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</si>
  <si>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</si>
  <si>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</si>
  <si>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</si>
  <si>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</si>
  <si>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</si>
  <si>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</si>
  <si>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</si>
  <si>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</si>
  <si>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</si>
  <si>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</si>
  <si>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</si>
  <si>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</si>
  <si>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</si>
  <si>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</si>
  <si>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</si>
  <si>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</si>
  <si>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</si>
  <si>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</si>
  <si>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</si>
  <si>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</si>
  <si>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</si>
  <si>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</si>
  <si>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</si>
  <si>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</si>
  <si>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</si>
  <si>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</si>
  <si>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</si>
  <si>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</si>
  <si>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</si>
  <si>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</si>
  <si>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</si>
  <si>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</si>
  <si>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</si>
  <si>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</si>
  <si>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</si>
  <si>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</si>
  <si>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</si>
  <si>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</si>
  <si>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</si>
  <si>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</si>
  <si>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</si>
  <si>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</si>
  <si>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</si>
  <si>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</si>
  <si>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</si>
  <si>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</si>
  <si>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</si>
  <si>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</si>
  <si>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</si>
  <si>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</si>
  <si>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</si>
  <si>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</si>
  <si>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</si>
  <si>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</si>
  <si>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</si>
  <si>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</si>
  <si>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</si>
  <si>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</si>
  <si>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</si>
  <si>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</si>
  <si>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</si>
  <si>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</si>
  <si>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</si>
  <si>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</si>
  <si>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</si>
  <si>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</si>
  <si>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</si>
  <si>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</si>
  <si>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</si>
  <si>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</si>
  <si>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</si>
  <si>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</si>
  <si>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</si>
  <si>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</si>
  <si>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</si>
  <si>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</si>
  <si>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</si>
  <si>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</si>
  <si>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</si>
  <si>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</si>
  <si>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</si>
  <si>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</si>
  <si>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</si>
  <si>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</si>
  <si>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</si>
  <si>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</si>
  <si>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</si>
  <si>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</si>
  <si>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</si>
  <si>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</si>
  <si>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</si>
  <si>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</si>
  <si>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</si>
  <si>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</si>
  <si>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</si>
  <si>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</si>
  <si>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</si>
  <si>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</si>
  <si>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</si>
  <si>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</si>
  <si>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</si>
  <si>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</si>
  <si>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</si>
  <si>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</si>
  <si>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</si>
  <si>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</si>
  <si>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</si>
  <si>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</si>
  <si>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</si>
  <si>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</si>
  <si>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</si>
  <si>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</si>
  <si>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</si>
  <si>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</si>
  <si>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</si>
  <si>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</si>
  <si>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</si>
  <si>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</si>
  <si>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</si>
  <si>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</si>
  <si>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</si>
  <si>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</si>
  <si>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</si>
  <si>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</si>
  <si>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</si>
  <si>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</si>
  <si>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</si>
  <si>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</si>
  <si>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</si>
  <si>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</si>
  <si>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</si>
  <si>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</si>
  <si>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</si>
  <si>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</si>
  <si>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</si>
  <si>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</si>
  <si>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</si>
  <si>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</si>
  <si>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</si>
  <si>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</si>
  <si>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</si>
  <si>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</si>
  <si>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</si>
  <si>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</si>
  <si>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</si>
  <si>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</si>
  <si>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</si>
  <si>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</si>
  <si>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</si>
  <si>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</si>
  <si>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</si>
  <si>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</si>
  <si>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</si>
  <si>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</si>
  <si>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</si>
  <si>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</si>
  <si>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</si>
  <si>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</si>
  <si>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</si>
  <si>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</si>
  <si>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</si>
  <si>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</si>
  <si>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</si>
  <si>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</si>
  <si>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</si>
  <si>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</si>
  <si>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</si>
  <si>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</si>
  <si>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</si>
  <si>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</si>
  <si>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</si>
  <si>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</si>
  <si>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</si>
  <si>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</si>
  <si>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</si>
  <si>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</si>
  <si>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</si>
  <si>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</si>
  <si>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</si>
  <si>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</si>
  <si>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</si>
  <si>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</si>
  <si>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</si>
  <si>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</si>
  <si>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</si>
  <si>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</si>
  <si>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</si>
  <si>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</si>
  <si>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</si>
  <si>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</si>
  <si>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</si>
  <si>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</si>
  <si>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</si>
  <si>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</si>
  <si>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</si>
  <si>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</si>
  <si>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</si>
  <si>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</si>
  <si>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</si>
  <si>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</si>
  <si>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</si>
  <si>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</si>
  <si>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</si>
  <si>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</si>
  <si>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</si>
  <si>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</si>
  <si>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</si>
  <si>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</si>
  <si>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</si>
  <si>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</si>
  <si>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</si>
  <si>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</si>
  <si>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</si>
  <si>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</si>
  <si>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</si>
  <si>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</si>
  <si>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</si>
  <si>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</si>
  <si>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</si>
  <si>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</si>
  <si>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</si>
  <si>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</si>
  <si>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</si>
  <si>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</si>
  <si>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</si>
  <si>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</si>
  <si>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</si>
  <si>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</si>
  <si>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</si>
  <si>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</si>
  <si>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</si>
  <si>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</si>
  <si>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</si>
  <si>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</si>
  <si>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</si>
  <si>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</si>
  <si>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</si>
  <si>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</si>
  <si>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</si>
  <si>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</si>
  <si>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</si>
  <si>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</si>
  <si>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</si>
  <si>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</si>
  <si>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</si>
  <si>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</si>
  <si>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</si>
  <si>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</si>
  <si>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</si>
  <si>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</si>
  <si>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</si>
  <si>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</si>
  <si>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</si>
  <si>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</si>
  <si>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</si>
  <si>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</si>
  <si>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</si>
  <si>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</si>
  <si>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</si>
  <si>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</si>
  <si>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</si>
  <si>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</si>
  <si>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</si>
  <si>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</si>
  <si>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</si>
  <si>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</si>
  <si>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</si>
  <si>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</si>
  <si>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</si>
  <si>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</si>
  <si>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</si>
  <si>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</si>
  <si>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</si>
  <si>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</si>
  <si>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</si>
  <si>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</si>
  <si>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</si>
  <si>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</si>
  <si>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</si>
  <si>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</si>
  <si>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</si>
  <si>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</si>
  <si>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</si>
  <si>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</si>
  <si>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</si>
  <si>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</si>
  <si>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</si>
  <si>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</si>
  <si>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</si>
  <si>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</si>
  <si>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</si>
  <si>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</si>
  <si>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</si>
  <si>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</si>
  <si>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</si>
  <si>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</si>
  <si>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</si>
  <si>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</si>
  <si>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</si>
  <si>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</si>
  <si>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</si>
  <si>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</si>
  <si>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</si>
  <si>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</si>
  <si>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</si>
  <si>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</si>
  <si>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</si>
  <si>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</si>
  <si>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</si>
  <si>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</si>
  <si>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</si>
  <si>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</si>
  <si>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</si>
  <si>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</si>
  <si>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</si>
  <si>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</si>
  <si>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</si>
  <si>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</si>
  <si>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</si>
  <si>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</si>
  <si>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</si>
  <si>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</si>
  <si>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</si>
  <si>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</si>
  <si>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</si>
  <si>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</si>
  <si>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</si>
  <si>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</si>
  <si>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</si>
  <si>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</si>
  <si>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</si>
  <si>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</si>
  <si>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</si>
  <si>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</si>
  <si>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</si>
  <si>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</si>
  <si>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</si>
  <si>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</si>
  <si>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</si>
  <si>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</si>
  <si>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</si>
  <si>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</si>
  <si>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</si>
  <si>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</si>
  <si>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</si>
  <si>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</si>
  <si>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</si>
  <si>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</si>
  <si>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</si>
  <si>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</si>
  <si>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</si>
  <si>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</si>
  <si>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</si>
  <si>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</si>
  <si>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</si>
  <si>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</si>
  <si>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</si>
  <si>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</si>
  <si>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</si>
  <si>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</si>
  <si>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</si>
  <si>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</si>
  <si>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</si>
  <si>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</si>
  <si>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</si>
  <si>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</si>
  <si>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</si>
  <si>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</si>
  <si>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</si>
  <si>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</si>
  <si>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</si>
  <si>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</si>
  <si>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</si>
  <si>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</si>
  <si>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</si>
  <si>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</si>
  <si>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</si>
  <si>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</si>
  <si>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</si>
  <si>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</si>
  <si>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</si>
  <si>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</si>
  <si>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</si>
  <si>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</si>
  <si>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</si>
  <si>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</si>
  <si>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</si>
  <si>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</si>
  <si>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</si>
  <si>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</si>
  <si>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</si>
  <si>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</si>
  <si>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</si>
  <si>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</si>
  <si>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</si>
  <si>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</si>
  <si>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</si>
  <si>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</si>
  <si>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</si>
  <si>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</si>
  <si>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</si>
  <si>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</si>
  <si>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</si>
  <si>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</si>
  <si>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</si>
  <si>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</si>
  <si>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</si>
  <si>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</si>
  <si>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</si>
  <si>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</si>
  <si>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</si>
  <si>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</si>
  <si>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</si>
  <si>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</si>
  <si>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</si>
  <si>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</si>
  <si>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</si>
  <si>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</si>
  <si>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</si>
  <si>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</si>
  <si>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</si>
  <si>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</si>
  <si>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</si>
  <si>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</si>
  <si>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</si>
  <si>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</si>
  <si>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</si>
  <si>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</si>
  <si>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</si>
  <si>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</si>
  <si>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</si>
  <si>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</si>
  <si>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</si>
  <si>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</si>
  <si>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</si>
  <si>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</si>
  <si>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</si>
  <si>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</si>
  <si>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</si>
  <si>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</si>
  <si>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</si>
  <si>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</si>
  <si>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</si>
  <si>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</si>
  <si>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</si>
  <si>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</si>
  <si>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</si>
  <si>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</si>
  <si>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</si>
  <si>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</si>
  <si>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</si>
  <si>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</si>
  <si>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</si>
  <si>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</si>
  <si>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</si>
  <si>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</si>
  <si>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</si>
  <si>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</si>
  <si>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</si>
  <si>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</si>
  <si>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</si>
  <si>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</si>
  <si>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</si>
  <si>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</si>
  <si>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</si>
  <si>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</si>
  <si>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</si>
  <si>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</si>
  <si>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</si>
  <si>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</si>
  <si>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</si>
  <si>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</si>
  <si>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</si>
  <si>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</si>
  <si>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</si>
  <si>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</si>
  <si>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</si>
  <si>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</si>
  <si>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</si>
  <si>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</si>
  <si>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</si>
  <si>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</si>
  <si>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</si>
  <si>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</si>
  <si>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</si>
  <si>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</si>
  <si>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</si>
  <si>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</si>
  <si>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</si>
  <si>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</si>
  <si>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</si>
  <si>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</si>
  <si>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</si>
  <si>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</si>
  <si>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</si>
  <si>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</si>
  <si>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</si>
  <si>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</si>
  <si>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</si>
  <si>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</si>
  <si>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</si>
  <si>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</si>
  <si>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</si>
  <si>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</si>
  <si>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</si>
  <si>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</si>
  <si>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</si>
  <si>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</si>
  <si>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</si>
  <si>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</si>
  <si>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</si>
  <si>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</si>
  <si>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</si>
  <si>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</si>
  <si>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</si>
  <si>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</si>
  <si>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</si>
  <si>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</si>
  <si>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</si>
  <si>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</si>
  <si>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</si>
  <si>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</si>
  <si>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</si>
  <si>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</si>
  <si>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</si>
  <si>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</si>
  <si>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</si>
  <si>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</si>
  <si>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</si>
  <si>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</si>
  <si>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</si>
  <si>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</si>
  <si>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</si>
  <si>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</si>
  <si>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</si>
  <si>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</si>
  <si>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</si>
  <si>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</si>
  <si>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</si>
  <si>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</si>
  <si>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</si>
  <si>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</si>
  <si>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</si>
  <si>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</si>
  <si>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</si>
  <si>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</si>
  <si>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</si>
  <si>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</si>
  <si>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</si>
  <si>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</si>
  <si>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</si>
  <si>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</si>
  <si>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</si>
  <si>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</si>
  <si>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</si>
  <si>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</si>
  <si>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</si>
  <si>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</si>
  <si>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</si>
  <si>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</si>
  <si>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</si>
  <si>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</si>
  <si>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</si>
  <si>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</si>
  <si>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</si>
  <si>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</si>
  <si>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</si>
  <si>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</si>
  <si>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</si>
  <si>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</si>
  <si>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</si>
  <si>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</si>
  <si>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</si>
  <si>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</si>
  <si>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</si>
  <si>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</si>
  <si>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</si>
  <si>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</si>
  <si>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</si>
  <si>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</si>
  <si>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</si>
  <si>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</si>
  <si>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</si>
  <si>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</si>
  <si>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</si>
  <si>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</si>
  <si>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</si>
  <si>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</si>
  <si>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</si>
  <si>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</si>
  <si>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</si>
  <si>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</si>
  <si>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</si>
  <si>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</si>
  <si>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</si>
  <si>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</si>
  <si>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</si>
  <si>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</si>
  <si>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</si>
  <si>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</si>
  <si>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</si>
  <si>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</si>
  <si>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</si>
  <si>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</si>
  <si>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</si>
  <si>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</si>
  <si>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</si>
  <si>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</si>
  <si>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</si>
  <si>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</si>
  <si>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</si>
  <si>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</si>
  <si>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</si>
  <si>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</si>
  <si>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</si>
  <si>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</si>
  <si>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</si>
  <si>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</si>
  <si>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</si>
  <si>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</si>
  <si>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</si>
  <si>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</si>
  <si>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</si>
  <si>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</si>
  <si>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</si>
  <si>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</si>
  <si>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</si>
  <si>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</si>
  <si>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</si>
  <si>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</si>
  <si>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</si>
  <si>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</si>
  <si>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</si>
  <si>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</si>
  <si>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</si>
  <si>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</si>
  <si>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</si>
  <si>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</si>
  <si>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</si>
  <si>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</si>
  <si>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</si>
  <si>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</si>
  <si>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</si>
  <si>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</si>
  <si>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</si>
  <si>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</si>
  <si>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</si>
  <si>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</si>
  <si>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</si>
  <si>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</si>
  <si>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</si>
  <si>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</si>
  <si>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</si>
  <si>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</si>
  <si>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</si>
  <si>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</si>
  <si>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</si>
  <si>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</si>
  <si>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</si>
  <si>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</si>
  <si>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</si>
  <si>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</si>
  <si>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</si>
  <si>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</si>
  <si>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</si>
  <si>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</si>
  <si>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</si>
  <si>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</si>
  <si>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</si>
  <si>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</si>
  <si>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</si>
  <si>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</si>
  <si>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</si>
  <si>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</si>
  <si>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</si>
  <si>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</si>
  <si>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</si>
  <si>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</si>
  <si>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</si>
  <si>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</si>
  <si>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</si>
  <si>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</si>
  <si>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</si>
  <si>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</si>
  <si>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</si>
  <si>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</si>
  <si>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</si>
  <si>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</si>
  <si>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</si>
  <si>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</si>
  <si>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</si>
  <si>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</si>
  <si>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</si>
  <si>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</si>
  <si>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</si>
  <si>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</si>
  <si>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</si>
  <si>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</si>
  <si>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</si>
  <si>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</si>
  <si>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</si>
  <si>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</si>
  <si>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</si>
  <si>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</si>
  <si>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</si>
  <si>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</si>
  <si>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</si>
  <si>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</si>
  <si>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</si>
  <si>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</si>
  <si>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</si>
  <si>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</si>
  <si>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</si>
  <si>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</si>
  <si>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</si>
  <si>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</si>
  <si>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</si>
  <si>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</si>
  <si>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</si>
  <si>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</si>
  <si>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</si>
  <si>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</si>
  <si>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</si>
  <si>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</si>
  <si>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</si>
  <si>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</si>
  <si>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</si>
  <si>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</si>
  <si>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</si>
  <si>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</si>
  <si>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</si>
  <si>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</si>
  <si>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</si>
  <si>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</si>
  <si>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</si>
  <si>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</si>
  <si>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</si>
  <si>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</si>
  <si>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</si>
  <si>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</si>
  <si>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</si>
  <si>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</si>
  <si>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</si>
  <si>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</si>
  <si>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</si>
  <si>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</si>
  <si>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</si>
  <si>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</si>
  <si>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</si>
  <si>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</si>
  <si>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</si>
  <si>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</si>
  <si>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</si>
  <si>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</si>
  <si>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</si>
  <si>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</si>
  <si>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</si>
  <si>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</si>
  <si>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</si>
  <si>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</si>
  <si>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</si>
  <si>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</si>
  <si>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</si>
  <si>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</si>
  <si>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</si>
  <si>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</si>
  <si>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</si>
  <si>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</si>
  <si>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</si>
  <si>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</si>
  <si>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</si>
  <si>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</si>
  <si>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</si>
  <si>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</si>
  <si>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</si>
  <si>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</si>
  <si>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</si>
  <si>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</si>
  <si>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</si>
  <si>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</si>
  <si>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</si>
  <si>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</si>
  <si>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</si>
  <si>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</si>
  <si>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</si>
  <si>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</si>
  <si>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</si>
  <si>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</si>
  <si>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</si>
  <si>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</si>
  <si>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</si>
  <si>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</si>
  <si>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</si>
  <si>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</si>
  <si>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</si>
  <si>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</si>
  <si>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</si>
  <si>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</si>
  <si>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</si>
  <si>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</si>
  <si>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</si>
  <si>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</si>
  <si>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</si>
  <si>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</si>
  <si>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</si>
  <si>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</si>
  <si>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</si>
  <si>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</si>
  <si>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</si>
  <si>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</si>
  <si>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</si>
  <si>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</si>
  <si>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</si>
  <si>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</si>
  <si>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</si>
  <si>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</si>
  <si>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</si>
  <si>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</si>
  <si>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</si>
  <si>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</si>
  <si>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</si>
  <si>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</si>
  <si>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</si>
  <si>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</si>
  <si>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</si>
  <si>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</si>
  <si>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</si>
  <si>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</si>
  <si>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</si>
  <si>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</si>
  <si>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</si>
  <si>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</si>
  <si>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</si>
  <si>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</si>
  <si>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</si>
  <si>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</si>
  <si>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</si>
  <si>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</si>
  <si>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</si>
  <si>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</si>
  <si>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</si>
  <si>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</si>
  <si>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</si>
  <si>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</si>
  <si>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</si>
  <si>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</si>
  <si>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</si>
  <si>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</si>
  <si>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</si>
  <si>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</si>
  <si>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</si>
  <si>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</si>
  <si>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</si>
  <si>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</si>
  <si>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</si>
  <si>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</si>
  <si>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</si>
  <si>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</si>
  <si>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</si>
  <si>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</si>
  <si>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</si>
  <si>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</si>
  <si>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</si>
  <si>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</si>
  <si>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</si>
  <si>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</si>
  <si>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</si>
  <si>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</si>
  <si>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</si>
  <si>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</si>
  <si>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</si>
  <si>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</si>
  <si>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</si>
  <si>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</si>
  <si>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</si>
  <si>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</si>
  <si>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</si>
  <si>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</si>
  <si>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</si>
  <si>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</si>
  <si>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</si>
  <si>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</si>
  <si>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</si>
  <si>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</si>
  <si>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</si>
  <si>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</si>
  <si>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</si>
  <si>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</si>
  <si>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</si>
  <si>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</si>
  <si>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</si>
  <si>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</si>
  <si>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</si>
  <si>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</si>
  <si>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</si>
  <si>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</si>
  <si>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</si>
  <si>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</si>
  <si>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</si>
  <si>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</si>
  <si>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</si>
  <si>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</si>
  <si>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</si>
  <si>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</si>
  <si>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</si>
  <si>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</si>
  <si>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</si>
  <si>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</si>
  <si>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</si>
  <si>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</si>
  <si>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</si>
  <si>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</si>
  <si>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</si>
  <si>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</si>
  <si>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</si>
  <si>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</si>
  <si>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</si>
  <si>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</si>
  <si>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</si>
  <si>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</si>
  <si>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</si>
  <si>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</si>
  <si>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</si>
  <si>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</si>
  <si>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</si>
  <si>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</si>
  <si>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</si>
  <si>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</si>
  <si>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</si>
  <si>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</si>
  <si>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</si>
  <si>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</si>
  <si>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</si>
  <si>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</si>
  <si>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</si>
  <si>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</si>
  <si>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</si>
  <si>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</si>
  <si>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</si>
  <si>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</si>
  <si>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</si>
  <si>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</si>
  <si>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</si>
  <si>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</si>
  <si>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</si>
  <si>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</si>
  <si>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</si>
  <si>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</si>
  <si>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</si>
  <si>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</si>
  <si>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</si>
  <si>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</si>
  <si>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</si>
  <si>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</si>
  <si>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</si>
  <si>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</si>
  <si>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</si>
  <si>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</si>
  <si>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</si>
  <si>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</si>
  <si>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</si>
  <si>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</si>
  <si>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</si>
  <si>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</si>
  <si>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</si>
  <si>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</si>
  <si>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</si>
  <si>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</si>
  <si>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</si>
  <si>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</si>
  <si>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</si>
  <si>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</si>
  <si>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</si>
  <si>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</si>
  <si>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</si>
  <si>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</si>
  <si>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</si>
  <si>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</si>
  <si>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</si>
  <si>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</si>
  <si>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</si>
  <si>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</si>
  <si>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</si>
  <si>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</si>
  <si>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</si>
  <si>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</si>
  <si>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</si>
  <si>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</si>
  <si>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</si>
  <si>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</si>
  <si>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</si>
  <si>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</si>
  <si>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</si>
  <si>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</si>
  <si>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</si>
  <si>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</si>
  <si>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</si>
  <si>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</si>
  <si>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</si>
  <si>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</si>
  <si>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</si>
  <si>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</si>
  <si>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</si>
  <si>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</si>
  <si>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</si>
  <si>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</si>
  <si>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</si>
  <si>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</si>
  <si>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</si>
  <si>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</si>
  <si>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</si>
  <si>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</si>
  <si>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</si>
  <si>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</si>
  <si>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</si>
  <si>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</si>
  <si>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</si>
  <si>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</si>
  <si>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</si>
  <si>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</si>
  <si>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</si>
  <si>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</si>
  <si>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</si>
  <si>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</si>
  <si>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</si>
  <si>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</si>
  <si>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</si>
  <si>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</si>
  <si>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</si>
  <si>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</si>
  <si>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</si>
  <si>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</si>
  <si>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</si>
  <si>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</si>
  <si>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</si>
  <si>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</si>
  <si>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</si>
  <si>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</si>
  <si>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</si>
  <si>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</si>
  <si>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</si>
  <si>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</si>
  <si>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</si>
  <si>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</si>
  <si>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</si>
  <si>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</si>
  <si>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</si>
  <si>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</si>
  <si>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</si>
  <si>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</si>
  <si>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</si>
  <si>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</si>
  <si>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</si>
  <si>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</si>
  <si>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</si>
  <si>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</si>
  <si>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</si>
  <si>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</si>
  <si>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Meister, Hilton, Chitwood &amp; Associates, Inc.</t>
  </si>
  <si>
    <t>Ron Hilton</t>
  </si>
  <si>
    <t>809 W. Detweiller Drive, Suite 806</t>
  </si>
  <si>
    <t>Peoria</t>
  </si>
  <si>
    <t>IL</t>
  </si>
  <si>
    <t>(309) 683-0441</t>
  </si>
  <si>
    <t>(309) 692-0492</t>
  </si>
  <si>
    <t>066-004769</t>
  </si>
  <si>
    <t>ron.hilton1@comcast.net</t>
  </si>
  <si>
    <t>lweaver@phill69.com</t>
  </si>
  <si>
    <t>x</t>
  </si>
  <si>
    <t>Lisa Weaver</t>
  </si>
  <si>
    <t>309-637-6829</t>
  </si>
  <si>
    <t>309-637-8612</t>
  </si>
  <si>
    <t>G.O. School Bonds, Series 2015</t>
  </si>
  <si>
    <t>G.O. School Bonds, Series 2019A</t>
  </si>
  <si>
    <t>G.O. School Bonds, Series 2019B</t>
  </si>
  <si>
    <t>Note payable to bank</t>
  </si>
  <si>
    <t>Line of credit</t>
  </si>
  <si>
    <t>Oak Grove, Limestone Walters</t>
  </si>
  <si>
    <t>B</t>
  </si>
  <si>
    <t>A</t>
  </si>
  <si>
    <t>Special Education Association of Peoria County (SEAPCO)</t>
  </si>
  <si>
    <t>A. Oak Grove, Monroe, SEAPCO, Brimfield, Norwood, Bartonville, Hollis, Dunlap, Elmwood, Limestone Walters, Robein, Delavan, ROE 48, Area 111 Tech Center</t>
  </si>
  <si>
    <t>B. Oak Grove, Monroe, Norwood, Bartonville Grade, Hollis, Limestone Walters, Pleasant Valley, Limestone High School</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</si>
  <si>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</si>
  <si>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employee that is involved in the accounting function.  The District does not have an adequate segregation of duties over accounting transactions as the employee is responsible for initiating and recording transactions in the general ledger as well as performing reconciliations.</t>
  </si>
  <si>
    <t>One employee is responsible for all aspects of the cash receipts, cash disbursements  and payroll functions and also responsible for recording these transactions in the general ledger.</t>
  </si>
  <si>
    <t>This condition increases the possibility that errors or fraud may occur and not be detected on a timely basis.</t>
  </si>
  <si>
    <t>Due to the small size of the District, duties have been assigned based on the experience, abilities and schedules of office personnel.</t>
  </si>
  <si>
    <t>When this condition exists, the Superintendent’s and Board of Education's close oversight and review of accounting information on a regular basis is the best means of preventing or detecting errors or fraud.</t>
  </si>
  <si>
    <t xml:space="preserve">Due to the small size of the District, it is not practical to hire additional personnel solely for the purpose of achieving an ideal segregation of duties over the accounting function.  </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</si>
  <si>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in the preparation of its annual financial statements that such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</si>
  <si>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</si>
  <si>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Changes in accounting standards may not be identified and implemented by the Board of Education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</si>
  <si>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</si>
  <si>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</si>
  <si>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</si>
  <si>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review of the balances and amounts are adequate in the circumstances and no additional procedures are considered necessary.</t>
  </si>
  <si>
    <t>23. The District has prepared these financial statements using the regulatory accounting practices prescribed by the Illinois State Board of Education, which differs from accounting principles generally accepted in the United States of America.</t>
  </si>
  <si>
    <t>Page 10, Line 1999 - Other Local Revenues:  Local Grants - United Way, Supporting Student Success $10,500,</t>
  </si>
  <si>
    <t xml:space="preserve">   e-rate reimbursement $2,460.</t>
  </si>
  <si>
    <t>Page 12, Line 3999 - Other Restricted Revenue from State Sources: Healthy Schools grant $46,025.</t>
  </si>
  <si>
    <t>Page 18, Line 5400 - Debt Servicee - Other: Bond agent fees $500, bond issuance costs $14,924.</t>
  </si>
  <si>
    <t>3717 West Malone Street</t>
  </si>
  <si>
    <t>ED-Support Services-Pupils -Purchased Services</t>
  </si>
  <si>
    <t>10-2100-300</t>
  </si>
  <si>
    <t>Family Core</t>
  </si>
  <si>
    <t>Transportation-Pupil Transportation Services -Purchased Services</t>
  </si>
  <si>
    <t>40-2550-300</t>
  </si>
  <si>
    <t>First Student</t>
  </si>
  <si>
    <t>Performing bank reconciliations is an integral part of the segregation of duties and detective controls of the system of internal controls to ensure the integrity of the recorded cash balances.   When bank reconciliations are performed, any unrecorded transactions are identified, investigated for propriety, and appropriate adjustments and corrections are made.</t>
  </si>
  <si>
    <t>This condition increases the possibility that errors or fraud in the cash accounts may occur and not be detected and corrected on a timely basis.</t>
  </si>
  <si>
    <t>The bank reconciliations did not identify and correct errors in the cash accounts in the general ledger on a timely basis.  As a result, several adjustments were required to be made to the District's cash accounts during the audit.</t>
  </si>
  <si>
    <t>Bank reconciliations are prepared by the District bookkeeper on a monthly basis.   However, due to the current workload of the bookkeeper, the reconciliations were not fully and accurately completed.  Unidentified reconciling items existed that were not identified and corrected on a timely basis.   In addition, the reconciliations were not reviewed and approved by someone other than the individual that prepared the reconciliations.</t>
  </si>
  <si>
    <t>The District will make additional resources available to assist the bookkeeper in performing the bank reconciliations fully and accurately on a monthly basis.  The reconciliations will be review be someone other than the bookkeeper to ensure that they are being prepared accurately and that all reconciling items are identified and corrected on a timely basis.</t>
  </si>
  <si>
    <t>We recommend that the bank reconciliations be prepared completly and accurately on a monthly basis and all reconciling items be identified and corrected timely in the general ledger.  In addition, the reconciliations should be reviewed and approved by someone other than the person that prepared them.</t>
  </si>
  <si>
    <t>Due to the small size of the District, the bookkeeper has assumed additional responsibilities and does not have the available time and resources to dedicate to all responsibilities assigned.  In addition, the reconciliations were not review by someone other than the person preparing them.</t>
  </si>
  <si>
    <t>Pleasant Hill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</si>
</sst>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5" fillId="0" borderId="157" xfId="17" applyFont="1" applyBorder="1" applyAlignment="1" applyProtection="1">
      <alignment horizontal="left" vertical="top" wrapText="1"/>
      <protection locked="0"/>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49" fontId="3" fillId="0" borderId="157" xfId="17" applyNumberFormat="1" applyFont="1" applyBorder="1" applyAlignment="1" applyProtection="1">
      <alignment horizontal="center" vertical="top"/>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0" fontId="55"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55" fillId="0" borderId="0" xfId="3" applyFont="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3" t="s">
        <v>404</v>
      </c>
      <c r="J1" s="2024"/>
      <c r="K1" s="2024"/>
      <c r="L1" s="2024"/>
      <c r="M1" s="2024"/>
      <c r="N1" s="2024"/>
      <c r="O1" s="2024"/>
      <c r="P1" s="2024"/>
      <c r="Q1" s="2024"/>
      <c r="R1" s="2024"/>
      <c r="S1" s="2024"/>
    </row>
    <row r="2" spans="1:28" ht="12" customHeight="1" x14ac:dyDescent="0.2">
      <c r="A2" s="47" t="s">
        <v>1990</v>
      </c>
      <c r="D2" s="48"/>
      <c r="I2" s="2025" t="s">
        <v>978</v>
      </c>
      <c r="J2" s="2024"/>
      <c r="K2" s="2024"/>
      <c r="L2" s="2024"/>
      <c r="M2" s="2024"/>
      <c r="N2" s="2024"/>
      <c r="O2" s="2024"/>
      <c r="P2" s="2024"/>
      <c r="Q2" s="2024"/>
      <c r="R2" s="2024"/>
      <c r="S2" s="2024"/>
    </row>
    <row r="3" spans="1:28" ht="12" customHeight="1" x14ac:dyDescent="0.2">
      <c r="A3" s="155" t="s">
        <v>1942</v>
      </c>
      <c r="B3" s="156"/>
      <c r="C3" s="156"/>
      <c r="D3" s="157"/>
      <c r="I3" s="2025" t="s">
        <v>52</v>
      </c>
      <c r="J3" s="2024"/>
      <c r="K3" s="2024"/>
      <c r="L3" s="2024"/>
      <c r="M3" s="2024"/>
      <c r="N3" s="2024"/>
      <c r="O3" s="2024"/>
      <c r="P3" s="2024"/>
      <c r="Q3" s="2024"/>
      <c r="R3" s="2024"/>
      <c r="S3" s="2024"/>
    </row>
    <row r="4" spans="1:28" ht="12" customHeight="1" x14ac:dyDescent="0.2">
      <c r="A4" s="37"/>
      <c r="I4" s="2025" t="s">
        <v>523</v>
      </c>
      <c r="J4" s="2024"/>
      <c r="K4" s="2024"/>
      <c r="L4" s="2024"/>
      <c r="M4" s="2024"/>
      <c r="N4" s="2024"/>
      <c r="O4" s="2024"/>
      <c r="P4" s="2024"/>
      <c r="Q4" s="2024"/>
      <c r="R4" s="2024"/>
      <c r="S4" s="2024"/>
    </row>
    <row r="5" spans="1:28" ht="14.1" customHeight="1" x14ac:dyDescent="0.2">
      <c r="B5" s="104" t="s">
        <v>2074</v>
      </c>
      <c r="C5" s="26" t="s">
        <v>909</v>
      </c>
      <c r="D5" s="84"/>
      <c r="E5" s="84"/>
      <c r="H5" s="38"/>
      <c r="I5" s="2032" t="s">
        <v>679</v>
      </c>
      <c r="J5" s="1977"/>
      <c r="K5" s="1977"/>
      <c r="L5" s="1977"/>
      <c r="M5" s="1977"/>
      <c r="N5" s="1977"/>
      <c r="O5" s="1977"/>
      <c r="P5" s="1977"/>
      <c r="Q5" s="1977"/>
      <c r="R5" s="1977"/>
      <c r="S5" s="1977"/>
    </row>
    <row r="6" spans="1:28" ht="14.1" customHeight="1" x14ac:dyDescent="0.2">
      <c r="B6" s="104"/>
      <c r="C6" s="26" t="s">
        <v>910</v>
      </c>
      <c r="D6" s="84"/>
      <c r="E6" s="84"/>
      <c r="I6" s="2031" t="s">
        <v>882</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673</v>
      </c>
      <c r="J9" s="2029"/>
      <c r="K9" s="2029"/>
      <c r="L9" s="2029"/>
      <c r="M9" s="2029"/>
      <c r="N9" s="2029"/>
      <c r="O9" s="2029"/>
      <c r="P9" s="2029"/>
      <c r="Q9" s="2029"/>
      <c r="R9" s="2029"/>
      <c r="S9" s="2030"/>
      <c r="T9" s="1973" t="s">
        <v>532</v>
      </c>
      <c r="U9" s="1974"/>
      <c r="V9" s="1974"/>
      <c r="W9" s="1974"/>
      <c r="X9" s="1974"/>
      <c r="Y9" s="1974"/>
      <c r="Z9" s="1974"/>
      <c r="AA9" s="1975"/>
    </row>
    <row r="10" spans="1:28" ht="13.5" customHeight="1" x14ac:dyDescent="0.2">
      <c r="A10" s="1982" t="s">
        <v>674</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954</v>
      </c>
      <c r="B11" s="1986"/>
      <c r="C11" s="1986"/>
      <c r="D11" s="1986"/>
      <c r="E11" s="1986"/>
      <c r="F11" s="1986"/>
      <c r="G11" s="1986"/>
      <c r="H11" s="1987"/>
      <c r="I11" s="27"/>
      <c r="J11" s="74"/>
      <c r="K11" s="27"/>
      <c r="O11" s="148" t="s">
        <v>2074</v>
      </c>
      <c r="P11" s="100" t="s">
        <v>201</v>
      </c>
      <c r="Q11" s="30"/>
      <c r="R11" s="28"/>
      <c r="S11" s="27"/>
      <c r="T11" s="1979"/>
      <c r="U11" s="1980"/>
      <c r="V11" s="1980"/>
      <c r="W11" s="1980"/>
      <c r="X11" s="1980"/>
      <c r="Y11" s="1980"/>
      <c r="Z11" s="1980"/>
      <c r="AA11" s="198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3">
        <v>48072069002</v>
      </c>
      <c r="B13" s="1994"/>
      <c r="C13" s="1994"/>
      <c r="D13" s="1994"/>
      <c r="E13" s="1994"/>
      <c r="F13" s="1994"/>
      <c r="G13" s="1994"/>
      <c r="H13" s="1995"/>
      <c r="I13" s="31"/>
      <c r="J13" s="30"/>
      <c r="K13" s="28"/>
      <c r="L13" s="30"/>
      <c r="M13" s="30"/>
      <c r="N13" s="30"/>
      <c r="O13" s="30"/>
      <c r="P13" s="30"/>
      <c r="Q13" s="30"/>
      <c r="R13" s="30"/>
      <c r="S13" s="30"/>
      <c r="T13" s="1998" t="s">
        <v>2064</v>
      </c>
      <c r="U13" s="1999"/>
      <c r="V13" s="1999"/>
      <c r="W13" s="1999"/>
      <c r="X13" s="1999"/>
      <c r="Y13" s="2000"/>
      <c r="Z13" s="2000"/>
      <c r="AA13" s="200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1" t="s">
        <v>2067</v>
      </c>
      <c r="B15" s="1996"/>
      <c r="C15" s="1996"/>
      <c r="D15" s="1996"/>
      <c r="E15" s="1996"/>
      <c r="F15" s="1996"/>
      <c r="G15" s="1996"/>
      <c r="H15" s="1997"/>
      <c r="T15" s="1959" t="s">
        <v>2065</v>
      </c>
      <c r="U15" s="1960"/>
      <c r="V15" s="1960"/>
      <c r="W15" s="1960"/>
      <c r="X15" s="1960"/>
      <c r="Y15" s="2002"/>
      <c r="Z15" s="2002"/>
      <c r="AA15" s="200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1" t="s">
        <v>2122</v>
      </c>
      <c r="B17" s="2021"/>
      <c r="C17" s="2021"/>
      <c r="D17" s="2021"/>
      <c r="E17" s="2021"/>
      <c r="F17" s="2021"/>
      <c r="G17" s="2021"/>
      <c r="H17" s="2022"/>
      <c r="T17" s="2008" t="s">
        <v>2066</v>
      </c>
      <c r="U17" s="2009"/>
      <c r="V17" s="2009"/>
      <c r="W17" s="2009"/>
      <c r="X17" s="2009"/>
      <c r="Y17" s="2009"/>
      <c r="Z17" s="2009"/>
      <c r="AA17" s="2010"/>
    </row>
    <row r="18" spans="1:27" ht="13.5" customHeight="1" x14ac:dyDescent="0.2">
      <c r="A18" s="85" t="s">
        <v>529</v>
      </c>
      <c r="B18" s="76"/>
      <c r="C18" s="72"/>
      <c r="D18" s="76"/>
      <c r="E18" s="76"/>
      <c r="F18" s="76"/>
      <c r="G18" s="76"/>
      <c r="H18" s="56"/>
      <c r="I18" s="2018" t="s">
        <v>675</v>
      </c>
      <c r="J18" s="2019"/>
      <c r="K18" s="2019"/>
      <c r="L18" s="2019"/>
      <c r="M18" s="2019"/>
      <c r="N18" s="2019"/>
      <c r="O18" s="2019"/>
      <c r="P18" s="2019"/>
      <c r="Q18" s="2019"/>
      <c r="R18" s="2019"/>
      <c r="S18" s="2020"/>
      <c r="T18" s="85" t="s">
        <v>710</v>
      </c>
      <c r="U18" s="51"/>
      <c r="V18" s="72"/>
      <c r="W18" s="50"/>
      <c r="X18" s="85" t="s">
        <v>265</v>
      </c>
      <c r="Y18" s="81"/>
      <c r="Z18" s="159" t="s">
        <v>676</v>
      </c>
      <c r="AA18" s="46"/>
    </row>
    <row r="19" spans="1:27" ht="13.5" customHeight="1" x14ac:dyDescent="0.2">
      <c r="A19" s="1991" t="s">
        <v>2108</v>
      </c>
      <c r="B19" s="1992"/>
      <c r="C19" s="1992"/>
      <c r="D19" s="1992"/>
      <c r="E19" s="1992"/>
      <c r="F19" s="1992"/>
      <c r="G19" s="1992"/>
      <c r="H19" s="1990"/>
      <c r="I19" s="30"/>
      <c r="J19" s="99"/>
      <c r="K19" s="40"/>
      <c r="L19" s="38"/>
      <c r="M19" s="112" t="s">
        <v>314</v>
      </c>
      <c r="P19" s="27"/>
      <c r="Q19" s="27"/>
      <c r="R19" s="27"/>
      <c r="S19" s="31"/>
      <c r="T19" s="1991" t="s">
        <v>2067</v>
      </c>
      <c r="U19" s="1989"/>
      <c r="V19" s="1989"/>
      <c r="W19" s="1990"/>
      <c r="X19" s="2006" t="s">
        <v>2068</v>
      </c>
      <c r="Y19" s="2007"/>
      <c r="Z19" s="2004">
        <v>61615</v>
      </c>
      <c r="AA19" s="200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8" t="s">
        <v>2067</v>
      </c>
      <c r="B21" s="1989"/>
      <c r="C21" s="1989"/>
      <c r="D21" s="1989"/>
      <c r="E21" s="1989"/>
      <c r="F21" s="1989"/>
      <c r="G21" s="1989"/>
      <c r="H21" s="1990"/>
      <c r="I21" s="2014" t="s">
        <v>677</v>
      </c>
      <c r="J21" s="1977"/>
      <c r="K21" s="1977"/>
      <c r="L21" s="1977"/>
      <c r="M21" s="1977"/>
      <c r="N21" s="1977"/>
      <c r="O21" s="1977"/>
      <c r="P21" s="1977"/>
      <c r="Q21" s="1977"/>
      <c r="R21" s="1977"/>
      <c r="S21" s="1978"/>
      <c r="T21" s="1956" t="s">
        <v>2069</v>
      </c>
      <c r="U21" s="1957"/>
      <c r="V21" s="1957"/>
      <c r="W21" s="1957"/>
      <c r="X21" s="1970" t="s">
        <v>2070</v>
      </c>
      <c r="Y21" s="1971"/>
      <c r="Z21" s="1971"/>
      <c r="AA21" s="1972"/>
    </row>
    <row r="22" spans="1:27" ht="13.5" customHeight="1" x14ac:dyDescent="0.2">
      <c r="A22" s="87" t="s">
        <v>530</v>
      </c>
      <c r="B22" s="59"/>
      <c r="C22" s="59"/>
      <c r="D22" s="59"/>
      <c r="E22" s="59"/>
      <c r="F22" s="59"/>
      <c r="G22" s="59"/>
      <c r="H22" s="60"/>
      <c r="I22" s="2015" t="s">
        <v>1428</v>
      </c>
      <c r="J22" s="2016"/>
      <c r="K22" s="2016"/>
      <c r="L22" s="2016"/>
      <c r="M22" s="2016"/>
      <c r="N22" s="2016"/>
      <c r="O22" s="2016"/>
      <c r="P22" s="2016"/>
      <c r="Q22" s="2016"/>
      <c r="R22" s="2016"/>
      <c r="S22" s="2017"/>
      <c r="T22" s="85" t="s">
        <v>1515</v>
      </c>
      <c r="U22" s="51"/>
      <c r="V22" s="72"/>
      <c r="W22" s="51"/>
      <c r="X22" s="160" t="s">
        <v>1317</v>
      </c>
      <c r="Z22" s="45"/>
      <c r="AA22" s="46"/>
    </row>
    <row r="23" spans="1:27" ht="13.5" customHeight="1" x14ac:dyDescent="0.2">
      <c r="A23" s="2011" t="s">
        <v>2073</v>
      </c>
      <c r="B23" s="2012"/>
      <c r="C23" s="2012"/>
      <c r="D23" s="2012"/>
      <c r="E23" s="2012"/>
      <c r="F23" s="2012"/>
      <c r="G23" s="2012"/>
      <c r="H23" s="2013"/>
      <c r="T23" s="1951" t="s">
        <v>2071</v>
      </c>
      <c r="U23" s="1952"/>
      <c r="V23" s="1952"/>
      <c r="W23" s="1952"/>
      <c r="X23" s="1967">
        <v>44530</v>
      </c>
      <c r="Y23" s="1968"/>
      <c r="Z23" s="1968"/>
      <c r="AA23" s="1969"/>
    </row>
    <row r="24" spans="1:27" ht="14.1" customHeight="1" x14ac:dyDescent="0.2">
      <c r="A24" s="88" t="s">
        <v>676</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530</v>
      </c>
      <c r="U24" s="106"/>
      <c r="V24" s="106"/>
      <c r="W24" s="106"/>
      <c r="X24" s="107"/>
      <c r="Y24" s="107"/>
      <c r="Z24" s="107"/>
      <c r="AA24" s="108"/>
    </row>
    <row r="25" spans="1:27" ht="14.1" customHeight="1" x14ac:dyDescent="0.2">
      <c r="A25" s="1988">
        <v>61605</v>
      </c>
      <c r="B25" s="1989"/>
      <c r="C25" s="1989"/>
      <c r="D25" s="1989"/>
      <c r="E25" s="1989"/>
      <c r="F25" s="1989"/>
      <c r="G25" s="1989"/>
      <c r="H25" s="1990"/>
      <c r="I25" s="113"/>
      <c r="J25" s="2055"/>
      <c r="K25" s="2055"/>
      <c r="L25" s="2055"/>
      <c r="M25" s="2055"/>
      <c r="N25" s="2055"/>
      <c r="O25" s="2055"/>
      <c r="P25" s="2055"/>
      <c r="Q25" s="2055"/>
      <c r="R25" s="2055"/>
      <c r="S25" s="2056"/>
      <c r="T25" s="1948" t="s">
        <v>2072</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6" t="s">
        <v>1510</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2074</v>
      </c>
      <c r="M29" s="40" t="s">
        <v>99</v>
      </c>
      <c r="N29" s="32" t="s">
        <v>1522</v>
      </c>
      <c r="O29" s="32"/>
      <c r="P29" s="32"/>
      <c r="Q29" s="32"/>
      <c r="R29" s="32"/>
      <c r="S29" s="123"/>
      <c r="T29" s="6"/>
      <c r="U29" s="6"/>
      <c r="V29" s="6"/>
      <c r="W29" s="6"/>
      <c r="X29" s="6"/>
      <c r="Y29" s="6"/>
      <c r="Z29" s="6"/>
      <c r="AA29" s="132"/>
    </row>
    <row r="30" spans="1:27" ht="13.5" customHeight="1" x14ac:dyDescent="0.2">
      <c r="A30" s="153"/>
      <c r="B30" s="136" t="s">
        <v>2074</v>
      </c>
      <c r="C30" s="124" t="s">
        <v>1163</v>
      </c>
      <c r="D30" s="28"/>
      <c r="E30" s="28"/>
      <c r="F30" s="140"/>
      <c r="G30" s="114"/>
      <c r="H30" s="114"/>
      <c r="I30" s="54"/>
      <c r="J30" s="102"/>
      <c r="K30" s="28" t="s">
        <v>575</v>
      </c>
      <c r="L30" s="148" t="s">
        <v>2074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2074</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1" t="s">
        <v>2075</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530</v>
      </c>
      <c r="B39" s="2045"/>
      <c r="C39" s="72"/>
      <c r="D39" s="69"/>
      <c r="E39" s="69"/>
      <c r="F39" s="79"/>
      <c r="G39" s="69"/>
      <c r="H39" s="56"/>
      <c r="I39" s="2044" t="s">
        <v>530</v>
      </c>
      <c r="J39" s="2045"/>
      <c r="K39" s="2045"/>
      <c r="L39" s="2045"/>
      <c r="M39" s="2045"/>
      <c r="N39" s="67"/>
      <c r="O39" s="72"/>
      <c r="P39" s="72"/>
      <c r="Q39" s="78"/>
      <c r="R39" s="72"/>
      <c r="S39" s="56"/>
      <c r="T39" s="72" t="s">
        <v>530</v>
      </c>
      <c r="U39" s="51"/>
      <c r="V39" s="72"/>
      <c r="W39" s="50"/>
      <c r="X39" s="78"/>
      <c r="Y39" s="45"/>
      <c r="Z39" s="45"/>
      <c r="AA39" s="46"/>
    </row>
    <row r="40" spans="1:27" ht="13.5" customHeight="1" x14ac:dyDescent="0.2">
      <c r="A40" s="2047" t="s">
        <v>2073</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7" t="s">
        <v>2076</v>
      </c>
      <c r="B42" s="2038"/>
      <c r="C42" s="2039"/>
      <c r="D42" s="2052" t="s">
        <v>2077</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1801</v>
      </c>
      <c r="B2" s="1528" t="s">
        <v>1948</v>
      </c>
      <c r="C2" s="714" t="s">
        <v>1949</v>
      </c>
      <c r="D2" s="714" t="s">
        <v>1950</v>
      </c>
      <c r="E2" s="714" t="s">
        <v>1951</v>
      </c>
      <c r="F2" s="714" t="s">
        <v>1952</v>
      </c>
    </row>
    <row r="3" spans="1:6" ht="12" customHeight="1" x14ac:dyDescent="0.2">
      <c r="A3" s="2191"/>
      <c r="B3" s="1525"/>
      <c r="C3" s="1526"/>
      <c r="D3" s="1527" t="s">
        <v>256</v>
      </c>
      <c r="E3" s="1526"/>
      <c r="F3" s="1527" t="s">
        <v>257</v>
      </c>
    </row>
    <row r="4" spans="1:6" ht="13.7" customHeight="1" x14ac:dyDescent="0.2">
      <c r="A4" s="715" t="s">
        <v>1154</v>
      </c>
      <c r="B4" s="1749">
        <f>'Revenues 9-14'!C5</f>
        <v>185985</v>
      </c>
      <c r="C4" s="1524">
        <v>0</v>
      </c>
      <c r="D4" s="1752">
        <f>B4-C4</f>
        <v>185985</v>
      </c>
      <c r="E4" s="1524">
        <v>185765</v>
      </c>
      <c r="F4" s="1752">
        <f>E4-C4</f>
        <v>185765</v>
      </c>
    </row>
    <row r="5" spans="1:6" ht="13.7" customHeight="1" x14ac:dyDescent="0.2">
      <c r="A5" s="715" t="s">
        <v>869</v>
      </c>
      <c r="B5" s="1750">
        <f>'Revenues 9-14'!D5</f>
        <v>39947</v>
      </c>
      <c r="C5" s="585">
        <v>0</v>
      </c>
      <c r="D5" s="1753">
        <f t="shared" ref="D5:D18" si="0">B5-C5</f>
        <v>39947</v>
      </c>
      <c r="E5" s="585">
        <v>39693</v>
      </c>
      <c r="F5" s="1753">
        <f>E5-C5</f>
        <v>39693</v>
      </c>
    </row>
    <row r="6" spans="1:6" ht="13.7" customHeight="1" x14ac:dyDescent="0.2">
      <c r="A6" s="715" t="s">
        <v>410</v>
      </c>
      <c r="B6" s="1750">
        <f>'Revenues 9-14'!E5</f>
        <v>60700</v>
      </c>
      <c r="C6" s="585">
        <v>0</v>
      </c>
      <c r="D6" s="1753">
        <f t="shared" si="0"/>
        <v>60700</v>
      </c>
      <c r="E6" s="585">
        <v>63360</v>
      </c>
      <c r="F6" s="1753">
        <f t="shared" ref="F6:F18" si="1">E6-C6</f>
        <v>63360</v>
      </c>
    </row>
    <row r="7" spans="1:6" ht="13.7" customHeight="1" x14ac:dyDescent="0.2">
      <c r="A7" s="715" t="s">
        <v>155</v>
      </c>
      <c r="B7" s="1750">
        <f>'Revenues 9-14'!F5</f>
        <v>19174</v>
      </c>
      <c r="C7" s="585">
        <v>0</v>
      </c>
      <c r="D7" s="1753">
        <f t="shared" si="0"/>
        <v>19174</v>
      </c>
      <c r="E7" s="585">
        <v>19053</v>
      </c>
      <c r="F7" s="1753">
        <f t="shared" si="1"/>
        <v>19053</v>
      </c>
    </row>
    <row r="8" spans="1:6" ht="13.7" customHeight="1" x14ac:dyDescent="0.2">
      <c r="A8" s="715" t="s">
        <v>1178</v>
      </c>
      <c r="B8" s="1750">
        <f>'Revenues 9-14'!G5</f>
        <v>47492</v>
      </c>
      <c r="C8" s="585">
        <v>0</v>
      </c>
      <c r="D8" s="1753">
        <f t="shared" si="0"/>
        <v>47492</v>
      </c>
      <c r="E8" s="585">
        <v>40800</v>
      </c>
      <c r="F8" s="1753">
        <f t="shared" si="1"/>
        <v>40800</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7989</v>
      </c>
      <c r="C10" s="585">
        <v>0</v>
      </c>
      <c r="D10" s="1753">
        <f t="shared" si="0"/>
        <v>7989</v>
      </c>
      <c r="E10" s="585">
        <v>7939</v>
      </c>
      <c r="F10" s="1753">
        <f t="shared" si="1"/>
        <v>7939</v>
      </c>
    </row>
    <row r="11" spans="1:6" x14ac:dyDescent="0.2">
      <c r="A11" s="715" t="s">
        <v>408</v>
      </c>
      <c r="B11" s="1750">
        <f>'Revenues 9-14'!J5</f>
        <v>54417</v>
      </c>
      <c r="C11" s="585">
        <v>0</v>
      </c>
      <c r="D11" s="1753">
        <f t="shared" si="0"/>
        <v>54417</v>
      </c>
      <c r="E11" s="585">
        <v>70942</v>
      </c>
      <c r="F11" s="1753">
        <f t="shared" si="1"/>
        <v>70942</v>
      </c>
    </row>
    <row r="12" spans="1:6" ht="13.7" customHeight="1" x14ac:dyDescent="0.2">
      <c r="A12" s="715" t="s">
        <v>157</v>
      </c>
      <c r="B12" s="1750">
        <f>'Revenues 9-14'!K5</f>
        <v>7989</v>
      </c>
      <c r="C12" s="585">
        <v>0</v>
      </c>
      <c r="D12" s="1753">
        <f t="shared" si="0"/>
        <v>7989</v>
      </c>
      <c r="E12" s="585">
        <v>7939</v>
      </c>
      <c r="F12" s="1753">
        <f t="shared" si="1"/>
        <v>7939</v>
      </c>
    </row>
    <row r="13" spans="1:6" ht="13.7" customHeight="1" x14ac:dyDescent="0.2">
      <c r="A13" s="715" t="s">
        <v>935</v>
      </c>
      <c r="B13" s="1750">
        <f>SUM('Revenues 9-14'!C6:D6)</f>
        <v>7817</v>
      </c>
      <c r="C13" s="585">
        <v>0</v>
      </c>
      <c r="D13" s="1753">
        <f t="shared" si="0"/>
        <v>7817</v>
      </c>
      <c r="E13" s="585">
        <v>7939</v>
      </c>
      <c r="F13" s="1753">
        <f t="shared" si="1"/>
        <v>7939</v>
      </c>
    </row>
    <row r="14" spans="1:6" ht="13.7" customHeight="1" x14ac:dyDescent="0.2">
      <c r="A14" s="715" t="s">
        <v>409</v>
      </c>
      <c r="B14" s="1750">
        <f>SUM('Revenues 9-14'!C7:D7,'Revenues 9-14'!F7:H7)</f>
        <v>3196</v>
      </c>
      <c r="C14" s="585">
        <v>0</v>
      </c>
      <c r="D14" s="1753">
        <f t="shared" si="0"/>
        <v>3196</v>
      </c>
      <c r="E14" s="585">
        <v>3175</v>
      </c>
      <c r="F14" s="1753">
        <f t="shared" si="1"/>
        <v>3175</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39576</v>
      </c>
      <c r="C16" s="585">
        <v>0</v>
      </c>
      <c r="D16" s="1753">
        <f t="shared" si="0"/>
        <v>39576</v>
      </c>
      <c r="E16" s="585">
        <v>51001</v>
      </c>
      <c r="F16" s="1753">
        <f t="shared" si="1"/>
        <v>51001</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474282</v>
      </c>
      <c r="C19" s="1751">
        <f>SUM(C4:C18)</f>
        <v>0</v>
      </c>
      <c r="D19" s="1751">
        <f>SUM(D4:D18)</f>
        <v>474282</v>
      </c>
      <c r="E19" s="1751">
        <f>SUM(E4:E18)</f>
        <v>497606</v>
      </c>
      <c r="F19" s="1751">
        <f>SUM(F4:F18)</f>
        <v>497606</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1" colorId="8" zoomScale="102" zoomScaleNormal="102" workbookViewId="0">
      <selection activeCell="J39" sqref="J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628</v>
      </c>
      <c r="B1" s="2197"/>
      <c r="C1" s="721"/>
    </row>
    <row r="2" spans="1:7" ht="33.75" x14ac:dyDescent="0.2">
      <c r="A2" s="2205" t="s">
        <v>1801</v>
      </c>
      <c r="B2" s="2206"/>
      <c r="C2" s="1884" t="s">
        <v>1953</v>
      </c>
      <c r="D2" s="723" t="s">
        <v>1954</v>
      </c>
      <c r="E2" s="723" t="s">
        <v>1955</v>
      </c>
      <c r="F2" s="1884" t="s">
        <v>1956</v>
      </c>
    </row>
    <row r="3" spans="1:7" ht="15.75" customHeight="1" x14ac:dyDescent="0.2">
      <c r="A3" s="2209" t="s">
        <v>1113</v>
      </c>
      <c r="B3" s="2210"/>
      <c r="C3" s="2198"/>
      <c r="D3" s="2199"/>
      <c r="E3" s="2199"/>
      <c r="F3" s="2200"/>
    </row>
    <row r="4" spans="1:7" ht="12.75" customHeight="1" thickBot="1" x14ac:dyDescent="0.25">
      <c r="A4" s="2207" t="s">
        <v>629</v>
      </c>
      <c r="B4" s="2208"/>
      <c r="C4" s="581"/>
      <c r="D4" s="581"/>
      <c r="E4" s="581"/>
      <c r="F4" s="1755">
        <f>SUM(C4+D4)-E4</f>
        <v>0</v>
      </c>
    </row>
    <row r="5" spans="1:7" ht="15.75" customHeight="1" thickTop="1" x14ac:dyDescent="0.2">
      <c r="A5" s="2192" t="s">
        <v>1109</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4" t="s">
        <v>630</v>
      </c>
      <c r="B15" s="2195"/>
      <c r="C15" s="1755">
        <f>SUM(C6:C14)</f>
        <v>0</v>
      </c>
      <c r="D15" s="1755">
        <f>SUM(D6:D14)</f>
        <v>0</v>
      </c>
      <c r="E15" s="1755">
        <f>SUM(E6:E14)</f>
        <v>0</v>
      </c>
      <c r="F15" s="1755">
        <f>SUM(F6:F14)</f>
        <v>0</v>
      </c>
      <c r="G15" s="552"/>
    </row>
    <row r="16" spans="1:7" s="202" customFormat="1" ht="15.75" customHeight="1" thickTop="1" x14ac:dyDescent="0.2">
      <c r="A16" s="2204" t="s">
        <v>1110</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387</v>
      </c>
      <c r="B19" s="2218"/>
      <c r="C19" s="726"/>
      <c r="D19" s="585"/>
      <c r="E19" s="726"/>
      <c r="F19" s="1755">
        <f>SUM(C19+D19)-E19</f>
        <v>0</v>
      </c>
    </row>
    <row r="20" spans="1:11" ht="12.75" customHeight="1" thickTop="1" thickBot="1" x14ac:dyDescent="0.25">
      <c r="A20" s="2217" t="s">
        <v>447</v>
      </c>
      <c r="B20" s="2218"/>
      <c r="C20" s="726"/>
      <c r="D20" s="585"/>
      <c r="E20" s="726"/>
      <c r="F20" s="1755">
        <f>SUM(C20+D20)-E20</f>
        <v>0</v>
      </c>
    </row>
    <row r="21" spans="1:11" ht="14.25" thickTop="1" thickBot="1" x14ac:dyDescent="0.25">
      <c r="A21" s="2194" t="s">
        <v>631</v>
      </c>
      <c r="B21" s="2195"/>
      <c r="C21" s="1755">
        <f>SUM(C17:C20)</f>
        <v>0</v>
      </c>
      <c r="D21" s="1755">
        <f>SUM(D17:D20)</f>
        <v>0</v>
      </c>
      <c r="E21" s="1755">
        <f>SUM(E17:E20)</f>
        <v>0</v>
      </c>
      <c r="F21" s="1755">
        <f>SUM(F17:F20)</f>
        <v>0</v>
      </c>
      <c r="G21" s="552"/>
    </row>
    <row r="22" spans="1:11" ht="15.75" customHeight="1" thickTop="1" x14ac:dyDescent="0.2">
      <c r="A22" s="2219" t="s">
        <v>1111</v>
      </c>
      <c r="B22" s="2193"/>
      <c r="C22" s="2201"/>
      <c r="D22" s="2202"/>
      <c r="E22" s="2202"/>
      <c r="F22" s="2203"/>
    </row>
    <row r="23" spans="1:11" ht="13.5" thickBot="1" x14ac:dyDescent="0.25">
      <c r="A23" s="2207" t="s">
        <v>632</v>
      </c>
      <c r="B23" s="2208"/>
      <c r="C23" s="581"/>
      <c r="D23" s="581"/>
      <c r="E23" s="581"/>
      <c r="F23" s="1755">
        <f>SUM(C23+D23)-E23</f>
        <v>0</v>
      </c>
      <c r="G23" s="552"/>
    </row>
    <row r="24" spans="1:11" ht="15.75" customHeight="1" thickTop="1" x14ac:dyDescent="0.2">
      <c r="A24" s="2219" t="s">
        <v>1112</v>
      </c>
      <c r="B24" s="2193"/>
      <c r="C24" s="2201"/>
      <c r="D24" s="2202"/>
      <c r="E24" s="2202"/>
      <c r="F24" s="2203"/>
    </row>
    <row r="25" spans="1:11" ht="13.5" thickBot="1" x14ac:dyDescent="0.25">
      <c r="A25" s="2207" t="s">
        <v>633</v>
      </c>
      <c r="B25" s="2208"/>
      <c r="C25" s="581"/>
      <c r="D25" s="581"/>
      <c r="E25" s="581"/>
      <c r="F25" s="1755">
        <f>SUM(C25+D25)-E25</f>
        <v>0</v>
      </c>
      <c r="G25" s="552"/>
    </row>
    <row r="26" spans="1:11" ht="15.75" customHeight="1" thickTop="1" x14ac:dyDescent="0.2">
      <c r="A26" s="2192" t="s">
        <v>656</v>
      </c>
      <c r="B26" s="2193"/>
      <c r="C26" s="727"/>
      <c r="D26" s="727"/>
      <c r="E26" s="727"/>
      <c r="F26" s="728"/>
    </row>
    <row r="27" spans="1:11" ht="13.5" thickBot="1" x14ac:dyDescent="0.25">
      <c r="A27" s="2194" t="s">
        <v>1069</v>
      </c>
      <c r="B27" s="2195"/>
      <c r="C27" s="585"/>
      <c r="D27" s="585"/>
      <c r="E27" s="585"/>
      <c r="F27" s="1755">
        <f>SUM(C27+D27)-E27</f>
        <v>0</v>
      </c>
      <c r="G27" s="552"/>
    </row>
    <row r="28" spans="1:11" ht="7.5" customHeight="1" thickTop="1" x14ac:dyDescent="0.2">
      <c r="A28" s="593"/>
    </row>
    <row r="29" spans="1:11" ht="23.25" customHeight="1" x14ac:dyDescent="0.2">
      <c r="A29" s="2220" t="s">
        <v>581</v>
      </c>
      <c r="B29" s="2197"/>
      <c r="C29" s="729"/>
      <c r="D29" s="729"/>
      <c r="E29" s="729"/>
      <c r="F29" s="729"/>
      <c r="G29" s="729"/>
      <c r="H29" s="729"/>
      <c r="I29" s="729"/>
      <c r="J29" s="729"/>
    </row>
    <row r="30" spans="1:11" ht="33.75" x14ac:dyDescent="0.2">
      <c r="A30" s="1529" t="s">
        <v>1070</v>
      </c>
      <c r="B30" s="730" t="s">
        <v>1123</v>
      </c>
      <c r="C30" s="1885" t="s">
        <v>582</v>
      </c>
      <c r="D30" s="1885" t="s">
        <v>1672</v>
      </c>
      <c r="E30" s="1885" t="s">
        <v>1957</v>
      </c>
      <c r="F30" s="1885" t="s">
        <v>1958</v>
      </c>
      <c r="G30" s="1885" t="s">
        <v>1909</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t="s">
        <v>2078</v>
      </c>
      <c r="B32" s="733">
        <v>42074</v>
      </c>
      <c r="C32" s="734">
        <v>185000</v>
      </c>
      <c r="D32" s="735">
        <v>1</v>
      </c>
      <c r="E32" s="734">
        <v>60000</v>
      </c>
      <c r="F32" s="734"/>
      <c r="G32" s="734"/>
      <c r="H32" s="734">
        <v>60000</v>
      </c>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t="s">
        <v>2079</v>
      </c>
      <c r="B34" s="733">
        <v>43510</v>
      </c>
      <c r="C34" s="734">
        <v>104000</v>
      </c>
      <c r="D34" s="735">
        <v>1</v>
      </c>
      <c r="E34" s="734"/>
      <c r="F34" s="734">
        <v>104000</v>
      </c>
      <c r="G34" s="734"/>
      <c r="H34" s="734"/>
      <c r="I34" s="1756">
        <f t="shared" si="1"/>
        <v>104000</v>
      </c>
      <c r="J34" s="734">
        <v>99466</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t="s">
        <v>2080</v>
      </c>
      <c r="B36" s="733">
        <v>43510</v>
      </c>
      <c r="C36" s="734">
        <v>84000</v>
      </c>
      <c r="D36" s="735">
        <v>1</v>
      </c>
      <c r="E36" s="734"/>
      <c r="F36" s="734">
        <v>84000</v>
      </c>
      <c r="G36" s="734"/>
      <c r="H36" s="734"/>
      <c r="I36" s="1756">
        <f t="shared" si="1"/>
        <v>84000</v>
      </c>
      <c r="J36" s="734">
        <v>84000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t="s">
        <v>2081</v>
      </c>
      <c r="B38" s="733">
        <v>43622</v>
      </c>
      <c r="C38" s="734">
        <v>100150</v>
      </c>
      <c r="D38" s="741">
        <v>7</v>
      </c>
      <c r="E38" s="742"/>
      <c r="F38" s="742">
        <v>100150</v>
      </c>
      <c r="G38" s="742"/>
      <c r="H38" s="742"/>
      <c r="I38" s="1756">
        <f t="shared" si="1"/>
        <v>100150</v>
      </c>
      <c r="J38" s="743">
        <v>100150</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473150</v>
      </c>
      <c r="D49" s="745"/>
      <c r="E49" s="1756">
        <f t="shared" ref="E49:J49" si="2">SUM(E31:E48)</f>
        <v>60000</v>
      </c>
      <c r="F49" s="1756">
        <f t="shared" si="2"/>
        <v>288150</v>
      </c>
      <c r="G49" s="1756">
        <f t="shared" si="2"/>
        <v>0</v>
      </c>
      <c r="H49" s="1756">
        <f t="shared" si="2"/>
        <v>60000</v>
      </c>
      <c r="I49" s="1756">
        <f t="shared" si="2"/>
        <v>288150</v>
      </c>
      <c r="J49" s="1756">
        <f t="shared" si="2"/>
        <v>283616</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11" t="s">
        <v>583</v>
      </c>
      <c r="C52" s="2212"/>
      <c r="D52" s="2212"/>
      <c r="E52" s="749" t="s">
        <v>844</v>
      </c>
      <c r="F52" s="2213" t="s">
        <v>2082</v>
      </c>
      <c r="G52" s="2214"/>
      <c r="H52" s="736"/>
      <c r="I52" s="736"/>
      <c r="J52" s="746"/>
    </row>
    <row r="53" spans="1:11" ht="11.25" customHeight="1" x14ac:dyDescent="0.2">
      <c r="A53" s="750" t="s">
        <v>912</v>
      </c>
      <c r="B53" s="751" t="s">
        <v>950</v>
      </c>
      <c r="C53" s="746"/>
      <c r="D53" s="737"/>
      <c r="E53" s="749" t="s">
        <v>496</v>
      </c>
      <c r="F53" s="2215"/>
      <c r="G53" s="2216"/>
      <c r="H53" s="736"/>
      <c r="I53" s="736"/>
      <c r="J53" s="746"/>
    </row>
    <row r="54" spans="1:11" ht="11.25" customHeight="1" x14ac:dyDescent="0.2">
      <c r="A54" s="752" t="s">
        <v>913</v>
      </c>
      <c r="B54" s="747" t="s">
        <v>951</v>
      </c>
      <c r="C54" s="746"/>
      <c r="D54" s="737"/>
      <c r="E54" s="749" t="s">
        <v>497</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855</v>
      </c>
      <c r="B1" s="2246"/>
      <c r="C1" s="2246"/>
      <c r="D1" s="2246"/>
      <c r="E1" s="2246"/>
      <c r="F1" s="2246"/>
      <c r="G1" s="2247"/>
      <c r="H1" s="1530"/>
      <c r="I1" s="760"/>
      <c r="J1" s="433"/>
    </row>
    <row r="2" spans="1:11" ht="26.25" x14ac:dyDescent="0.2">
      <c r="A2" s="2224" t="s">
        <v>1676</v>
      </c>
      <c r="B2" s="2225"/>
      <c r="C2" s="2225"/>
      <c r="D2" s="2225"/>
      <c r="E2" s="2226"/>
      <c r="F2" s="761" t="s">
        <v>903</v>
      </c>
      <c r="G2" s="762" t="s">
        <v>1673</v>
      </c>
      <c r="H2" s="762" t="s">
        <v>409</v>
      </c>
      <c r="I2" s="762" t="s">
        <v>1157</v>
      </c>
      <c r="J2" s="762" t="s">
        <v>1811</v>
      </c>
      <c r="K2" s="762" t="s">
        <v>138</v>
      </c>
    </row>
    <row r="3" spans="1:11" x14ac:dyDescent="0.2">
      <c r="A3" s="2227" t="s">
        <v>1961</v>
      </c>
      <c r="B3" s="2228"/>
      <c r="C3" s="2228"/>
      <c r="D3" s="2228"/>
      <c r="E3" s="2229"/>
      <c r="F3" s="763"/>
      <c r="G3" s="764"/>
      <c r="H3" s="764">
        <v>0</v>
      </c>
      <c r="I3" s="764"/>
      <c r="J3" s="765">
        <v>42603</v>
      </c>
      <c r="K3" s="765"/>
    </row>
    <row r="4" spans="1:11" x14ac:dyDescent="0.2">
      <c r="A4" s="2230" t="s">
        <v>368</v>
      </c>
      <c r="B4" s="2231"/>
      <c r="C4" s="2231"/>
      <c r="D4" s="2231"/>
      <c r="E4" s="2212"/>
      <c r="F4" s="766"/>
      <c r="G4" s="767"/>
      <c r="H4" s="768"/>
      <c r="I4" s="767"/>
      <c r="J4" s="769"/>
      <c r="K4" s="769"/>
    </row>
    <row r="5" spans="1:11" x14ac:dyDescent="0.2">
      <c r="A5" s="2248" t="s">
        <v>1068</v>
      </c>
      <c r="B5" s="2221"/>
      <c r="C5" s="2221"/>
      <c r="D5" s="2221"/>
      <c r="E5" s="2249"/>
      <c r="F5" s="770" t="s">
        <v>847</v>
      </c>
      <c r="G5" s="771"/>
      <c r="H5" s="764">
        <v>3196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v>71764</v>
      </c>
      <c r="K8" s="769"/>
    </row>
    <row r="9" spans="1:11" x14ac:dyDescent="0.2">
      <c r="A9" s="778" t="s">
        <v>138</v>
      </c>
      <c r="B9" s="779"/>
      <c r="C9" s="779"/>
      <c r="D9" s="779"/>
      <c r="E9" s="780"/>
      <c r="F9" s="777" t="s">
        <v>852</v>
      </c>
      <c r="G9" s="782"/>
      <c r="H9" s="771"/>
      <c r="I9" s="771"/>
      <c r="J9" s="781"/>
      <c r="K9" s="765"/>
    </row>
    <row r="10" spans="1:11" x14ac:dyDescent="0.2">
      <c r="A10" s="2248" t="s">
        <v>1812</v>
      </c>
      <c r="B10" s="2221"/>
      <c r="C10" s="2221"/>
      <c r="D10" s="2221"/>
      <c r="E10" s="2250"/>
      <c r="F10" s="783" t="s">
        <v>861</v>
      </c>
      <c r="G10" s="782"/>
      <c r="H10" s="784"/>
      <c r="I10" s="764"/>
      <c r="J10" s="765"/>
      <c r="K10" s="765"/>
    </row>
    <row r="11" spans="1:11" x14ac:dyDescent="0.2">
      <c r="A11" s="2248" t="s">
        <v>160</v>
      </c>
      <c r="B11" s="2221"/>
      <c r="C11" s="2221"/>
      <c r="D11" s="2221"/>
      <c r="E11" s="2249"/>
      <c r="F11" s="770" t="s">
        <v>851</v>
      </c>
      <c r="G11" s="771"/>
      <c r="H11" s="764"/>
      <c r="I11" s="764"/>
      <c r="J11" s="765"/>
      <c r="K11" s="773"/>
    </row>
    <row r="12" spans="1:11" ht="13.5" thickBot="1" x14ac:dyDescent="0.25">
      <c r="A12" s="2238" t="s">
        <v>904</v>
      </c>
      <c r="B12" s="2239"/>
      <c r="C12" s="2239"/>
      <c r="D12" s="2239"/>
      <c r="E12" s="2240"/>
      <c r="F12" s="1757"/>
      <c r="G12" s="1758">
        <f>SUM(G5:G11)</f>
        <v>0</v>
      </c>
      <c r="H12" s="1758">
        <f>SUM(H5:H11)</f>
        <v>3196</v>
      </c>
      <c r="I12" s="1758">
        <f>SUM(I5:I11)</f>
        <v>0</v>
      </c>
      <c r="J12" s="1758">
        <f>SUM(J5:J11)</f>
        <v>71764</v>
      </c>
      <c r="K12" s="1758">
        <f>SUM(K5:K11)</f>
        <v>0</v>
      </c>
    </row>
    <row r="13" spans="1:11" ht="13.5" thickTop="1" x14ac:dyDescent="0.2">
      <c r="A13" s="2232" t="s">
        <v>369</v>
      </c>
      <c r="B13" s="2233"/>
      <c r="C13" s="2233"/>
      <c r="D13" s="2233"/>
      <c r="E13" s="2234"/>
      <c r="F13" s="785"/>
      <c r="G13" s="786"/>
      <c r="H13" s="787"/>
      <c r="I13" s="788"/>
      <c r="J13" s="788"/>
      <c r="K13" s="788"/>
    </row>
    <row r="14" spans="1:11" x14ac:dyDescent="0.2">
      <c r="A14" s="2254" t="s">
        <v>455</v>
      </c>
      <c r="B14" s="2254"/>
      <c r="C14" s="2254"/>
      <c r="D14" s="2254"/>
      <c r="E14" s="2255"/>
      <c r="F14" s="789" t="s">
        <v>853</v>
      </c>
      <c r="G14" s="782"/>
      <c r="H14" s="764">
        <v>3196</v>
      </c>
      <c r="I14" s="771"/>
      <c r="J14" s="773"/>
      <c r="K14" s="765"/>
    </row>
    <row r="15" spans="1:11" x14ac:dyDescent="0.2">
      <c r="A15" s="2221" t="s">
        <v>4</v>
      </c>
      <c r="B15" s="2221"/>
      <c r="C15" s="2221"/>
      <c r="D15" s="2221"/>
      <c r="E15" s="2249"/>
      <c r="F15" s="789" t="s">
        <v>854</v>
      </c>
      <c r="G15" s="771"/>
      <c r="H15" s="764"/>
      <c r="I15" s="764"/>
      <c r="J15" s="765">
        <v>81961</v>
      </c>
      <c r="K15" s="765"/>
    </row>
    <row r="16" spans="1:11" x14ac:dyDescent="0.2">
      <c r="A16" s="2221" t="s">
        <v>297</v>
      </c>
      <c r="B16" s="2221"/>
      <c r="C16" s="2221"/>
      <c r="D16" s="2221"/>
      <c r="E16" s="2249"/>
      <c r="F16" s="789" t="s">
        <v>922</v>
      </c>
      <c r="G16" s="772"/>
      <c r="H16" s="767"/>
      <c r="I16" s="767"/>
      <c r="J16" s="769"/>
      <c r="K16" s="769"/>
    </row>
    <row r="17" spans="1:11" x14ac:dyDescent="0.2">
      <c r="A17" s="2243" t="s">
        <v>934</v>
      </c>
      <c r="B17" s="2243"/>
      <c r="C17" s="2243"/>
      <c r="D17" s="2243"/>
      <c r="E17" s="2244"/>
      <c r="F17" s="790"/>
      <c r="G17" s="791"/>
      <c r="H17" s="792"/>
      <c r="I17" s="792"/>
      <c r="J17" s="793"/>
      <c r="K17" s="794"/>
    </row>
    <row r="18" spans="1:11" x14ac:dyDescent="0.2">
      <c r="A18" s="2235" t="s">
        <v>367</v>
      </c>
      <c r="B18" s="2236"/>
      <c r="C18" s="2236"/>
      <c r="D18" s="2236"/>
      <c r="E18" s="2237"/>
      <c r="F18" s="789" t="s">
        <v>931</v>
      </c>
      <c r="G18" s="782"/>
      <c r="H18" s="782"/>
      <c r="I18" s="782"/>
      <c r="J18" s="765"/>
      <c r="K18" s="795"/>
    </row>
    <row r="19" spans="1:11" ht="21.75" customHeight="1" x14ac:dyDescent="0.2">
      <c r="A19" s="2256" t="s">
        <v>1808</v>
      </c>
      <c r="B19" s="2256"/>
      <c r="C19" s="2256"/>
      <c r="D19" s="2256"/>
      <c r="E19" s="2257"/>
      <c r="F19" s="789" t="s">
        <v>932</v>
      </c>
      <c r="G19" s="782"/>
      <c r="H19" s="782"/>
      <c r="I19" s="782"/>
      <c r="J19" s="765"/>
      <c r="K19" s="795"/>
    </row>
    <row r="20" spans="1:11" x14ac:dyDescent="0.2">
      <c r="A20" s="2235" t="s">
        <v>1813</v>
      </c>
      <c r="B20" s="2236"/>
      <c r="C20" s="2236"/>
      <c r="D20" s="2236"/>
      <c r="E20" s="2237"/>
      <c r="F20" s="789" t="s">
        <v>933</v>
      </c>
      <c r="G20" s="782"/>
      <c r="H20" s="782"/>
      <c r="I20" s="782"/>
      <c r="J20" s="765"/>
      <c r="K20" s="795"/>
    </row>
    <row r="21" spans="1:11" ht="13.5" thickBot="1" x14ac:dyDescent="0.25">
      <c r="A21" s="2241" t="s">
        <v>637</v>
      </c>
      <c r="B21" s="2241"/>
      <c r="C21" s="2241"/>
      <c r="D21" s="2241"/>
      <c r="E21" s="2241"/>
      <c r="F21" s="1759"/>
      <c r="G21" s="792"/>
      <c r="H21" s="796"/>
      <c r="I21" s="796"/>
      <c r="J21" s="1760">
        <f>SUM(J18:J20)</f>
        <v>0</v>
      </c>
      <c r="K21" s="793"/>
    </row>
    <row r="22" spans="1:11" ht="13.5" thickTop="1" x14ac:dyDescent="0.2">
      <c r="A22" s="2221" t="s">
        <v>1814</v>
      </c>
      <c r="B22" s="2221"/>
      <c r="C22" s="2221"/>
      <c r="D22" s="2221"/>
      <c r="E22" s="2249"/>
      <c r="F22" s="789" t="s">
        <v>861</v>
      </c>
      <c r="G22" s="782"/>
      <c r="H22" s="764"/>
      <c r="I22" s="764"/>
      <c r="J22" s="797"/>
      <c r="K22" s="765"/>
    </row>
    <row r="23" spans="1:11" ht="13.5" thickBot="1" x14ac:dyDescent="0.25">
      <c r="A23" s="2242" t="s">
        <v>905</v>
      </c>
      <c r="B23" s="2241"/>
      <c r="C23" s="2241"/>
      <c r="D23" s="2241"/>
      <c r="E23" s="2241"/>
      <c r="F23" s="1761"/>
      <c r="G23" s="1758">
        <f>SUM(G14:G16,G21,G22)</f>
        <v>0</v>
      </c>
      <c r="H23" s="1758">
        <f>SUM(H14:H16,H21,H22)</f>
        <v>3196</v>
      </c>
      <c r="I23" s="1758">
        <f>SUM(I14:I16,I21,I22)</f>
        <v>0</v>
      </c>
      <c r="J23" s="1758">
        <f>SUM(J14:J16,J21,J22)</f>
        <v>81961</v>
      </c>
      <c r="K23" s="1758">
        <f>SUM(K14:K16,K21,K22)</f>
        <v>0</v>
      </c>
    </row>
    <row r="24" spans="1:11" ht="14.25" thickTop="1" thickBot="1" x14ac:dyDescent="0.25">
      <c r="A24" s="2242" t="s">
        <v>1962</v>
      </c>
      <c r="B24" s="2241"/>
      <c r="C24" s="2241"/>
      <c r="D24" s="2241"/>
      <c r="E24" s="2241"/>
      <c r="F24" s="1762"/>
      <c r="G24" s="1763">
        <f>SUM(G3,G12)-G23</f>
        <v>0</v>
      </c>
      <c r="H24" s="1763">
        <f>SUM(H3,H12)-H23</f>
        <v>0</v>
      </c>
      <c r="I24" s="1763">
        <f>SUM(I3,I12)-I23</f>
        <v>0</v>
      </c>
      <c r="J24" s="1763">
        <f>SUM(J3,J12)-J23</f>
        <v>32406</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32406</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1"/>
      <c r="I31" s="2252"/>
      <c r="J31" s="2252"/>
      <c r="K31" s="2252"/>
    </row>
    <row r="32" spans="1:11" x14ac:dyDescent="0.2">
      <c r="A32" s="809"/>
      <c r="B32" s="237"/>
      <c r="C32" s="237"/>
      <c r="D32" s="237"/>
      <c r="E32" s="805"/>
      <c r="F32" s="811" t="s">
        <v>539</v>
      </c>
      <c r="G32" s="764"/>
      <c r="H32" s="2253"/>
      <c r="I32" s="2252"/>
      <c r="J32" s="2252"/>
      <c r="K32" s="2252"/>
    </row>
    <row r="33" spans="1:11" ht="1.5" customHeight="1" x14ac:dyDescent="0.2">
      <c r="A33" s="812" t="s">
        <v>1168</v>
      </c>
      <c r="B33" s="364"/>
      <c r="C33" s="364"/>
      <c r="D33" s="364"/>
      <c r="E33" s="364"/>
      <c r="F33" s="364"/>
      <c r="G33" s="813"/>
      <c r="H33" s="2253"/>
      <c r="I33" s="2252"/>
      <c r="J33" s="2252"/>
      <c r="K33" s="2252"/>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1" t="s">
        <v>540</v>
      </c>
      <c r="B41" s="2222"/>
      <c r="C41" s="2222"/>
      <c r="D41" s="2222"/>
      <c r="E41" s="2222"/>
      <c r="F41" s="222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1907</v>
      </c>
      <c r="B1" s="2261"/>
      <c r="C1" s="2262"/>
      <c r="D1" s="826"/>
      <c r="E1" s="827"/>
      <c r="F1" s="827"/>
      <c r="G1" s="828"/>
      <c r="H1" s="829"/>
      <c r="I1" s="830"/>
      <c r="J1" s="2258"/>
      <c r="K1" s="2259"/>
      <c r="L1" s="2259"/>
    </row>
    <row r="2" spans="1:14" ht="69.75" customHeight="1" x14ac:dyDescent="0.2">
      <c r="A2" s="831" t="s">
        <v>1677</v>
      </c>
      <c r="B2" s="832" t="s">
        <v>377</v>
      </c>
      <c r="C2" s="833" t="s">
        <v>1963</v>
      </c>
      <c r="D2" s="833" t="s">
        <v>1964</v>
      </c>
      <c r="E2" s="833" t="s">
        <v>1965</v>
      </c>
      <c r="F2" s="833" t="s">
        <v>1966</v>
      </c>
      <c r="G2" s="833" t="s">
        <v>604</v>
      </c>
      <c r="H2" s="833" t="s">
        <v>1967</v>
      </c>
      <c r="I2" s="833" t="s">
        <v>1968</v>
      </c>
      <c r="J2" s="833" t="s">
        <v>1969</v>
      </c>
      <c r="K2" s="833" t="s">
        <v>1970</v>
      </c>
      <c r="L2" s="833" t="s">
        <v>1971</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22962</v>
      </c>
      <c r="D5" s="841"/>
      <c r="E5" s="841"/>
      <c r="F5" s="1760">
        <f>(C5+D5)-E5</f>
        <v>22962</v>
      </c>
      <c r="G5" s="837"/>
      <c r="H5" s="842"/>
      <c r="I5" s="842"/>
      <c r="J5" s="842"/>
      <c r="K5" s="793"/>
      <c r="L5" s="1769">
        <f>F5-K5</f>
        <v>22962</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3612449</v>
      </c>
      <c r="D8" s="844"/>
      <c r="E8" s="844">
        <v>129063</v>
      </c>
      <c r="F8" s="1760">
        <f>(C8+D8)-E8</f>
        <v>3483386</v>
      </c>
      <c r="G8" s="843">
        <v>50</v>
      </c>
      <c r="H8" s="765">
        <v>1430357</v>
      </c>
      <c r="I8" s="765">
        <v>68874</v>
      </c>
      <c r="J8" s="765">
        <v>129063</v>
      </c>
      <c r="K8" s="1769">
        <f>(H8+I8)-J8</f>
        <v>1370168</v>
      </c>
      <c r="L8" s="1769">
        <f>F8-K8</f>
        <v>2113218</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208554</v>
      </c>
      <c r="D10" s="846">
        <v>117155</v>
      </c>
      <c r="E10" s="846"/>
      <c r="F10" s="1764">
        <f>(C10+D10)-E10</f>
        <v>325709</v>
      </c>
      <c r="G10" s="843">
        <v>20</v>
      </c>
      <c r="H10" s="847">
        <v>34932</v>
      </c>
      <c r="I10" s="847">
        <v>16286</v>
      </c>
      <c r="J10" s="847"/>
      <c r="K10" s="1769">
        <f>(H10+I10)-J10</f>
        <v>51218</v>
      </c>
      <c r="L10" s="1769">
        <f>F10-K10</f>
        <v>274491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186057</v>
      </c>
      <c r="D12" s="844">
        <v>12167</v>
      </c>
      <c r="E12" s="844"/>
      <c r="F12" s="1760">
        <f>(C12+D12)-E12</f>
        <v>198224</v>
      </c>
      <c r="G12" s="843">
        <v>10</v>
      </c>
      <c r="H12" s="765">
        <v>70852</v>
      </c>
      <c r="I12" s="765">
        <v>19798</v>
      </c>
      <c r="J12" s="765"/>
      <c r="K12" s="1769">
        <f>(H12+I12)-J12</f>
        <v>90650</v>
      </c>
      <c r="L12" s="1769">
        <f>F12-K12</f>
        <v>107574</v>
      </c>
    </row>
    <row r="13" spans="1:14" ht="14.25" thickTop="1" thickBot="1" x14ac:dyDescent="0.25">
      <c r="A13" s="848" t="s">
        <v>1121</v>
      </c>
      <c r="B13" s="840">
        <v>252</v>
      </c>
      <c r="C13" s="844">
        <v>157583</v>
      </c>
      <c r="D13" s="844">
        <v>15058</v>
      </c>
      <c r="E13" s="844">
        <v>33019</v>
      </c>
      <c r="F13" s="1760">
        <f>(C13+D13)-E13</f>
        <v>139622</v>
      </c>
      <c r="G13" s="843">
        <v>5</v>
      </c>
      <c r="H13" s="765">
        <v>112367</v>
      </c>
      <c r="I13" s="765">
        <v>27924</v>
      </c>
      <c r="J13" s="765">
        <v>33019</v>
      </c>
      <c r="K13" s="1769">
        <f>(H13+I13)-J13</f>
        <v>107272</v>
      </c>
      <c r="L13" s="1769">
        <f>F13-K13</f>
        <v>32350</v>
      </c>
    </row>
    <row r="14" spans="1:14" ht="14.25" thickTop="1" thickBot="1" x14ac:dyDescent="0.25">
      <c r="A14" s="848" t="s">
        <v>1122</v>
      </c>
      <c r="B14" s="840">
        <v>253</v>
      </c>
      <c r="C14" s="765"/>
      <c r="D14" s="765">
        <v>31067</v>
      </c>
      <c r="E14" s="765"/>
      <c r="F14" s="1760">
        <f>(C14+D14)-E14</f>
        <v>31067</v>
      </c>
      <c r="G14" s="843">
        <v>3</v>
      </c>
      <c r="H14" s="765"/>
      <c r="I14" s="765">
        <v>10356</v>
      </c>
      <c r="J14" s="765"/>
      <c r="K14" s="1769">
        <f>(H14+I14)-J14</f>
        <v>10356</v>
      </c>
      <c r="L14" s="1769">
        <f>F14-K14</f>
        <v>20711</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4187605</v>
      </c>
      <c r="D16" s="1760">
        <f>SUM(D3,D5:D6,D8:D10,D12:D15)</f>
        <v>175447</v>
      </c>
      <c r="E16" s="1760">
        <f>SUM(E3,E5:E6,E8:E10,E12:E15)</f>
        <v>162082</v>
      </c>
      <c r="F16" s="1760">
        <f>SUM(F3,F5:F6,F8:F10,F12:F15)</f>
        <v>4200970</v>
      </c>
      <c r="G16" s="843"/>
      <c r="H16" s="1760">
        <f>SUM(H3,H6,H8:H10,H12:H14,)</f>
        <v>1648508</v>
      </c>
      <c r="I16" s="1760">
        <f>SUM(I3,I6,I8:I10,I12:I14,)</f>
        <v>143238</v>
      </c>
      <c r="J16" s="1760">
        <f>SUM(J3,J6,J8:J10,J12:J14,)</f>
        <v>162082</v>
      </c>
      <c r="K16" s="1760">
        <f>(H16+I16)-J16</f>
        <v>1629664</v>
      </c>
      <c r="L16" s="1760">
        <f>F16-K16</f>
        <v>2571306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779</v>
      </c>
      <c r="G17" s="837">
        <v>10</v>
      </c>
      <c r="H17" s="769"/>
      <c r="I17" s="1769">
        <f>F17/G17</f>
        <v>77.900000000000006</v>
      </c>
      <c r="J17" s="769"/>
      <c r="K17" s="795"/>
      <c r="L17" s="795"/>
    </row>
    <row r="18" spans="1:12" ht="14.25" thickTop="1" thickBot="1" x14ac:dyDescent="0.25">
      <c r="A18" s="1767" t="s">
        <v>684</v>
      </c>
      <c r="B18" s="1768"/>
      <c r="C18" s="771"/>
      <c r="D18" s="771"/>
      <c r="E18" s="771"/>
      <c r="F18" s="850"/>
      <c r="G18" s="851"/>
      <c r="H18" s="773"/>
      <c r="I18" s="1760">
        <f>SUM(I16,I17)</f>
        <v>143315.9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1972</v>
      </c>
      <c r="B1" s="2267"/>
      <c r="C1" s="2267"/>
      <c r="D1" s="2267"/>
      <c r="E1" s="2267"/>
      <c r="F1" s="2268"/>
      <c r="G1" s="855"/>
    </row>
    <row r="2" spans="1:7" ht="15" customHeight="1" thickBot="1" x14ac:dyDescent="0.25">
      <c r="A2" s="2269" t="s">
        <v>476</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2"/>
      <c r="B5" s="2273"/>
      <c r="C5" s="2273"/>
      <c r="D5" s="2273"/>
      <c r="E5" s="2273"/>
      <c r="F5" s="2273"/>
    </row>
    <row r="6" spans="1:7" ht="13.5" customHeight="1" thickBot="1" x14ac:dyDescent="0.25">
      <c r="A6" s="2263" t="s">
        <v>1103</v>
      </c>
      <c r="B6" s="2264"/>
      <c r="C6" s="2264"/>
      <c r="D6" s="2264"/>
      <c r="E6" s="2264"/>
      <c r="F6" s="226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2297248</v>
      </c>
      <c r="G8" s="865"/>
    </row>
    <row r="9" spans="1:7" x14ac:dyDescent="0.2">
      <c r="A9" s="869" t="s">
        <v>459</v>
      </c>
      <c r="B9" s="870" t="s">
        <v>1875</v>
      </c>
      <c r="C9" s="871"/>
      <c r="D9" s="869" t="s">
        <v>500</v>
      </c>
      <c r="E9" s="868"/>
      <c r="F9" s="1909">
        <f>'Expenditures 15-22'!K151</f>
        <v>157776</v>
      </c>
      <c r="G9" s="872"/>
    </row>
    <row r="10" spans="1:7" x14ac:dyDescent="0.2">
      <c r="A10" s="869" t="s">
        <v>498</v>
      </c>
      <c r="B10" s="870" t="s">
        <v>1876</v>
      </c>
      <c r="C10" s="871"/>
      <c r="D10" s="869" t="s">
        <v>500</v>
      </c>
      <c r="E10" s="868"/>
      <c r="F10" s="1909">
        <f>'Expenditures 15-22'!K174</f>
        <v>76774</v>
      </c>
      <c r="G10" s="872"/>
    </row>
    <row r="11" spans="1:7" x14ac:dyDescent="0.2">
      <c r="A11" s="869" t="s">
        <v>460</v>
      </c>
      <c r="B11" s="870" t="s">
        <v>1877</v>
      </c>
      <c r="C11" s="871"/>
      <c r="D11" s="869" t="s">
        <v>500</v>
      </c>
      <c r="E11" s="868"/>
      <c r="F11" s="1909">
        <f>'Expenditures 15-22'!K210</f>
        <v>222300</v>
      </c>
      <c r="G11" s="872"/>
    </row>
    <row r="12" spans="1:7" x14ac:dyDescent="0.2">
      <c r="A12" s="869" t="s">
        <v>461</v>
      </c>
      <c r="B12" s="870" t="s">
        <v>1878</v>
      </c>
      <c r="C12" s="871"/>
      <c r="D12" s="869" t="s">
        <v>500</v>
      </c>
      <c r="E12" s="868"/>
      <c r="F12" s="1909">
        <f>'Expenditures 15-22'!K295</f>
        <v>83959</v>
      </c>
      <c r="G12" s="872"/>
    </row>
    <row r="13" spans="1:7" x14ac:dyDescent="0.2">
      <c r="A13" s="869" t="s">
        <v>106</v>
      </c>
      <c r="B13" s="870" t="s">
        <v>1879</v>
      </c>
      <c r="C13" s="871"/>
      <c r="D13" s="869" t="s">
        <v>500</v>
      </c>
      <c r="E13" s="868"/>
      <c r="F13" s="1909">
        <f>'Expenditures 15-22'!K342</f>
        <v>52913</v>
      </c>
      <c r="G13" s="873"/>
    </row>
    <row r="14" spans="1:7" ht="12" customHeight="1" thickBot="1" x14ac:dyDescent="0.25">
      <c r="A14" s="1770"/>
      <c r="B14" s="1771"/>
      <c r="C14" s="1772"/>
      <c r="D14" s="1773" t="s">
        <v>500</v>
      </c>
      <c r="E14" s="1774" t="s">
        <v>957</v>
      </c>
      <c r="F14" s="1775">
        <f>SUM(F8:F13)</f>
        <v>2890970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1996</v>
      </c>
      <c r="C30" s="880">
        <f>'Revenues 9-14'!B150</f>
        <v>3499</v>
      </c>
      <c r="D30" s="881" t="str">
        <f>'Revenues 9-14'!A150</f>
        <v>Adult Ed - Other (Describe &amp; Itemize)</v>
      </c>
      <c r="E30" s="868"/>
      <c r="F30" s="1914">
        <f>('Revenues 9-14'!D150+'Revenues 9-14'!F150)</f>
        <v>0</v>
      </c>
      <c r="G30" s="865"/>
    </row>
    <row r="31" spans="1:7" x14ac:dyDescent="0.2">
      <c r="A31" s="869" t="s">
        <v>1096</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1999</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85339</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1303</v>
      </c>
      <c r="G52" s="865"/>
    </row>
    <row r="53" spans="1:7" x14ac:dyDescent="0.2">
      <c r="A53" s="869" t="s">
        <v>458</v>
      </c>
      <c r="B53" s="869" t="s">
        <v>1474</v>
      </c>
      <c r="C53" s="889">
        <f>'Expenditures 15-22'!B102</f>
        <v>4000</v>
      </c>
      <c r="D53" s="888" t="str">
        <f>'Expenditures 15-22'!A102</f>
        <v>Total Payments to Other Govt Units</v>
      </c>
      <c r="E53" s="868"/>
      <c r="F53" s="1913">
        <f>'Expenditures 15-22'!K102</f>
        <v>460469</v>
      </c>
      <c r="G53" s="865"/>
    </row>
    <row r="54" spans="1:7" x14ac:dyDescent="0.2">
      <c r="A54" s="869" t="s">
        <v>458</v>
      </c>
      <c r="B54" s="869" t="s">
        <v>1475</v>
      </c>
      <c r="C54" s="889" t="s">
        <v>981</v>
      </c>
      <c r="D54" s="885" t="s">
        <v>1094</v>
      </c>
      <c r="E54" s="868"/>
      <c r="F54" s="1913">
        <f>'Expenditures 15-22'!G114</f>
        <v>33653</v>
      </c>
      <c r="G54" s="865"/>
    </row>
    <row r="55" spans="1:7" x14ac:dyDescent="0.2">
      <c r="A55" s="869" t="s">
        <v>458</v>
      </c>
      <c r="B55" s="869" t="s">
        <v>1476</v>
      </c>
      <c r="C55" s="889" t="s">
        <v>981</v>
      </c>
      <c r="D55" s="885" t="s">
        <v>290</v>
      </c>
      <c r="E55" s="868"/>
      <c r="F55" s="1913">
        <f>'Expenditures 15-22'!I114</f>
        <v>779</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913">
        <f>'Expenditures 15-22'!K139</f>
        <v>30966</v>
      </c>
      <c r="G57" s="865"/>
    </row>
    <row r="58" spans="1:7" x14ac:dyDescent="0.2">
      <c r="A58" s="869" t="s">
        <v>459</v>
      </c>
      <c r="B58" s="869" t="s">
        <v>1881</v>
      </c>
      <c r="C58" s="886" t="s">
        <v>981</v>
      </c>
      <c r="D58" s="885" t="s">
        <v>1094</v>
      </c>
      <c r="E58" s="868"/>
      <c r="F58" s="1915">
        <f>'Expenditures 15-22'!G151</f>
        <v>62631</v>
      </c>
      <c r="G58" s="865"/>
    </row>
    <row r="59" spans="1:7" x14ac:dyDescent="0.2">
      <c r="A59" s="893" t="s">
        <v>459</v>
      </c>
      <c r="B59" s="856" t="s">
        <v>1882</v>
      </c>
      <c r="C59" s="894" t="s">
        <v>981</v>
      </c>
      <c r="D59" s="856" t="s">
        <v>290</v>
      </c>
      <c r="F59" s="1916">
        <f>'Expenditures 15-22'!I151</f>
        <v>0</v>
      </c>
      <c r="G59" s="865"/>
    </row>
    <row r="60" spans="1:7" x14ac:dyDescent="0.2">
      <c r="A60" s="893" t="s">
        <v>498</v>
      </c>
      <c r="B60" s="856" t="s">
        <v>1883</v>
      </c>
      <c r="C60" s="894">
        <v>4000</v>
      </c>
      <c r="D60" s="856" t="s">
        <v>311</v>
      </c>
      <c r="F60" s="1914">
        <f>'Expenditures 15-22'!K160</f>
        <v>0</v>
      </c>
      <c r="G60" s="865"/>
    </row>
    <row r="61" spans="1:7" x14ac:dyDescent="0.2">
      <c r="A61" s="895" t="s">
        <v>498</v>
      </c>
      <c r="B61" s="895" t="s">
        <v>1884</v>
      </c>
      <c r="C61" s="896" t="str">
        <f>'Expenditures 15-22'!B170</f>
        <v>5300</v>
      </c>
      <c r="D61" s="897" t="s">
        <v>310</v>
      </c>
      <c r="E61" s="879"/>
      <c r="F61" s="1913">
        <f>'Expenditures 15-22'!K170</f>
        <v>60000</v>
      </c>
      <c r="G61" s="865"/>
    </row>
    <row r="62" spans="1:7" x14ac:dyDescent="0.2">
      <c r="A62" s="869" t="s">
        <v>460</v>
      </c>
      <c r="B62" s="869" t="s">
        <v>1885</v>
      </c>
      <c r="C62" s="886">
        <f>'Expenditures 15-22'!B185</f>
        <v>3000</v>
      </c>
      <c r="D62" s="876" t="s">
        <v>448</v>
      </c>
      <c r="E62" s="868"/>
      <c r="F62" s="1913">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1887</v>
      </c>
      <c r="C64" s="896" t="str">
        <f>'Expenditures 15-22'!B206</f>
        <v>5300</v>
      </c>
      <c r="D64" s="892" t="s">
        <v>310</v>
      </c>
      <c r="E64" s="868"/>
      <c r="F64" s="1913">
        <f>'Expenditures 15-22'!K206</f>
        <v>0</v>
      </c>
      <c r="G64" s="865"/>
    </row>
    <row r="65" spans="1:8" x14ac:dyDescent="0.2">
      <c r="A65" s="869" t="s">
        <v>460</v>
      </c>
      <c r="B65" s="869" t="s">
        <v>1888</v>
      </c>
      <c r="C65" s="886" t="s">
        <v>981</v>
      </c>
      <c r="D65" s="885" t="s">
        <v>1094</v>
      </c>
      <c r="E65" s="868"/>
      <c r="F65" s="1913">
        <f>'Expenditures 15-22'!G210</f>
        <v>0</v>
      </c>
      <c r="G65" s="865"/>
    </row>
    <row r="66" spans="1:8" x14ac:dyDescent="0.2">
      <c r="A66" s="869" t="s">
        <v>460</v>
      </c>
      <c r="B66" s="869" t="s">
        <v>1889</v>
      </c>
      <c r="C66" s="886" t="s">
        <v>981</v>
      </c>
      <c r="D66" s="885" t="s">
        <v>290</v>
      </c>
      <c r="E66" s="868"/>
      <c r="F66" s="1913">
        <f>'Expenditures 15-22'!I210</f>
        <v>0</v>
      </c>
      <c r="G66" s="865"/>
    </row>
    <row r="67" spans="1:8" x14ac:dyDescent="0.2">
      <c r="A67" s="869" t="s">
        <v>461</v>
      </c>
      <c r="B67" s="869" t="s">
        <v>1890</v>
      </c>
      <c r="C67" s="886" t="str">
        <f>'Expenditures 15-22'!B216</f>
        <v>1125</v>
      </c>
      <c r="D67" s="892" t="str">
        <f>'Expenditures 15-22'!A216</f>
        <v>Pre-K Programs</v>
      </c>
      <c r="E67" s="868"/>
      <c r="F67" s="1913">
        <f>'Expenditures 15-22'!K216</f>
        <v>3819</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1892</v>
      </c>
      <c r="C70" s="886">
        <f>'Expenditures 15-22'!B221</f>
        <v>1300</v>
      </c>
      <c r="D70" s="887" t="str">
        <f>'Expenditures 15-22'!A221</f>
        <v>Adult/Continuing Education Programs</v>
      </c>
      <c r="E70" s="868"/>
      <c r="F70" s="1913">
        <f>'Expenditures 15-22'!K221</f>
        <v>0</v>
      </c>
      <c r="G70" s="865"/>
    </row>
    <row r="71" spans="1:8" x14ac:dyDescent="0.2">
      <c r="A71" s="869" t="s">
        <v>461</v>
      </c>
      <c r="B71" s="869" t="s">
        <v>1893</v>
      </c>
      <c r="C71" s="886">
        <f>'Expenditures 15-22'!B224</f>
        <v>1600</v>
      </c>
      <c r="D71" s="887" t="str">
        <f>'Expenditures 15-22'!A224</f>
        <v>Summer School Programs</v>
      </c>
      <c r="E71" s="868"/>
      <c r="F71" s="1913">
        <f>'Expenditures 15-22'!K224</f>
        <v>0</v>
      </c>
      <c r="G71" s="865"/>
    </row>
    <row r="72" spans="1:8" x14ac:dyDescent="0.2">
      <c r="A72" s="869" t="s">
        <v>461</v>
      </c>
      <c r="B72" s="869" t="s">
        <v>1894</v>
      </c>
      <c r="C72" s="886">
        <f>'Expenditures 15-22'!B280</f>
        <v>3000</v>
      </c>
      <c r="D72" s="876" t="s">
        <v>448</v>
      </c>
      <c r="E72" s="868"/>
      <c r="F72" s="1913">
        <f>'Expenditures 15-22'!K280</f>
        <v>0</v>
      </c>
      <c r="G72" s="865"/>
    </row>
    <row r="73" spans="1:8" x14ac:dyDescent="0.2">
      <c r="A73" s="869" t="s">
        <v>461</v>
      </c>
      <c r="B73" s="869" t="s">
        <v>1895</v>
      </c>
      <c r="C73" s="886" t="str">
        <f>'Expenditures 15-22'!B285</f>
        <v>4000</v>
      </c>
      <c r="D73" s="887" t="str">
        <f>'Expenditures 15-22'!A285</f>
        <v>Total Payments to Other Govt Units</v>
      </c>
      <c r="E73" s="868"/>
      <c r="F73" s="1913">
        <f>'Expenditures 15-22'!K285</f>
        <v>3258</v>
      </c>
      <c r="G73" s="865"/>
    </row>
    <row r="74" spans="1:8" x14ac:dyDescent="0.2">
      <c r="A74" s="869" t="s">
        <v>435</v>
      </c>
      <c r="B74" s="869" t="s">
        <v>1896</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957</v>
      </c>
      <c r="F76" s="1778">
        <f>SUM(F18:F74)</f>
        <v>742217</v>
      </c>
      <c r="G76" s="865"/>
    </row>
    <row r="77" spans="1:8" s="893" customFormat="1" ht="12" customHeight="1" thickTop="1" thickBot="1" x14ac:dyDescent="0.25">
      <c r="A77" s="1779"/>
      <c r="B77" s="1776"/>
      <c r="C77" s="1772"/>
      <c r="D77" s="1777" t="s">
        <v>1898</v>
      </c>
      <c r="E77" s="1774"/>
      <c r="F77" s="1780">
        <f>(F14-F76)</f>
        <v>2148753</v>
      </c>
      <c r="G77" s="869"/>
    </row>
    <row r="78" spans="1:8" s="893" customFormat="1" ht="12" customHeight="1" thickTop="1" x14ac:dyDescent="0.2">
      <c r="A78" s="1781"/>
      <c r="B78" s="1776"/>
      <c r="C78" s="1772"/>
      <c r="D78" s="1777" t="s">
        <v>2059</v>
      </c>
      <c r="E78" s="1774"/>
      <c r="F78" s="898">
        <v>204.8</v>
      </c>
      <c r="G78" s="899"/>
      <c r="H78" s="869"/>
    </row>
    <row r="79" spans="1:8" s="893" customFormat="1" ht="12" customHeight="1" thickBot="1" x14ac:dyDescent="0.25">
      <c r="A79" s="1782"/>
      <c r="B79" s="1776"/>
      <c r="C79" s="1772"/>
      <c r="D79" s="1777" t="s">
        <v>1899</v>
      </c>
      <c r="E79" s="1774" t="s">
        <v>957</v>
      </c>
      <c r="F79" s="1783">
        <f>IF(F78&gt;0,F77/F78," Complete Line 78")</f>
        <v>10491.9580078125</v>
      </c>
      <c r="G79" s="869"/>
    </row>
    <row r="80" spans="1:8" s="893" customFormat="1" ht="8.25" customHeight="1" thickTop="1" x14ac:dyDescent="0.2">
      <c r="A80" s="900"/>
      <c r="B80" s="869"/>
      <c r="C80" s="871"/>
      <c r="D80" s="901"/>
      <c r="E80" s="868"/>
      <c r="F80" s="902"/>
      <c r="G80" s="869"/>
    </row>
    <row r="81" spans="1:7" s="893" customFormat="1" ht="12" thickBot="1" x14ac:dyDescent="0.25">
      <c r="A81" s="2263" t="s">
        <v>1104</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1045</v>
      </c>
      <c r="G94" s="912"/>
    </row>
    <row r="95" spans="1:7" x14ac:dyDescent="0.2">
      <c r="A95" s="908" t="s">
        <v>140</v>
      </c>
      <c r="B95" s="908" t="s">
        <v>175</v>
      </c>
      <c r="C95" s="910">
        <v>1700</v>
      </c>
      <c r="D95" s="918" t="str">
        <f>'Revenues 9-14'!A82</f>
        <v>Total District/School Activity Income</v>
      </c>
      <c r="E95" s="906"/>
      <c r="F95" s="1789">
        <f>SUM('Revenues 9-14'!C82,'Revenues 9-14'!D82)</f>
        <v>3751</v>
      </c>
      <c r="G95" s="912"/>
    </row>
    <row r="96" spans="1:7" x14ac:dyDescent="0.2">
      <c r="A96" s="908" t="s">
        <v>458</v>
      </c>
      <c r="B96" s="908" t="s">
        <v>176</v>
      </c>
      <c r="C96" s="910">
        <f>'Revenues 9-14'!B84</f>
        <v>1811</v>
      </c>
      <c r="D96" s="911" t="str">
        <f>'Revenues 9-14'!A84</f>
        <v>Rentals - Regular Textbooks</v>
      </c>
      <c r="E96" s="906"/>
      <c r="F96" s="1789">
        <f>'Revenues 9-14'!C84</f>
        <v>436</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8179</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2000</v>
      </c>
      <c r="C105" s="913">
        <v>3100</v>
      </c>
      <c r="D105" s="919" t="str">
        <f>'Revenues 9-14'!A132</f>
        <v>Total Special Education</v>
      </c>
      <c r="E105" s="906"/>
      <c r="F105" s="1789">
        <f>SUM('Revenues 9-14'!C132:D132,'Revenues 9-14'!F132)</f>
        <v>41753</v>
      </c>
      <c r="G105" s="912"/>
    </row>
    <row r="106" spans="1:7" x14ac:dyDescent="0.2">
      <c r="A106" s="908" t="s">
        <v>672</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2002</v>
      </c>
      <c r="C107" s="920">
        <v>3300</v>
      </c>
      <c r="D107" s="911" t="str">
        <f>'Revenues 9-14'!A145</f>
        <v>Total Bilingual Ed</v>
      </c>
      <c r="E107" s="906"/>
      <c r="F107" s="1789">
        <f>SUM('Revenues 9-14'!C145,'Revenues 9-14'!G145)</f>
        <v>0</v>
      </c>
      <c r="G107" s="912"/>
    </row>
    <row r="108" spans="1:7" x14ac:dyDescent="0.2">
      <c r="A108" s="908" t="s">
        <v>458</v>
      </c>
      <c r="B108" s="908" t="s">
        <v>2003</v>
      </c>
      <c r="C108" s="920">
        <f>'Revenues 9-14'!B146</f>
        <v>3360</v>
      </c>
      <c r="D108" s="911" t="str">
        <f>'Revenues 9-14'!A146</f>
        <v>State Free Lunch &amp; Breakfast</v>
      </c>
      <c r="E108" s="906"/>
      <c r="F108" s="1789">
        <f>'Revenues 9-14'!C146</f>
        <v>3077</v>
      </c>
      <c r="G108" s="912"/>
    </row>
    <row r="109" spans="1:7" x14ac:dyDescent="0.2">
      <c r="A109" s="908" t="s">
        <v>672</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667</v>
      </c>
      <c r="B111" s="908" t="s">
        <v>2006</v>
      </c>
      <c r="C111" s="922">
        <v>3500</v>
      </c>
      <c r="D111" s="911" t="str">
        <f>'Revenues 9-14'!A155</f>
        <v>Total Transportation</v>
      </c>
      <c r="E111" s="906"/>
      <c r="F111" s="1789">
        <f>SUM('Revenues 9-14'!C155,'Revenues 9-14'!D155,'Revenues 9-14'!F155,'Revenues 9-14'!G155)</f>
        <v>114452</v>
      </c>
      <c r="G111" s="912"/>
    </row>
    <row r="112" spans="1:7" x14ac:dyDescent="0.2">
      <c r="A112" s="908" t="s">
        <v>458</v>
      </c>
      <c r="B112" s="908" t="s">
        <v>2007</v>
      </c>
      <c r="C112" s="920">
        <f>'Revenues 9-14'!B156</f>
        <v>3610</v>
      </c>
      <c r="D112" s="911" t="str">
        <f>'Revenues 9-14'!A156</f>
        <v>Learning Improvement - Change Grants</v>
      </c>
      <c r="E112" s="906"/>
      <c r="F112" s="1789">
        <f>'Revenues 9-14'!C156</f>
        <v>0</v>
      </c>
      <c r="G112" s="912"/>
    </row>
    <row r="113" spans="1:7" x14ac:dyDescent="0.2">
      <c r="A113" s="908" t="s">
        <v>667</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2013</v>
      </c>
      <c r="C118" s="924">
        <f>'Revenues 9-14'!B163</f>
        <v>3780</v>
      </c>
      <c r="D118" s="925" t="str">
        <f>'Revenues 9-14'!A163</f>
        <v>Technology - Technology for Success</v>
      </c>
      <c r="E118" s="906"/>
      <c r="F118" s="1907">
        <f>SUM('Revenues 9-14'!C163:G163)</f>
        <v>0</v>
      </c>
      <c r="G118" s="912"/>
    </row>
    <row r="119" spans="1:7" x14ac:dyDescent="0.2">
      <c r="A119" s="923" t="s">
        <v>503</v>
      </c>
      <c r="B119" s="923" t="s">
        <v>2014</v>
      </c>
      <c r="C119" s="924">
        <f>'Revenues 9-14'!B164</f>
        <v>3815</v>
      </c>
      <c r="D119" s="925" t="str">
        <f>'Revenues 9-14'!A164</f>
        <v>State Charter Schools</v>
      </c>
      <c r="E119" s="906"/>
      <c r="F119" s="1907">
        <f>SUM('Revenues 9-14'!C164,'Revenues 9-14'!F164)</f>
        <v>0</v>
      </c>
      <c r="G119" s="912"/>
    </row>
    <row r="120" spans="1:7" x14ac:dyDescent="0.2">
      <c r="A120" s="927" t="s">
        <v>459</v>
      </c>
      <c r="B120" s="927" t="s">
        <v>2015</v>
      </c>
      <c r="C120" s="928">
        <f>'Revenues 9-14'!B167</f>
        <v>3925</v>
      </c>
      <c r="D120" s="929" t="str">
        <f>'Revenues 9-14'!A167</f>
        <v>School Infrastructure - Maintenance Projects</v>
      </c>
      <c r="E120" s="906"/>
      <c r="F120" s="1789">
        <f>'Revenues 9-14'!D167</f>
        <v>0</v>
      </c>
      <c r="G120" s="930"/>
    </row>
    <row r="121" spans="1:7" x14ac:dyDescent="0.2">
      <c r="A121" s="927" t="s">
        <v>499</v>
      </c>
      <c r="B121" s="927" t="s">
        <v>2016</v>
      </c>
      <c r="C121" s="928">
        <f>'Revenues 9-14'!B168</f>
        <v>3999</v>
      </c>
      <c r="D121" s="929" t="s">
        <v>542</v>
      </c>
      <c r="E121" s="931"/>
      <c r="F121" s="1789">
        <f>SUM('Revenues 9-14'!C168:G168,'Revenues 9-14'!J168)</f>
        <v>46025</v>
      </c>
      <c r="G121" s="930"/>
    </row>
    <row r="122" spans="1:7" x14ac:dyDescent="0.2">
      <c r="A122" s="927" t="s">
        <v>458</v>
      </c>
      <c r="B122" s="927" t="s">
        <v>2017</v>
      </c>
      <c r="C122" s="932">
        <f>'Revenues 9-14'!B177</f>
        <v>4045</v>
      </c>
      <c r="D122" s="929" t="str">
        <f>'Revenues 9-14'!A177 &amp; " (Subtract)"</f>
        <v>Head Start (Subtract)</v>
      </c>
      <c r="E122" s="906"/>
      <c r="F122" s="1789">
        <f>SUM(-'Revenues 9-14'!C177)</f>
        <v>0</v>
      </c>
      <c r="G122" s="930"/>
    </row>
    <row r="123" spans="1:7" x14ac:dyDescent="0.2">
      <c r="A123" s="927" t="s">
        <v>667</v>
      </c>
      <c r="B123" s="927" t="s">
        <v>2018</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2019</v>
      </c>
      <c r="C124" s="932">
        <v>4100</v>
      </c>
      <c r="D124" s="933" t="str">
        <f>'Revenues 9-14'!A188</f>
        <v>Total Title V</v>
      </c>
      <c r="E124" s="906"/>
      <c r="F124" s="1789">
        <f>SUM('Revenues 9-14'!C188,'Revenues 9-14'!D188,'Revenues 9-14'!F188,'Revenues 9-14'!G188)</f>
        <v>0</v>
      </c>
      <c r="G124" s="930"/>
    </row>
    <row r="125" spans="1:7" x14ac:dyDescent="0.2">
      <c r="A125" s="927" t="s">
        <v>663</v>
      </c>
      <c r="B125" s="927" t="s">
        <v>2020</v>
      </c>
      <c r="C125" s="932">
        <v>4200</v>
      </c>
      <c r="D125" s="929" t="str">
        <f>'Revenues 9-14'!A198</f>
        <v>Total Food Service</v>
      </c>
      <c r="E125" s="906"/>
      <c r="F125" s="1789">
        <f>SUM('Revenues 9-14'!C198,'Revenues 9-14'!G198)</f>
        <v>136400</v>
      </c>
      <c r="G125" s="930"/>
    </row>
    <row r="126" spans="1:7" x14ac:dyDescent="0.2">
      <c r="A126" s="927" t="s">
        <v>667</v>
      </c>
      <c r="B126" s="927" t="s">
        <v>2021</v>
      </c>
      <c r="C126" s="932">
        <v>4300</v>
      </c>
      <c r="D126" s="933" t="str">
        <f>'Revenues 9-14'!A204</f>
        <v>Total Title I</v>
      </c>
      <c r="E126" s="906"/>
      <c r="F126" s="1789">
        <f>SUM('Revenues 9-14'!C204,'Revenues 9-14'!D204,'Revenues 9-14'!F204,'Revenues 9-14'!G204)</f>
        <v>127701</v>
      </c>
      <c r="G126" s="930"/>
    </row>
    <row r="127" spans="1:7" x14ac:dyDescent="0.2">
      <c r="A127" s="927" t="s">
        <v>667</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2023</v>
      </c>
      <c r="C128" s="932">
        <f>'Revenues 9-14'!B213</f>
        <v>4620</v>
      </c>
      <c r="D128" s="933" t="str">
        <f>'Revenues 9-14'!A213</f>
        <v>Fed - Spec Education - IDEA - Flow Through</v>
      </c>
      <c r="E128" s="906"/>
      <c r="F128" s="1789">
        <f>SUM('Revenues 9-14'!C213:D213,'Revenues 9-14'!F213:G213)</f>
        <v>7208</v>
      </c>
      <c r="G128" s="930"/>
    </row>
    <row r="129" spans="1:7" x14ac:dyDescent="0.2">
      <c r="A129" s="927" t="s">
        <v>667</v>
      </c>
      <c r="B129" s="927" t="s">
        <v>2024</v>
      </c>
      <c r="C129" s="932">
        <f>'Revenues 9-14'!B214</f>
        <v>4625</v>
      </c>
      <c r="D129" s="933" t="str">
        <f>'Revenues 9-14'!A214</f>
        <v>Fed - Spec Education - IDEA - Room &amp; Board</v>
      </c>
      <c r="E129" s="906"/>
      <c r="F129" s="1789">
        <f>SUM('Revenues 9-14'!C214,'Revenues 9-14'!D214,'Revenues 9-14'!F214,'Revenues 9-14'!G214)</f>
        <v>4086</v>
      </c>
      <c r="G129" s="930"/>
    </row>
    <row r="130" spans="1:7" x14ac:dyDescent="0.2">
      <c r="A130" s="927" t="s">
        <v>667</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2041</v>
      </c>
      <c r="C157" s="940" t="s">
        <v>840</v>
      </c>
      <c r="D157" s="941" t="s">
        <v>776</v>
      </c>
      <c r="E157" s="942"/>
      <c r="F157" s="1789">
        <f>SUM(F133:F156)</f>
        <v>0</v>
      </c>
      <c r="G157" s="905"/>
    </row>
    <row r="158" spans="1:7" s="867" customFormat="1" x14ac:dyDescent="0.2">
      <c r="A158" s="938" t="s">
        <v>458</v>
      </c>
      <c r="B158" s="939" t="s">
        <v>2042</v>
      </c>
      <c r="C158" s="940" t="s">
        <v>1426</v>
      </c>
      <c r="D158" s="941" t="s">
        <v>1427</v>
      </c>
      <c r="E158" s="942"/>
      <c r="F158" s="1789">
        <f>SUM('Revenues 9-14'!C253)</f>
        <v>0</v>
      </c>
      <c r="G158" s="905"/>
    </row>
    <row r="159" spans="1:7" s="867" customFormat="1" x14ac:dyDescent="0.2">
      <c r="A159" s="938" t="s">
        <v>499</v>
      </c>
      <c r="B159" s="939" t="s">
        <v>2043</v>
      </c>
      <c r="C159" s="940" t="s">
        <v>1465</v>
      </c>
      <c r="D159" s="941" t="s">
        <v>1466</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2048</v>
      </c>
      <c r="C164" s="932">
        <f>'Revenues 9-14'!B259</f>
        <v>4932</v>
      </c>
      <c r="D164" s="933" t="str">
        <f>'Revenues 9-14'!A259</f>
        <v>Title II - Teacher Quality</v>
      </c>
      <c r="E164" s="906"/>
      <c r="F164" s="1907">
        <f>SUM('Revenues 9-14'!C259,'Revenues 9-14'!D259,'Revenues 9-14'!F259,'Revenues 9-14'!G259)</f>
        <v>4443</v>
      </c>
      <c r="G164" s="930"/>
    </row>
    <row r="165" spans="1:7" x14ac:dyDescent="0.2">
      <c r="A165" s="927" t="s">
        <v>667</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2050</v>
      </c>
      <c r="C168" s="932">
        <f>'Revenues 9-14'!B263</f>
        <v>4991</v>
      </c>
      <c r="D168" s="933" t="str">
        <f>'Revenues 9-14'!A263</f>
        <v>Medicaid Matching Funds - Administrative Outreach</v>
      </c>
      <c r="E168" s="906"/>
      <c r="F168" s="1789">
        <f>SUM('Revenues 9-14'!C263:D263,'Revenues 9-14'!F263:G263)</f>
        <v>944</v>
      </c>
      <c r="G168" s="947">
        <v>6320</v>
      </c>
    </row>
    <row r="169" spans="1:7" x14ac:dyDescent="0.2">
      <c r="A169" s="927" t="s">
        <v>667</v>
      </c>
      <c r="B169" s="927" t="s">
        <v>2051</v>
      </c>
      <c r="C169" s="932">
        <f>'Revenues 9-14'!B264</f>
        <v>4992</v>
      </c>
      <c r="D169" s="933" t="str">
        <f>'Revenues 9-14'!A264</f>
        <v>Medicaid Matching Funds - Fee-for-Service Program</v>
      </c>
      <c r="E169" s="906"/>
      <c r="F169" s="1789">
        <f>SUM('Revenues 9-14'!C264:D264,'Revenues 9-14'!F264:G264)</f>
        <v>12151</v>
      </c>
      <c r="G169" s="947"/>
    </row>
    <row r="170" spans="1:7" x14ac:dyDescent="0.2">
      <c r="A170" s="948" t="s">
        <v>667</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73090</v>
      </c>
      <c r="G171" s="927"/>
    </row>
    <row r="172" spans="1:7" x14ac:dyDescent="0.2">
      <c r="A172" s="1918" t="s">
        <v>663</v>
      </c>
      <c r="B172" s="1919" t="s">
        <v>1918</v>
      </c>
      <c r="C172" s="1920">
        <v>3300</v>
      </c>
      <c r="D172" s="1921" t="s">
        <v>1921</v>
      </c>
      <c r="E172" s="906"/>
      <c r="F172" s="1906">
        <v>198</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957</v>
      </c>
      <c r="F174" s="1788">
        <f>SUM(F84:F132,F157:F172)</f>
        <v>584939</v>
      </c>
    </row>
    <row r="175" spans="1:7" ht="12" customHeight="1" x14ac:dyDescent="0.2">
      <c r="A175" s="1770"/>
      <c r="B175" s="1784"/>
      <c r="C175" s="1785"/>
      <c r="D175" s="1786" t="s">
        <v>2054</v>
      </c>
      <c r="E175" s="1787"/>
      <c r="F175" s="1789">
        <f>'PCTC-OEPP 27-28'!F77-F174</f>
        <v>1563814</v>
      </c>
    </row>
    <row r="176" spans="1:7" ht="12" customHeight="1" x14ac:dyDescent="0.2">
      <c r="A176" s="1770"/>
      <c r="B176" s="1784"/>
      <c r="C176" s="1785"/>
      <c r="D176" s="1786" t="s">
        <v>1816</v>
      </c>
      <c r="E176" s="1787"/>
      <c r="F176" s="1789">
        <f>'Cap Outlay Deprec 26'!I18</f>
        <v>143315.9</v>
      </c>
    </row>
    <row r="177" spans="1:7" ht="12" customHeight="1" x14ac:dyDescent="0.2">
      <c r="A177" s="1770"/>
      <c r="B177" s="1784"/>
      <c r="C177" s="1785"/>
      <c r="D177" s="1786" t="s">
        <v>2055</v>
      </c>
      <c r="E177" s="1787"/>
      <c r="F177" s="1789">
        <f>F175+F176</f>
        <v>1707129.9</v>
      </c>
    </row>
    <row r="178" spans="1:7" ht="12" customHeight="1" x14ac:dyDescent="0.2">
      <c r="A178" s="1770"/>
      <c r="B178" s="1790"/>
      <c r="C178" s="1785"/>
      <c r="D178" s="1786" t="str">
        <f>D78</f>
        <v>9 Month ADA from District Average Daily Attendance/Prior General State Aid Inquiry 2018-2019</v>
      </c>
      <c r="E178" s="1787"/>
      <c r="F178" s="1791">
        <f>'PCTC-OEPP 27-28'!F78</f>
        <v>204.8</v>
      </c>
      <c r="G178" s="930"/>
    </row>
    <row r="179" spans="1:7" ht="12" customHeight="1" thickBot="1" x14ac:dyDescent="0.25">
      <c r="A179" s="1770"/>
      <c r="B179" s="1790"/>
      <c r="C179" s="1785"/>
      <c r="D179" s="1786" t="s">
        <v>2056</v>
      </c>
      <c r="E179" s="1787" t="s">
        <v>1544</v>
      </c>
      <c r="F179" s="1792">
        <f>F177/F178</f>
        <v>8335.5952148437482</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D20" sqref="D2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7" t="s">
        <v>1817</v>
      </c>
      <c r="B4" s="2278"/>
      <c r="C4" s="2278"/>
      <c r="D4" s="2278"/>
      <c r="E4" s="2278"/>
      <c r="F4" s="2278"/>
      <c r="G4" s="2279"/>
    </row>
    <row r="5" spans="1:7" x14ac:dyDescent="0.25">
      <c r="A5" s="2280"/>
      <c r="B5" s="2281"/>
      <c r="C5" s="2281"/>
      <c r="D5" s="2281"/>
      <c r="E5" s="2281"/>
      <c r="F5" s="2281"/>
      <c r="G5" s="2282"/>
    </row>
    <row r="6" spans="1:7" ht="18.75" x14ac:dyDescent="0.25">
      <c r="A6" s="1939" t="s">
        <v>2063</v>
      </c>
      <c r="B6" s="1940"/>
      <c r="C6" s="1940"/>
      <c r="D6" s="1940"/>
      <c r="E6" s="1940"/>
      <c r="F6" s="1940"/>
      <c r="G6" s="1941"/>
    </row>
    <row r="7" spans="1:7" ht="18.75" x14ac:dyDescent="0.25">
      <c r="A7" s="1534" t="s">
        <v>1818</v>
      </c>
      <c r="B7" s="1535"/>
      <c r="C7" s="1535"/>
      <c r="D7" s="1535"/>
      <c r="E7" s="1535"/>
      <c r="F7" s="1535"/>
      <c r="G7" s="1536"/>
    </row>
    <row r="8" spans="1:7" ht="30.75" customHeight="1" x14ac:dyDescent="0.25">
      <c r="A8" s="2283" t="s">
        <v>1930</v>
      </c>
      <c r="B8" s="2284"/>
      <c r="C8" s="2284"/>
      <c r="D8" s="2284"/>
      <c r="E8" s="2284"/>
      <c r="F8" s="2284"/>
      <c r="G8" s="2285"/>
    </row>
    <row r="9" spans="1:7" ht="15.75" customHeight="1" x14ac:dyDescent="0.25">
      <c r="A9" s="2286" t="s">
        <v>1905</v>
      </c>
      <c r="B9" s="2287"/>
      <c r="C9" s="2287"/>
      <c r="D9" s="2287"/>
      <c r="E9" s="2287"/>
      <c r="F9" s="2287"/>
      <c r="G9" s="2288"/>
    </row>
    <row r="10" spans="1:7" ht="35.25" customHeight="1" x14ac:dyDescent="0.25">
      <c r="A10" s="2283" t="s">
        <v>2062</v>
      </c>
      <c r="B10" s="2284"/>
      <c r="C10" s="2284"/>
      <c r="D10" s="2284"/>
      <c r="E10" s="2284"/>
      <c r="F10" s="2284"/>
      <c r="G10" s="2285"/>
    </row>
    <row r="11" spans="1:7" ht="15" customHeight="1" x14ac:dyDescent="0.25">
      <c r="A11" s="1537" t="s">
        <v>1819</v>
      </c>
      <c r="B11" s="1538"/>
      <c r="C11" s="1538"/>
      <c r="D11" s="1538"/>
      <c r="E11" s="1538"/>
      <c r="F11" s="1538"/>
      <c r="G11" s="1539"/>
    </row>
    <row r="12" spans="1:7" ht="17.25" customHeight="1" x14ac:dyDescent="0.25">
      <c r="A12" s="2283" t="s">
        <v>1932</v>
      </c>
      <c r="B12" s="2284"/>
      <c r="C12" s="2284"/>
      <c r="D12" s="2284"/>
      <c r="E12" s="2284"/>
      <c r="F12" s="2284"/>
      <c r="G12" s="2285"/>
    </row>
    <row r="13" spans="1:7" ht="15" customHeight="1" x14ac:dyDescent="0.25">
      <c r="A13" s="1537" t="s">
        <v>1824</v>
      </c>
      <c r="B13" s="1538"/>
      <c r="C13" s="1538"/>
      <c r="D13" s="1538"/>
      <c r="E13" s="1538"/>
      <c r="F13" s="1538"/>
      <c r="G13" s="1539"/>
    </row>
    <row r="14" spans="1:7" ht="32.25" customHeight="1" x14ac:dyDescent="0.25">
      <c r="A14" s="2274" t="s">
        <v>1973</v>
      </c>
      <c r="B14" s="2275"/>
      <c r="C14" s="2275"/>
      <c r="D14" s="2275"/>
      <c r="E14" s="2275"/>
      <c r="F14" s="2275"/>
      <c r="G14" s="2276"/>
    </row>
    <row r="15" spans="1:7" x14ac:dyDescent="0.25">
      <c r="A15" s="1661" t="s">
        <v>1832</v>
      </c>
      <c r="B15" s="1662"/>
      <c r="C15" s="1662"/>
      <c r="D15" s="1662"/>
      <c r="E15" s="1662"/>
      <c r="F15" s="1662"/>
      <c r="G15" s="1663"/>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943" t="s">
        <v>2109</v>
      </c>
      <c r="B19" s="1944" t="s">
        <v>2110</v>
      </c>
      <c r="C19" s="1945" t="s">
        <v>2111</v>
      </c>
      <c r="D19" s="1844">
        <v>35935</v>
      </c>
      <c r="E19" s="1540">
        <f t="shared" ref="E19:E141" si="2">IF(D19&lt;=25000,D19,IF(D19&gt;25000,25000,0))</f>
        <v>25000</v>
      </c>
      <c r="F19" s="1938">
        <f t="shared" si="1"/>
        <v>25000</v>
      </c>
      <c r="G19" s="1793">
        <f t="shared" ref="G19:G141" si="3">IF(F19=0,0,D19-F19)</f>
        <v>10935</v>
      </c>
    </row>
    <row r="20" spans="1:8" ht="30" x14ac:dyDescent="0.25">
      <c r="A20" s="1943" t="s">
        <v>2112</v>
      </c>
      <c r="B20" s="1944" t="s">
        <v>2113</v>
      </c>
      <c r="C20" s="1945" t="s">
        <v>2114</v>
      </c>
      <c r="D20" s="1946">
        <v>222300</v>
      </c>
      <c r="E20" s="1540">
        <f t="shared" si="2"/>
        <v>25000</v>
      </c>
      <c r="F20" s="1938">
        <f t="shared" si="1"/>
        <v>25000</v>
      </c>
      <c r="G20" s="1793">
        <f t="shared" si="3"/>
        <v>197300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258235</v>
      </c>
      <c r="E142" s="1541">
        <f t="shared" si="0"/>
        <v>25000</v>
      </c>
      <c r="F142" s="1933">
        <f>SUM(F18:F141)</f>
        <v>50000</v>
      </c>
      <c r="G142" s="1795">
        <f>SUM(G18:G141)</f>
        <v>208235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9" t="s">
        <v>1678</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1931</v>
      </c>
      <c r="B10" s="971"/>
      <c r="C10" s="976"/>
      <c r="D10" s="972"/>
      <c r="E10" s="973">
        <v>0</v>
      </c>
      <c r="F10" s="974"/>
      <c r="G10" s="975"/>
      <c r="H10" s="162"/>
      <c r="I10" s="162"/>
    </row>
    <row r="11" spans="1:9" s="668" customFormat="1" ht="22.5" customHeight="1" x14ac:dyDescent="0.2">
      <c r="A11" s="2294" t="s">
        <v>1974</v>
      </c>
      <c r="B11" s="2295"/>
      <c r="C11" s="2295"/>
      <c r="D11" s="2296"/>
      <c r="E11" s="977">
        <v>10442</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1149653</v>
      </c>
      <c r="F19" s="1799"/>
      <c r="G19" s="1801">
        <f>'Expenditures 15-22'!K33-SUM('Expenditures 15-22'!G33,'Expenditures 15-22'!I33)+'Expenditures 15-22'!D229</f>
        <v>1149653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166471</v>
      </c>
      <c r="F21" s="1802"/>
      <c r="G21" s="1805">
        <f>'Expenditures 15-22'!K42-SUM('Expenditures 15-22'!G42,'Expenditures 15-22'!I42)+'Expenditures 15-22'!K120-SUM('Expenditures 15-22'!G120,'Expenditures 15-22'!I120)+'Expenditures 15-22'!K180-SUM('Expenditures 15-22'!G180,'Expenditures 15-22'!I180)+'Expenditures 15-22'!D238</f>
        <v>166471</v>
      </c>
      <c r="H21" s="987"/>
      <c r="I21" s="162"/>
    </row>
    <row r="22" spans="1:9" s="668" customFormat="1" ht="12" customHeight="1" x14ac:dyDescent="0.2">
      <c r="A22" s="994" t="s">
        <v>563</v>
      </c>
      <c r="B22" s="995"/>
      <c r="C22" s="993">
        <v>2200</v>
      </c>
      <c r="D22" s="1802"/>
      <c r="E22" s="1804">
        <f>'Expenditures 15-22'!K47-SUM('Expenditures 15-22'!G47,'Expenditures 15-22'!I47)+'Expenditures 15-22'!D243</f>
        <v>36889</v>
      </c>
      <c r="F22" s="1802"/>
      <c r="G22" s="1805">
        <f>'Expenditures 15-22'!K47-SUM('Expenditures 15-22'!G47,'Expenditures 15-22'!I47)+'Expenditures 15-22'!D243</f>
        <v>36889</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120519</v>
      </c>
      <c r="F23" s="1802"/>
      <c r="G23" s="1804">
        <f>'Expenditures 15-22'!K53-SUM('Expenditures 15-22'!G53,'Expenditures 15-22'!I53)+'Expenditures 15-22'!D257+'Expenditures 15-22'!K330-SUM('Expenditures 15-22'!G330,'Expenditures 15-22'!I330)</f>
        <v>120519</v>
      </c>
      <c r="H23" s="987"/>
      <c r="I23" s="162"/>
    </row>
    <row r="24" spans="1:9" s="668" customFormat="1" ht="12" customHeight="1" x14ac:dyDescent="0.2">
      <c r="A24" s="994" t="s">
        <v>565</v>
      </c>
      <c r="B24" s="995"/>
      <c r="C24" s="993">
        <v>2400</v>
      </c>
      <c r="D24" s="1802"/>
      <c r="E24" s="1804">
        <f>'Expenditures 15-22'!K57-SUM('Expenditures 15-22'!G57,'Expenditures 15-22'!I57)+'Expenditures 15-22'!D261</f>
        <v>144721</v>
      </c>
      <c r="F24" s="1802"/>
      <c r="G24" s="1805">
        <f>'Expenditures 15-22'!K57-SUM('Expenditures 15-22'!G57,'Expenditures 15-22'!I57)+'Expenditures 15-22'!D261</f>
        <v>144721</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5500</v>
      </c>
      <c r="E26" s="1804">
        <f>'Expenditures 15-22'!K122-SUM('Expenditures 15-22'!G122,'Expenditures 15-22'!I122)+E7</f>
        <v>0</v>
      </c>
      <c r="F26" s="1804">
        <f>'Expenditures 15-22'!K59-SUM('Expenditures 15-22'!G59,'Expenditures 15-22'!I59)+'Expenditures 15-22'!D263-E7</f>
        <v>5500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50999</v>
      </c>
      <c r="E27" s="1804">
        <f>E8</f>
        <v>0</v>
      </c>
      <c r="F27" s="1804">
        <f>'Expenditures 15-22'!K60-SUM('Expenditures 15-22'!G60,'Expenditures 15-22'!I60)+'Expenditures 15-22'!D264-E8</f>
        <v>50999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187147</v>
      </c>
      <c r="F28" s="1806">
        <f>'Expenditures 15-22'!K61-SUM('Expenditures 15-22'!G61,'Expenditures 15-22'!I61)+'Expenditures 15-22'!K124-SUM('Expenditures 15-22'!G124,'Expenditures 15-22'!I124)+'Expenditures 15-22'!D266-E9</f>
        <v>187147</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222300</v>
      </c>
      <c r="F29" s="1802"/>
      <c r="G29" s="1805">
        <f>'Expenditures 15-22'!K62-SUM('Expenditures 15-22'!G62,'Expenditures 15-22'!I62)+'Expenditures 15-22'!K125-SUM('Expenditures 15-22'!G125,'Expenditures 15-22'!I125)+'Expenditures 15-22'!K182-SUM('Expenditures 15-22'!G182,'Expenditures 15-22'!I182)+'Expenditures 15-22'!D267</f>
        <v>222300</v>
      </c>
      <c r="H29" s="985"/>
    </row>
    <row r="30" spans="1:9" ht="12" customHeight="1" x14ac:dyDescent="0.2">
      <c r="A30" s="994" t="s">
        <v>100</v>
      </c>
      <c r="B30" s="997"/>
      <c r="C30" s="993">
        <v>2560</v>
      </c>
      <c r="D30" s="1802"/>
      <c r="E30" s="1804">
        <f>'Expenditures 15-22'!K63-SUM('Expenditures 15-22'!G63,'Expenditures 15-22'!I63)+'Expenditures 15-22'!D268-E10</f>
        <v>136938</v>
      </c>
      <c r="F30" s="1802"/>
      <c r="G30" s="1804">
        <f>'Expenditures 15-22'!K63-SUM('Expenditures 15-22'!G63,'Expenditures 15-22'!I63)+'Expenditures 15-22'!D268-E10</f>
        <v>136938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1303</v>
      </c>
      <c r="F39" s="1802"/>
      <c r="G39" s="1804">
        <f>'Expenditures 15-22'!K75-SUM('Expenditures 15-22'!G75,'Expenditures 15-22'!I75)+'Expenditures 15-22'!K130-SUM('Expenditures 15-22'!G130,'Expenditures 15-22'!I130)+'Expenditures 15-22'!K185-SUM('Expenditures 15-22'!G185,'Expenditures 15-22'!I185)+'Expenditures 15-22'!D280</f>
        <v>1303</v>
      </c>
    </row>
    <row r="40" spans="1:7" ht="12" customHeight="1" x14ac:dyDescent="0.2">
      <c r="A40" s="990" t="s">
        <v>1822</v>
      </c>
      <c r="B40" s="991"/>
      <c r="C40" s="993"/>
      <c r="D40" s="1802"/>
      <c r="E40" s="1806">
        <f>-'Contracts Paid in CY 29'!G142</f>
        <v>-208235</v>
      </c>
      <c r="F40" s="1802"/>
      <c r="G40" s="1806">
        <f>-'Contracts Paid in CY 29'!G142</f>
        <v>-208235</v>
      </c>
    </row>
    <row r="41" spans="1:7" ht="12" customHeight="1" x14ac:dyDescent="0.2">
      <c r="A41" s="998" t="s">
        <v>156</v>
      </c>
      <c r="B41" s="999"/>
      <c r="C41" s="1000"/>
      <c r="D41" s="1806">
        <f>SUM(D19:D39)</f>
        <v>56499</v>
      </c>
      <c r="E41" s="1806">
        <f>SUM(E19:E40)</f>
        <v>1957706</v>
      </c>
      <c r="F41" s="1806">
        <f>SUM(F19:F39)</f>
        <v>243646</v>
      </c>
      <c r="G41" s="1806">
        <f>SUM(G19:G40)</f>
        <v>1770559</v>
      </c>
    </row>
    <row r="42" spans="1:7" x14ac:dyDescent="0.2">
      <c r="A42" s="987"/>
      <c r="B42" s="162"/>
      <c r="C42" s="1001"/>
      <c r="D42" s="2292" t="s">
        <v>521</v>
      </c>
      <c r="E42" s="2293"/>
      <c r="F42" s="1002" t="s">
        <v>522</v>
      </c>
      <c r="G42" s="1003"/>
    </row>
    <row r="43" spans="1:7" ht="12" customHeight="1" x14ac:dyDescent="0.2">
      <c r="A43" s="987"/>
      <c r="B43" s="162"/>
      <c r="C43" s="1001"/>
      <c r="D43" s="1807" t="s">
        <v>472</v>
      </c>
      <c r="E43" s="1808">
        <f>D41</f>
        <v>56499</v>
      </c>
      <c r="F43" s="1807" t="s">
        <v>472</v>
      </c>
      <c r="G43" s="1808">
        <f>F41</f>
        <v>243646</v>
      </c>
    </row>
    <row r="44" spans="1:7" ht="12" customHeight="1" x14ac:dyDescent="0.2">
      <c r="A44" s="987"/>
      <c r="B44" s="162"/>
      <c r="C44" s="1001"/>
      <c r="D44" s="1807" t="s">
        <v>473</v>
      </c>
      <c r="E44" s="1808">
        <f>E41</f>
        <v>1957706</v>
      </c>
      <c r="F44" s="1807" t="s">
        <v>473</v>
      </c>
      <c r="G44" s="1808">
        <f>G41</f>
        <v>1770559</v>
      </c>
    </row>
    <row r="45" spans="1:7" ht="12" customHeight="1" x14ac:dyDescent="0.2">
      <c r="A45" s="987"/>
      <c r="B45" s="162"/>
      <c r="C45" s="162"/>
      <c r="D45" s="1809" t="s">
        <v>1005</v>
      </c>
      <c r="E45" s="1810">
        <f>(E43/E44)</f>
        <v>2.8859798151509981E-2</v>
      </c>
      <c r="F45" s="1809" t="s">
        <v>1005</v>
      </c>
      <c r="G45" s="1810">
        <f>(G43/G44)</f>
        <v>0.13760964757457955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7" sqref="A47"/>
      <selection pane="bottomLeft" activeCell="A36" sqref="A36:F3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1378</v>
      </c>
      <c r="B1" s="2300"/>
      <c r="C1" s="2300"/>
      <c r="D1" s="2300"/>
      <c r="E1" s="2300"/>
      <c r="F1" s="2300"/>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1" t="s">
        <v>1545</v>
      </c>
      <c r="B5" s="2302"/>
      <c r="C5" s="2303"/>
      <c r="D5" s="2303"/>
      <c r="E5" s="2303"/>
      <c r="F5" s="2303"/>
    </row>
    <row r="6" spans="1:10" ht="12" customHeight="1" x14ac:dyDescent="0.25">
      <c r="A6" s="1850"/>
      <c r="B6" s="1851"/>
      <c r="C6" s="2304" t="str">
        <f>COVER!A17</f>
        <v>Pleasant Hill SD 69</v>
      </c>
      <c r="D6" s="2304"/>
      <c r="E6" s="2304"/>
      <c r="F6" s="1852"/>
    </row>
    <row r="7" spans="1:10" ht="11.25" customHeight="1" thickBot="1" x14ac:dyDescent="0.3">
      <c r="A7" s="1850"/>
      <c r="B7" s="1851"/>
      <c r="C7" s="2305">
        <f>COVER!A13</f>
        <v>48072069002</v>
      </c>
      <c r="D7" s="2305"/>
      <c r="E7" s="2305"/>
      <c r="F7" s="1852"/>
    </row>
    <row r="8" spans="1:10" ht="25.5" customHeight="1" thickBot="1" x14ac:dyDescent="0.25">
      <c r="A8" s="1893" t="s">
        <v>1906</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2074</v>
      </c>
      <c r="D14" s="1865" t="s">
        <v>2074</v>
      </c>
      <c r="E14" s="1868"/>
      <c r="F14" s="1867" t="s">
        <v>2083</v>
      </c>
      <c r="H14" s="1878">
        <f t="shared" si="0"/>
        <v>5</v>
      </c>
      <c r="I14" s="1878">
        <f t="shared" si="1"/>
        <v>5</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t="s">
        <v>2074</v>
      </c>
      <c r="D16" s="1865" t="s">
        <v>2074</v>
      </c>
      <c r="E16" s="1868"/>
      <c r="F16" s="1867" t="s">
        <v>2084</v>
      </c>
      <c r="H16" s="1878">
        <f t="shared" si="0"/>
        <v>5</v>
      </c>
      <c r="I16" s="1878">
        <f t="shared" si="1"/>
        <v>5</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2074</v>
      </c>
      <c r="D19" s="1865" t="s">
        <v>2074</v>
      </c>
      <c r="E19" s="1868"/>
      <c r="F19" s="1867" t="s">
        <v>2085</v>
      </c>
      <c r="H19" s="1878">
        <f t="shared" si="0"/>
        <v>5</v>
      </c>
      <c r="I19" s="1878">
        <f t="shared" si="1"/>
        <v>5</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t="s">
        <v>2074</v>
      </c>
      <c r="D21" s="1865" t="s">
        <v>2074</v>
      </c>
      <c r="E21" s="1868"/>
      <c r="F21" s="1867" t="s">
        <v>2084</v>
      </c>
      <c r="H21" s="1878">
        <f t="shared" si="0"/>
        <v>5</v>
      </c>
      <c r="I21" s="1878">
        <f t="shared" si="1"/>
        <v>5</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t="s">
        <v>2074</v>
      </c>
      <c r="D25" s="1865" t="s">
        <v>2074</v>
      </c>
      <c r="E25" s="1868"/>
      <c r="F25" s="1867" t="s">
        <v>2083</v>
      </c>
      <c r="H25" s="1878">
        <f t="shared" si="0"/>
        <v>5</v>
      </c>
      <c r="I25" s="1878">
        <f t="shared" si="1"/>
        <v>5</v>
      </c>
      <c r="J25" s="1878">
        <f t="shared" si="2"/>
        <v>0</v>
      </c>
    </row>
    <row r="26" spans="1:12" ht="12" customHeight="1" x14ac:dyDescent="0.2">
      <c r="A26" s="1863" t="s">
        <v>1533</v>
      </c>
      <c r="B26" s="1864"/>
      <c r="C26" s="1865" t="s">
        <v>2074</v>
      </c>
      <c r="D26" s="1865" t="s">
        <v>2074</v>
      </c>
      <c r="E26" s="1868"/>
      <c r="F26" s="1867" t="s">
        <v>2086</v>
      </c>
      <c r="H26" s="1878">
        <f t="shared" si="0"/>
        <v>5</v>
      </c>
      <c r="I26" s="1878">
        <f t="shared" si="1"/>
        <v>5</v>
      </c>
      <c r="J26" s="1878">
        <f t="shared" si="2"/>
        <v>0</v>
      </c>
    </row>
    <row r="27" spans="1:12" ht="18.75" x14ac:dyDescent="0.2">
      <c r="A27" s="1863" t="s">
        <v>1534</v>
      </c>
      <c r="B27" s="1864"/>
      <c r="C27" s="1865" t="s">
        <v>2074</v>
      </c>
      <c r="D27" s="1865" t="s">
        <v>2074</v>
      </c>
      <c r="E27" s="1868"/>
      <c r="F27" s="1867" t="s">
        <v>2084</v>
      </c>
      <c r="H27" s="1878">
        <f t="shared" si="0"/>
        <v>5</v>
      </c>
      <c r="I27" s="1878">
        <f t="shared" si="1"/>
        <v>5</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t="s">
        <v>2074</v>
      </c>
      <c r="D29" s="1865" t="s">
        <v>2074</v>
      </c>
      <c r="E29" s="1868"/>
      <c r="F29" s="1867" t="s">
        <v>2084</v>
      </c>
      <c r="H29" s="1878">
        <f t="shared" si="0"/>
        <v>5</v>
      </c>
      <c r="I29" s="1878">
        <f t="shared" si="1"/>
        <v>5</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1391</v>
      </c>
      <c r="B35" s="1872"/>
      <c r="C35" s="2306"/>
      <c r="D35" s="2306"/>
      <c r="E35" s="2306"/>
      <c r="F35" s="2307"/>
    </row>
    <row r="36" spans="1:11" ht="12" customHeight="1" x14ac:dyDescent="0.2">
      <c r="A36" s="2297" t="s">
        <v>2087</v>
      </c>
      <c r="B36" s="2298"/>
      <c r="C36" s="2298"/>
      <c r="D36" s="2298"/>
      <c r="E36" s="2298"/>
      <c r="F36" s="2299"/>
    </row>
    <row r="37" spans="1:11" ht="12" customHeight="1" x14ac:dyDescent="0.2">
      <c r="A37" s="2297" t="s">
        <v>2088</v>
      </c>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1390</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Header>&amp;L&amp;9Page 31&amp;R&amp;9Page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4" t="str">
        <f>COVER!A17</f>
        <v>Pleasant Hill SD 69</v>
      </c>
      <c r="J6" s="2325"/>
      <c r="Q6" s="1664"/>
    </row>
    <row r="7" spans="1:17" x14ac:dyDescent="0.2">
      <c r="A7" s="2326" t="s">
        <v>868</v>
      </c>
      <c r="B7" s="2327"/>
      <c r="C7" s="2327"/>
      <c r="D7" s="2327"/>
      <c r="E7" s="2328"/>
      <c r="F7" s="1017"/>
      <c r="G7" s="1009"/>
      <c r="H7" s="1016" t="s">
        <v>371</v>
      </c>
      <c r="I7" s="2329">
        <f>COVER!A13</f>
        <v>48072069002</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0" t="s">
        <v>480</v>
      </c>
      <c r="B11" s="2331"/>
      <c r="C11" s="2332"/>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40793</v>
      </c>
      <c r="F12" s="1039"/>
      <c r="G12" s="1811">
        <f t="shared" ref="G12:G18" si="0">SUM(E12:F12)</f>
        <v>40793</v>
      </c>
      <c r="H12" s="1040">
        <v>41489</v>
      </c>
      <c r="I12" s="1039"/>
      <c r="J12" s="1811">
        <f t="shared" ref="J12:J18" si="1">SUM(H12:I12)</f>
        <v>41489</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1067</v>
      </c>
      <c r="C15" s="1037"/>
      <c r="D15" s="1038">
        <v>2510</v>
      </c>
      <c r="E15" s="1811">
        <f>'Expenditures 15-22'!K59</f>
        <v>5500</v>
      </c>
      <c r="F15" s="1811">
        <f>'Expenditures 15-22'!K122</f>
        <v>0</v>
      </c>
      <c r="G15" s="1811">
        <f t="shared" si="0"/>
        <v>5500</v>
      </c>
      <c r="H15" s="1040">
        <v>6100</v>
      </c>
      <c r="I15" s="1040">
        <v>0</v>
      </c>
      <c r="J15" s="1811">
        <f t="shared" si="1"/>
        <v>6100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v>0</v>
      </c>
      <c r="I17" s="1039"/>
      <c r="J17" s="1811">
        <f t="shared" si="1"/>
        <v>0</v>
      </c>
    </row>
    <row r="18" spans="1:10" ht="22.5" customHeight="1" x14ac:dyDescent="0.2">
      <c r="A18" s="1042">
        <v>7</v>
      </c>
      <c r="B18" s="2333" t="s">
        <v>7</v>
      </c>
      <c r="C18" s="2334"/>
      <c r="D18" s="2335"/>
      <c r="E18" s="1043"/>
      <c r="F18" s="1043"/>
      <c r="G18" s="1812">
        <f t="shared" si="0"/>
        <v>0</v>
      </c>
      <c r="H18" s="1040">
        <v>0</v>
      </c>
      <c r="I18" s="1040">
        <v>0</v>
      </c>
      <c r="J18" s="1811">
        <f t="shared" si="1"/>
        <v>0</v>
      </c>
    </row>
    <row r="19" spans="1:10" ht="12.75" customHeight="1" thickBot="1" x14ac:dyDescent="0.25">
      <c r="A19" s="1035">
        <v>8</v>
      </c>
      <c r="B19" s="1044" t="s">
        <v>1160</v>
      </c>
      <c r="D19" s="1045"/>
      <c r="E19" s="1813">
        <f t="shared" ref="E19:J19" si="2">SUM(E12:E17)-E18</f>
        <v>46293</v>
      </c>
      <c r="F19" s="1813">
        <f t="shared" si="2"/>
        <v>0</v>
      </c>
      <c r="G19" s="1813">
        <f t="shared" si="2"/>
        <v>46293</v>
      </c>
      <c r="H19" s="1813">
        <f t="shared" si="2"/>
        <v>47589</v>
      </c>
      <c r="I19" s="1813">
        <f t="shared" si="2"/>
        <v>0</v>
      </c>
      <c r="J19" s="1813">
        <f t="shared" si="2"/>
        <v>47589</v>
      </c>
    </row>
    <row r="20" spans="1:10" ht="13.5" thickTop="1" x14ac:dyDescent="0.2">
      <c r="A20" s="1035">
        <v>9</v>
      </c>
      <c r="B20" s="2336" t="s">
        <v>1978</v>
      </c>
      <c r="C20" s="2336"/>
      <c r="D20" s="2337"/>
      <c r="E20" s="1046"/>
      <c r="F20" s="1046"/>
      <c r="G20" s="1046"/>
      <c r="H20" s="1046"/>
      <c r="I20" s="1046"/>
      <c r="J20" s="1814">
        <f>IF(AND(G19&gt;0,J19&gt;0),(((J19-G19)/G19)),"Enter Budget Data")</f>
        <v>2.7995593286241981E-2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1032</v>
      </c>
      <c r="D27" s="1052"/>
      <c r="E27" s="1053"/>
      <c r="F27" s="2338" t="s">
        <v>1508</v>
      </c>
      <c r="G27" s="2338"/>
    </row>
    <row r="28" spans="1:10" ht="28.5" customHeight="1" x14ac:dyDescent="0.2">
      <c r="B28" s="1047"/>
      <c r="C28" s="2340"/>
      <c r="D28" s="2340"/>
      <c r="E28" s="1054"/>
      <c r="F28" s="2340"/>
      <c r="G28" s="2340"/>
    </row>
    <row r="29" spans="1:10" x14ac:dyDescent="0.2">
      <c r="B29" s="1047"/>
      <c r="C29" s="1055" t="s">
        <v>1560</v>
      </c>
      <c r="E29" s="1056"/>
      <c r="F29" s="2339" t="s">
        <v>1509</v>
      </c>
      <c r="G29" s="2339"/>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1980</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881</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1"/>
  <sheetViews>
    <sheetView showGridLines="0" topLeftCell="A46" zoomScale="110" zoomScaleNormal="110" workbookViewId="0">
      <selection activeCell="B62" sqref="B6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2104</v>
      </c>
    </row>
    <row r="6" spans="1:2" x14ac:dyDescent="0.2">
      <c r="A6" s="1068"/>
      <c r="B6" s="329" t="s">
        <v>2105</v>
      </c>
    </row>
    <row r="7" spans="1:2" x14ac:dyDescent="0.2">
      <c r="A7" s="1068">
        <v>2</v>
      </c>
      <c r="B7" s="329" t="s">
        <v>2106</v>
      </c>
    </row>
    <row r="8" spans="1:2" x14ac:dyDescent="0.2">
      <c r="A8" s="1068">
        <v>3</v>
      </c>
      <c r="B8" s="329" t="s">
        <v>2107</v>
      </c>
    </row>
    <row r="9" spans="1:2" x14ac:dyDescent="0.2">
      <c r="A9" s="1068"/>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Pleasant Hill SD 69</v>
      </c>
    </row>
    <row r="61" spans="1:2" x14ac:dyDescent="0.2">
      <c r="B61" s="1070">
        <f>COVER!A13</f>
        <v>48072069002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6" t="s">
        <v>1610</v>
      </c>
    </row>
    <row r="23" spans="1:5" x14ac:dyDescent="0.2">
      <c r="A23" s="168"/>
      <c r="B23" s="162" t="s">
        <v>1855</v>
      </c>
      <c r="D23" s="167" t="s">
        <v>636</v>
      </c>
      <c r="E23" s="1836"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0" t="s">
        <v>1064</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690</v>
      </c>
      <c r="B40" s="2057"/>
      <c r="C40" s="2057"/>
      <c r="D40" s="2057"/>
      <c r="E40" s="2057"/>
    </row>
    <row r="41" spans="1:5" x14ac:dyDescent="0.2">
      <c r="A41" s="2058" t="s">
        <v>1607</v>
      </c>
      <c r="B41" s="2058"/>
      <c r="C41" s="2058"/>
      <c r="D41" s="2058"/>
      <c r="E41" s="2058"/>
    </row>
    <row r="42" spans="1:5" ht="12.75" customHeight="1" x14ac:dyDescent="0.2">
      <c r="A42" s="2059" t="s">
        <v>1021</v>
      </c>
      <c r="B42" s="2059"/>
      <c r="C42" s="2059"/>
      <c r="D42" s="2059"/>
      <c r="E42" s="2059"/>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3" t="s">
        <v>1684</v>
      </c>
      <c r="B18" s="234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1689</v>
      </c>
      <c r="B1" s="2345"/>
      <c r="C1" s="2345"/>
      <c r="D1" s="2345"/>
      <c r="E1" s="2345"/>
      <c r="F1" s="2346"/>
    </row>
    <row r="2" spans="1:8" ht="45" customHeight="1" x14ac:dyDescent="0.2">
      <c r="A2" s="2354" t="s">
        <v>1984</v>
      </c>
      <c r="B2" s="2355"/>
      <c r="C2" s="2355"/>
      <c r="D2" s="2355"/>
      <c r="E2" s="2355"/>
      <c r="F2" s="2356"/>
      <c r="G2" s="1074"/>
      <c r="H2" s="1074"/>
    </row>
    <row r="3" spans="1:8" ht="57" customHeight="1" x14ac:dyDescent="0.2">
      <c r="A3" s="2357" t="s">
        <v>1685</v>
      </c>
      <c r="B3" s="2358"/>
      <c r="C3" s="2358"/>
      <c r="D3" s="2358"/>
      <c r="E3" s="2358"/>
      <c r="F3" s="2359"/>
      <c r="G3" s="1074"/>
      <c r="H3" s="1074"/>
    </row>
    <row r="4" spans="1:8" ht="14.25" customHeight="1" x14ac:dyDescent="0.2">
      <c r="A4" s="2363" t="s">
        <v>1985</v>
      </c>
      <c r="B4" s="2364"/>
      <c r="C4" s="2364"/>
      <c r="D4" s="2364"/>
      <c r="E4" s="2364"/>
      <c r="F4" s="2365"/>
      <c r="G4" s="1074"/>
      <c r="H4" s="1074"/>
    </row>
    <row r="5" spans="1:8" ht="14.25" customHeight="1" x14ac:dyDescent="0.2">
      <c r="A5" s="2366" t="s">
        <v>1981</v>
      </c>
      <c r="B5" s="2367"/>
      <c r="C5" s="2367"/>
      <c r="D5" s="2367"/>
      <c r="E5" s="2367"/>
      <c r="F5" s="2368"/>
      <c r="G5" s="1074"/>
      <c r="H5" s="1074"/>
    </row>
    <row r="6" spans="1:8" s="1075" customFormat="1" ht="41.25" customHeight="1" x14ac:dyDescent="0.2">
      <c r="A6" s="2360" t="s">
        <v>1690</v>
      </c>
      <c r="B6" s="2361"/>
      <c r="C6" s="2361"/>
      <c r="D6" s="2361"/>
      <c r="E6" s="2361"/>
      <c r="F6" s="2362"/>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2170517</v>
      </c>
      <c r="C8" s="1815">
        <f>'Acct Summary 7-8'!D8</f>
        <v>96336</v>
      </c>
      <c r="D8" s="1815">
        <f>'Acct Summary 7-8'!F8</f>
        <v>167343</v>
      </c>
      <c r="E8" s="1815">
        <f>'Acct Summary 7-8'!I8</f>
        <v>8516</v>
      </c>
      <c r="F8" s="1815">
        <f>SUM(B8:E8)</f>
        <v>2442712</v>
      </c>
    </row>
    <row r="9" spans="1:8" s="1079" customFormat="1" ht="14.25" customHeight="1" thickBot="1" x14ac:dyDescent="0.25">
      <c r="A9" s="1078" t="s">
        <v>1368</v>
      </c>
      <c r="B9" s="1816">
        <f>'Acct Summary 7-8'!C17</f>
        <v>2297248</v>
      </c>
      <c r="C9" s="1816">
        <f>'Acct Summary 7-8'!D17</f>
        <v>157776</v>
      </c>
      <c r="D9" s="1816">
        <f>'Acct Summary 7-8'!F17</f>
        <v>222300</v>
      </c>
      <c r="E9" s="1815"/>
      <c r="F9" s="1815">
        <f>SUM(B9:E9)</f>
        <v>2677324</v>
      </c>
    </row>
    <row r="10" spans="1:8" s="1079" customFormat="1" ht="14.25" thickTop="1" thickBot="1" x14ac:dyDescent="0.25">
      <c r="A10" s="1080" t="s">
        <v>1369</v>
      </c>
      <c r="B10" s="1817">
        <f>(B8-B9)</f>
        <v>-126731</v>
      </c>
      <c r="C10" s="1817">
        <f>(C8-C9)</f>
        <v>-61440</v>
      </c>
      <c r="D10" s="1817">
        <f>(D8-D9)</f>
        <v>-54957</v>
      </c>
      <c r="E10" s="1816">
        <f>(E8-E9)</f>
        <v>8516</v>
      </c>
      <c r="F10" s="1818">
        <f>SUM(F8-F9)</f>
        <v>-234612</v>
      </c>
    </row>
    <row r="11" spans="1:8" s="1079" customFormat="1" ht="14.25" thickTop="1" thickBot="1" x14ac:dyDescent="0.25">
      <c r="A11" s="1081" t="s">
        <v>1982</v>
      </c>
      <c r="B11" s="1819">
        <f>'Acct Summary 7-8'!C81</f>
        <v>1126351</v>
      </c>
      <c r="C11" s="1819">
        <f>'Acct Summary 7-8'!D81</f>
        <v>64503</v>
      </c>
      <c r="D11" s="1819">
        <f>'Acct Summary 7-8'!F81</f>
        <v>88770</v>
      </c>
      <c r="E11" s="1819">
        <f>'Acct Summary 7-8'!I81</f>
        <v>150226</v>
      </c>
      <c r="F11" s="1820">
        <f>SUM(B11:E11)</f>
        <v>1429850</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1686</v>
      </c>
      <c r="B16" s="2347"/>
      <c r="C16" s="2347"/>
      <c r="D16" s="2347"/>
      <c r="E16" s="2347"/>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664</v>
      </c>
      <c r="B3" s="2370"/>
      <c r="C3" s="2370"/>
      <c r="D3" s="2371"/>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0" t="s">
        <v>1503</v>
      </c>
      <c r="D7" s="2381"/>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2" t="s">
        <v>1007</v>
      </c>
      <c r="B15" s="2373"/>
      <c r="C15" s="2373"/>
      <c r="D15" s="2374"/>
    </row>
    <row r="16" spans="1:4" s="668" customFormat="1" ht="24" customHeight="1" x14ac:dyDescent="0.2">
      <c r="A16" s="2375" t="s">
        <v>662</v>
      </c>
      <c r="B16" s="2376"/>
      <c r="C16" s="2376"/>
      <c r="D16" s="237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4" t="s">
        <v>313</v>
      </c>
      <c r="D21" s="2385"/>
    </row>
    <row r="22" spans="1:10" ht="12.75" x14ac:dyDescent="0.2">
      <c r="A22" s="1139"/>
      <c r="B22" s="1140">
        <v>2</v>
      </c>
      <c r="C22" s="2382" t="s">
        <v>1523</v>
      </c>
      <c r="D22" s="2383"/>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6" t="s">
        <v>535</v>
      </c>
      <c r="D43" s="2387"/>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8" t="s">
        <v>783</v>
      </c>
      <c r="D56" s="2379"/>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8" t="s">
        <v>1695</v>
      </c>
      <c r="D70" s="2379"/>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48072069002</v>
      </c>
    </row>
    <row r="3" spans="1:2" x14ac:dyDescent="0.2">
      <c r="A3" t="s">
        <v>955</v>
      </c>
      <c r="B3" s="138" t="str">
        <f>COVER!A15</f>
        <v>Peoria</v>
      </c>
    </row>
    <row r="4" spans="1:2" x14ac:dyDescent="0.2">
      <c r="A4" t="s">
        <v>1006</v>
      </c>
      <c r="B4" s="138" t="str">
        <f>COVER!A17</f>
        <v>Pleasant Hill SD 69</v>
      </c>
    </row>
    <row r="5" spans="1:2" x14ac:dyDescent="0.2">
      <c r="A5" t="s">
        <v>703</v>
      </c>
      <c r="B5" s="138" t="str">
        <f>COVER!A38</f>
        <v>Lisa Weaver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066-004769</v>
      </c>
    </row>
    <row r="16" spans="1:2" x14ac:dyDescent="0.2">
      <c r="A16" t="s">
        <v>421</v>
      </c>
      <c r="B16" s="138" t="str">
        <f>COVER!T13</f>
        <v>Meister, Hilton, Chitwood &amp; Associates, Inc.</v>
      </c>
    </row>
    <row r="17" spans="1:2" x14ac:dyDescent="0.2">
      <c r="A17" t="s">
        <v>883</v>
      </c>
      <c r="B17" s="138" t="str">
        <f>COVER!T15</f>
        <v>Ron Hilton</v>
      </c>
    </row>
    <row r="18" spans="1:2" x14ac:dyDescent="0.2">
      <c r="A18" t="s">
        <v>1149</v>
      </c>
      <c r="B18" s="138" t="str">
        <f>COVER!T17</f>
        <v>809 W. Detweiller Drive, Suite 806</v>
      </c>
    </row>
    <row r="19" spans="1:2" x14ac:dyDescent="0.2">
      <c r="A19" t="s">
        <v>885</v>
      </c>
      <c r="B19" s="138" t="str">
        <f>COVER!T25</f>
        <v>ron.hilton1@comcast.net</v>
      </c>
    </row>
    <row r="20" spans="1:2" x14ac:dyDescent="0.2">
      <c r="A20" t="s">
        <v>886</v>
      </c>
      <c r="B20" s="138" t="str">
        <f>COVER!T19</f>
        <v>Peoria</v>
      </c>
    </row>
    <row r="21" spans="1:2" x14ac:dyDescent="0.2">
      <c r="A21" t="s">
        <v>478</v>
      </c>
      <c r="B21" s="138" t="str">
        <f>COVER!X19</f>
        <v>IL</v>
      </c>
    </row>
    <row r="22" spans="1:2" x14ac:dyDescent="0.2">
      <c r="A22" t="s">
        <v>887</v>
      </c>
      <c r="B22" s="138">
        <f>COVER!Z19</f>
        <v>61615</v>
      </c>
    </row>
    <row r="23" spans="1:2" x14ac:dyDescent="0.2">
      <c r="A23" t="s">
        <v>1151</v>
      </c>
      <c r="B23" s="138" t="str">
        <f>COVER!T21</f>
        <v>(309) 683-0441</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799376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1126405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v>
      </c>
      <c r="C91" s="2" t="s">
        <v>572</v>
      </c>
      <c r="D91" s="2" t="str">
        <f t="shared" si="0"/>
        <v>Error?</v>
      </c>
    </row>
    <row r="92" spans="1:4" x14ac:dyDescent="0.2">
      <c r="A92" s="5">
        <v>31</v>
      </c>
      <c r="B92" s="138">
        <f>'Assets-Liab 5-6'!C39</f>
        <v>1115123</v>
      </c>
      <c r="D92" s="2" t="str">
        <f t="shared" si="0"/>
        <v>Error?</v>
      </c>
    </row>
    <row r="93" spans="1:4" x14ac:dyDescent="0.2">
      <c r="A93" s="5">
        <v>32</v>
      </c>
      <c r="B93" s="138">
        <f>'Assets-Liab 5-6'!C41</f>
        <v>1126405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19283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64503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64503</v>
      </c>
      <c r="D123" s="2" t="str">
        <f t="shared" si="0"/>
        <v>Error?</v>
      </c>
    </row>
    <row r="124" spans="1:4" x14ac:dyDescent="0.2">
      <c r="A124" s="5">
        <v>63</v>
      </c>
      <c r="B124" s="138">
        <f>'Assets-Liab 5-6'!D41</f>
        <v>64503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4534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4534</v>
      </c>
      <c r="D140" s="2" t="str">
        <f t="shared" si="1"/>
        <v>Error?</v>
      </c>
    </row>
    <row r="141" spans="1:4" x14ac:dyDescent="0.2">
      <c r="A141" s="5">
        <v>80</v>
      </c>
      <c r="B141" s="138">
        <f>'Assets-Liab 5-6'!E41</f>
        <v>4534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16077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88770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88770</v>
      </c>
      <c r="D170" s="2" t="str">
        <f t="shared" si="1"/>
        <v>Error?</v>
      </c>
    </row>
    <row r="171" spans="1:4" x14ac:dyDescent="0.2">
      <c r="A171" s="5">
        <v>110</v>
      </c>
      <c r="B171" s="138">
        <f>'Assets-Liab 5-6'!F41</f>
        <v>88770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25576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25576</v>
      </c>
      <c r="D189" s="2" t="str">
        <f t="shared" si="1"/>
        <v>Error?</v>
      </c>
    </row>
    <row r="190" spans="1:4" x14ac:dyDescent="0.2">
      <c r="A190" s="5">
        <v>129</v>
      </c>
      <c r="B190" s="138">
        <f>'Assets-Liab 5-6'!G41</f>
        <v>25576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122869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90463</v>
      </c>
      <c r="D212" s="2" t="str">
        <f t="shared" si="2"/>
        <v>Error?</v>
      </c>
    </row>
    <row r="213" spans="1:4" x14ac:dyDescent="0.2">
      <c r="A213" s="12">
        <v>152</v>
      </c>
      <c r="B213" s="138">
        <f>'Assets-Liab 5-6'!H41</f>
        <v>122869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22962</v>
      </c>
      <c r="D273" s="2" t="str">
        <f t="shared" si="3"/>
        <v>Error?</v>
      </c>
    </row>
    <row r="274" spans="1:4" x14ac:dyDescent="0.2">
      <c r="A274" s="5">
        <v>213</v>
      </c>
      <c r="B274" s="138">
        <f>'Assets-Liab 5-6'!M17</f>
        <v>2113218</v>
      </c>
      <c r="D274" s="2" t="str">
        <f t="shared" si="3"/>
        <v>Error?</v>
      </c>
    </row>
    <row r="275" spans="1:4" x14ac:dyDescent="0.2">
      <c r="A275" s="5">
        <v>214</v>
      </c>
      <c r="B275" s="138">
        <f>'Assets-Liab 5-6'!M18</f>
        <v>274491</v>
      </c>
      <c r="D275" s="2" t="str">
        <f t="shared" si="3"/>
        <v>Error?</v>
      </c>
    </row>
    <row r="276" spans="1:4" x14ac:dyDescent="0.2">
      <c r="A276" s="5">
        <v>215</v>
      </c>
      <c r="B276" s="138">
        <f>'Assets-Liab 5-6'!M19</f>
        <v>160635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2571306</v>
      </c>
      <c r="C279" s="2" t="s">
        <v>572</v>
      </c>
      <c r="D279" s="2" t="str">
        <f t="shared" si="3"/>
        <v>Error?</v>
      </c>
    </row>
    <row r="280" spans="1:4" x14ac:dyDescent="0.2">
      <c r="A280" s="5">
        <v>219</v>
      </c>
      <c r="B280" s="138">
        <f>'Assets-Liab 5-6'!M40</f>
        <v>2571306</v>
      </c>
      <c r="D280" s="2" t="str">
        <f t="shared" si="3"/>
        <v>Error?</v>
      </c>
    </row>
    <row r="281" spans="1:4" x14ac:dyDescent="0.2">
      <c r="A281" s="5">
        <v>220</v>
      </c>
      <c r="B281" s="138">
        <f>'Assets-Liab 5-6'!M41</f>
        <v>2571306</v>
      </c>
      <c r="C281" s="2" t="s">
        <v>572</v>
      </c>
      <c r="D281" s="2" t="str">
        <f t="shared" si="3"/>
        <v>Error?</v>
      </c>
    </row>
    <row r="282" spans="1:4" x14ac:dyDescent="0.2">
      <c r="A282" s="5">
        <v>221</v>
      </c>
      <c r="B282" s="138">
        <f>'Assets-Liab 5-6'!N21</f>
        <v>4534</v>
      </c>
      <c r="D282" s="2" t="str">
        <f t="shared" si="3"/>
        <v>Error?</v>
      </c>
    </row>
    <row r="283" spans="1:4" x14ac:dyDescent="0.2">
      <c r="A283" s="5">
        <v>222</v>
      </c>
      <c r="B283" s="138">
        <f>'Assets-Liab 5-6'!N22</f>
        <v>283616</v>
      </c>
      <c r="D283" s="2" t="str">
        <f t="shared" si="3"/>
        <v>Error?</v>
      </c>
    </row>
    <row r="284" spans="1:4" x14ac:dyDescent="0.2">
      <c r="A284" s="5">
        <v>223</v>
      </c>
      <c r="B284" s="138">
        <f>'Assets-Liab 5-6'!N23</f>
        <v>288150</v>
      </c>
      <c r="C284" s="2" t="s">
        <v>572</v>
      </c>
      <c r="D284" s="2" t="str">
        <f t="shared" si="3"/>
        <v>Error?</v>
      </c>
    </row>
    <row r="285" spans="1:4" x14ac:dyDescent="0.2">
      <c r="A285" s="5">
        <v>224</v>
      </c>
      <c r="B285" s="138">
        <f>'Assets-Liab 5-6'!N36</f>
        <v>288150</v>
      </c>
      <c r="D285" s="2" t="str">
        <f t="shared" si="3"/>
        <v>Error?</v>
      </c>
    </row>
    <row r="286" spans="1:4" x14ac:dyDescent="0.2">
      <c r="A286" s="10">
        <v>225</v>
      </c>
      <c r="D286" s="2" t="str">
        <f t="shared" si="3"/>
        <v>OK</v>
      </c>
    </row>
    <row r="287" spans="1:4" x14ac:dyDescent="0.2">
      <c r="A287" s="5">
        <v>226</v>
      </c>
      <c r="B287" s="138">
        <f>'Assets-Liab 5-6'!N37</f>
        <v>288150</v>
      </c>
      <c r="C287" s="2" t="s">
        <v>572</v>
      </c>
      <c r="D287" s="2" t="str">
        <f t="shared" si="3"/>
        <v>Error?</v>
      </c>
    </row>
    <row r="288" spans="1:4" x14ac:dyDescent="0.2">
      <c r="A288" s="5">
        <v>227</v>
      </c>
      <c r="B288" s="138">
        <f>'Assets-Liab 5-6'!N41</f>
        <v>288150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14924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100150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188000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665424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15440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888601</v>
      </c>
      <c r="C720" s="2" t="s">
        <v>572</v>
      </c>
      <c r="D720" s="2" t="str">
        <f t="shared" si="10"/>
        <v>Error?</v>
      </c>
    </row>
    <row r="721" spans="1:4" x14ac:dyDescent="0.2">
      <c r="A721" s="5">
        <v>660</v>
      </c>
      <c r="B721" s="138">
        <f>'Expenditures 15-22'!C36</f>
        <v>51402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48949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100351</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9107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9107</v>
      </c>
      <c r="C731" s="2" t="s">
        <v>572</v>
      </c>
      <c r="D731" s="2" t="str">
        <f t="shared" si="10"/>
        <v>Error?</v>
      </c>
    </row>
    <row r="732" spans="1:4" x14ac:dyDescent="0.2">
      <c r="A732" s="5">
        <v>671</v>
      </c>
      <c r="B732" s="138">
        <f>'Expenditures 15-22'!C49</f>
        <v>1943</v>
      </c>
      <c r="D732" s="2" t="str">
        <f t="shared" si="10"/>
        <v>Error?</v>
      </c>
    </row>
    <row r="733" spans="1:4" x14ac:dyDescent="0.2">
      <c r="A733" s="5">
        <v>672</v>
      </c>
      <c r="B733" s="138">
        <f>'Expenditures 15-22'!C50</f>
        <v>38000</v>
      </c>
      <c r="D733" s="2" t="str">
        <f t="shared" si="10"/>
        <v>Error?</v>
      </c>
    </row>
    <row r="734" spans="1:4" x14ac:dyDescent="0.2">
      <c r="A734" s="5">
        <v>673</v>
      </c>
      <c r="B734" s="138">
        <f>'Expenditures 15-22'!C53</f>
        <v>39943</v>
      </c>
      <c r="C734" s="2" t="s">
        <v>572</v>
      </c>
      <c r="D734" s="2" t="str">
        <f t="shared" si="10"/>
        <v>Error?</v>
      </c>
    </row>
    <row r="735" spans="1:4" x14ac:dyDescent="0.2">
      <c r="A735" s="5">
        <v>674</v>
      </c>
      <c r="B735" s="138">
        <f>'Expenditures 15-22'!C55</f>
        <v>115300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115300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38144</v>
      </c>
      <c r="D739" s="2" t="str">
        <f t="shared" si="10"/>
        <v>Error?</v>
      </c>
    </row>
    <row r="740" spans="1:4" x14ac:dyDescent="0.2">
      <c r="A740" s="5">
        <v>679</v>
      </c>
      <c r="B740" s="138">
        <f>'Expenditures 15-22'!C61</f>
        <v>83739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44494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166377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431078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1319679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75687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111926</v>
      </c>
      <c r="C778" s="2" t="s">
        <v>572</v>
      </c>
      <c r="D778" s="2" t="str">
        <f t="shared" si="11"/>
        <v>Error?</v>
      </c>
    </row>
    <row r="779" spans="1:4" x14ac:dyDescent="0.2">
      <c r="A779" s="5">
        <v>718</v>
      </c>
      <c r="B779" s="138">
        <f>'Expenditures 15-22'!D36</f>
        <v>6114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4484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10598</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5651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5651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2704</v>
      </c>
      <c r="D791" s="2" t="str">
        <f t="shared" si="11"/>
        <v>Error?</v>
      </c>
    </row>
    <row r="792" spans="1:4" x14ac:dyDescent="0.2">
      <c r="A792" s="5">
        <v>731</v>
      </c>
      <c r="B792" s="138">
        <f>'Expenditures 15-22'!D53</f>
        <v>2704</v>
      </c>
      <c r="C792" s="2" t="s">
        <v>572</v>
      </c>
      <c r="D792" s="2" t="str">
        <f t="shared" si="11"/>
        <v>Error?</v>
      </c>
    </row>
    <row r="793" spans="1:4" x14ac:dyDescent="0.2">
      <c r="A793" s="5">
        <v>732</v>
      </c>
      <c r="B793" s="138">
        <f>'Expenditures 15-22'!D55</f>
        <v>27145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27145</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5873</v>
      </c>
      <c r="D797" s="2" t="str">
        <f t="shared" si="11"/>
        <v>Error?</v>
      </c>
    </row>
    <row r="798" spans="1:4" x14ac:dyDescent="0.2">
      <c r="A798" s="5">
        <v>737</v>
      </c>
      <c r="B798" s="138">
        <f>'Expenditures 15-22'!D61</f>
        <v>13214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24816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70914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182840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51040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71911</v>
      </c>
      <c r="C836" s="2" t="s">
        <v>572</v>
      </c>
      <c r="D836" s="2" t="str">
        <f t="shared" si="12"/>
        <v>Error?</v>
      </c>
    </row>
    <row r="837" spans="1:4" x14ac:dyDescent="0.2">
      <c r="A837" s="5">
        <v>776</v>
      </c>
      <c r="B837" s="138">
        <f>'Expenditures 15-22'!E36</f>
        <v>31770</v>
      </c>
      <c r="D837" s="2" t="str">
        <f t="shared" si="12"/>
        <v>Error?</v>
      </c>
    </row>
    <row r="838" spans="1:4" x14ac:dyDescent="0.2">
      <c r="A838" s="5">
        <v>777</v>
      </c>
      <c r="B838" s="138">
        <f>'Expenditures 15-22'!E37</f>
        <v>4165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35935</v>
      </c>
      <c r="C843" s="2" t="s">
        <v>572</v>
      </c>
      <c r="D843" s="2" t="str">
        <f t="shared" si="12"/>
        <v>Error?</v>
      </c>
    </row>
    <row r="844" spans="1:4" x14ac:dyDescent="0.2">
      <c r="A844" s="5">
        <v>783</v>
      </c>
      <c r="B844" s="138">
        <f>'Expenditures 15-22'!E44</f>
        <v>6870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12647</v>
      </c>
      <c r="D846" s="2" t="str">
        <f t="shared" si="12"/>
        <v>Error?</v>
      </c>
    </row>
    <row r="847" spans="1:4" x14ac:dyDescent="0.2">
      <c r="A847" s="5">
        <v>786</v>
      </c>
      <c r="B847" s="138">
        <f>'Expenditures 15-22'!E47</f>
        <v>19517</v>
      </c>
      <c r="C847" s="2" t="s">
        <v>572</v>
      </c>
      <c r="D847" s="2" t="str">
        <f t="shared" si="12"/>
        <v>Error?</v>
      </c>
    </row>
    <row r="848" spans="1:4" x14ac:dyDescent="0.2">
      <c r="A848" s="5">
        <v>787</v>
      </c>
      <c r="B848" s="138">
        <f>'Expenditures 15-22'!E49</f>
        <v>14630</v>
      </c>
      <c r="D848" s="2" t="str">
        <f t="shared" si="12"/>
        <v>Error?</v>
      </c>
    </row>
    <row r="849" spans="1:4" x14ac:dyDescent="0.2">
      <c r="A849" s="5">
        <v>788</v>
      </c>
      <c r="B849" s="138">
        <f>'Expenditures 15-22'!E50</f>
        <v>89</v>
      </c>
      <c r="D849" s="2" t="str">
        <f t="shared" si="12"/>
        <v>Error?</v>
      </c>
    </row>
    <row r="850" spans="1:4" x14ac:dyDescent="0.2">
      <c r="A850" s="5">
        <v>789</v>
      </c>
      <c r="B850" s="138">
        <f>'Expenditures 15-22'!E53</f>
        <v>14719</v>
      </c>
      <c r="C850" s="2" t="s">
        <v>572</v>
      </c>
      <c r="D850" s="2" t="str">
        <f t="shared" si="12"/>
        <v>Error?</v>
      </c>
    </row>
    <row r="851" spans="1:4" x14ac:dyDescent="0.2">
      <c r="A851" s="5">
        <v>790</v>
      </c>
      <c r="B851" s="138">
        <f>'Expenditures 15-22'!E55</f>
        <v>477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477</v>
      </c>
      <c r="C853" s="2" t="s">
        <v>572</v>
      </c>
      <c r="D853" s="2" t="str">
        <f t="shared" si="12"/>
        <v>Error?</v>
      </c>
    </row>
    <row r="854" spans="1:4" x14ac:dyDescent="0.2">
      <c r="A854" s="5">
        <v>793</v>
      </c>
      <c r="B854" s="138">
        <f>'Expenditures 15-22'!E59</f>
        <v>5500</v>
      </c>
      <c r="D854" s="2" t="str">
        <f t="shared" si="12"/>
        <v>Error?</v>
      </c>
    </row>
    <row r="855" spans="1:4" x14ac:dyDescent="0.2">
      <c r="A855" s="5">
        <v>794</v>
      </c>
      <c r="B855" s="138">
        <f>'Expenditures 15-22'!E60</f>
        <v>45</v>
      </c>
      <c r="D855" s="2" t="str">
        <f t="shared" si="12"/>
        <v>Error?</v>
      </c>
    </row>
    <row r="856" spans="1:4" x14ac:dyDescent="0.2">
      <c r="A856" s="5">
        <v>795</v>
      </c>
      <c r="B856" s="138">
        <f>'Expenditures 15-22'!E61</f>
        <v>10542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18438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89086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160997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33830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34544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572</v>
      </c>
      <c r="D905" s="2" t="str">
        <f t="shared" si="13"/>
        <v>Error?</v>
      </c>
    </row>
    <row r="906" spans="1:4" x14ac:dyDescent="0.2">
      <c r="A906" s="5">
        <v>845</v>
      </c>
      <c r="B906" s="138">
        <f>'Expenditures 15-22'!F49</f>
        <v>572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572</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76857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76857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77429</v>
      </c>
      <c r="C929" s="2" t="s">
        <v>572</v>
      </c>
      <c r="D929" s="2" t="str">
        <f t="shared" si="13"/>
        <v>Error?</v>
      </c>
    </row>
    <row r="930" spans="1:4" x14ac:dyDescent="0.2">
      <c r="A930" s="5">
        <v>869</v>
      </c>
      <c r="B930" s="138">
        <f>'Expenditures 15-22'!F75</f>
        <v>1303</v>
      </c>
      <c r="D930" s="2" t="str">
        <f t="shared" si="13"/>
        <v>Error?</v>
      </c>
    </row>
    <row r="931" spans="1:4" x14ac:dyDescent="0.2">
      <c r="A931" s="5">
        <v>870</v>
      </c>
      <c r="B931" s="138">
        <f>'Expenditures 15-22'!F114</f>
        <v>113276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33653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33653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33653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15502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15502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958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958</v>
      </c>
      <c r="C1021" s="2" t="s">
        <v>572</v>
      </c>
      <c r="D1021" s="2" t="str">
        <f t="shared" si="14"/>
        <v>Error?</v>
      </c>
    </row>
    <row r="1022" spans="1:4" x14ac:dyDescent="0.2">
      <c r="A1022" s="5">
        <v>961</v>
      </c>
      <c r="B1022" s="138">
        <f>'Expenditures 15-22'!H49</f>
        <v>9095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9095</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10053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460469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486024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875915</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18296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1156916</v>
      </c>
      <c r="C1108" s="2" t="s">
        <v>572</v>
      </c>
      <c r="D1108" s="2" t="str">
        <f t="shared" si="16"/>
        <v>Error?</v>
      </c>
    </row>
    <row r="1109" spans="1:4" x14ac:dyDescent="0.2">
      <c r="A1109" s="5">
        <v>1048</v>
      </c>
      <c r="B1109" s="138">
        <f>'Expenditures 15-22'!K36</f>
        <v>89286</v>
      </c>
      <c r="C1109" s="2" t="s">
        <v>572</v>
      </c>
      <c r="D1109" s="2" t="str">
        <f t="shared" si="16"/>
        <v>Error?</v>
      </c>
    </row>
    <row r="1110" spans="1:4" x14ac:dyDescent="0.2">
      <c r="A1110" s="5">
        <v>1049</v>
      </c>
      <c r="B1110" s="138">
        <f>'Expenditures 15-22'!K37</f>
        <v>4165</v>
      </c>
      <c r="C1110" s="2" t="s">
        <v>572</v>
      </c>
      <c r="D1110" s="2" t="str">
        <f t="shared" si="16"/>
        <v>Error?</v>
      </c>
    </row>
    <row r="1111" spans="1:4" x14ac:dyDescent="0.2">
      <c r="A1111" s="5">
        <v>1050</v>
      </c>
      <c r="B1111" s="138">
        <f>'Expenditures 15-22'!K38</f>
        <v>53433</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146884</v>
      </c>
      <c r="C1115" s="2" t="s">
        <v>572</v>
      </c>
      <c r="D1115" s="2" t="str">
        <f t="shared" si="16"/>
        <v>Error?</v>
      </c>
    </row>
    <row r="1116" spans="1:4" x14ac:dyDescent="0.2">
      <c r="A1116" s="5">
        <v>1055</v>
      </c>
      <c r="B1116" s="138">
        <f>'Expenditures 15-22'!K44</f>
        <v>7828</v>
      </c>
      <c r="C1116" s="2" t="s">
        <v>572</v>
      </c>
      <c r="D1116" s="2" t="str">
        <f t="shared" si="16"/>
        <v>Error?</v>
      </c>
    </row>
    <row r="1117" spans="1:4" x14ac:dyDescent="0.2">
      <c r="A1117" s="5">
        <v>1056</v>
      </c>
      <c r="B1117" s="138">
        <f>'Expenditures 15-22'!K45</f>
        <v>14758</v>
      </c>
      <c r="C1117" s="2" t="s">
        <v>572</v>
      </c>
      <c r="D1117" s="2" t="str">
        <f t="shared" si="16"/>
        <v>Error?</v>
      </c>
    </row>
    <row r="1118" spans="1:4" x14ac:dyDescent="0.2">
      <c r="A1118" s="5">
        <v>1057</v>
      </c>
      <c r="B1118" s="138">
        <f>'Expenditures 15-22'!K46</f>
        <v>12647</v>
      </c>
      <c r="C1118" s="2" t="s">
        <v>572</v>
      </c>
      <c r="D1118" s="2" t="str">
        <f t="shared" si="16"/>
        <v>Error?</v>
      </c>
    </row>
    <row r="1119" spans="1:4" x14ac:dyDescent="0.2">
      <c r="A1119" s="5">
        <v>1058</v>
      </c>
      <c r="B1119" s="138">
        <f>'Expenditures 15-22'!K47</f>
        <v>35233</v>
      </c>
      <c r="C1119" s="2" t="s">
        <v>572</v>
      </c>
      <c r="D1119" s="2" t="str">
        <f t="shared" si="16"/>
        <v>Error?</v>
      </c>
    </row>
    <row r="1120" spans="1:4" x14ac:dyDescent="0.2">
      <c r="A1120" s="5">
        <v>1059</v>
      </c>
      <c r="B1120" s="138">
        <f>'Expenditures 15-22'!K49</f>
        <v>26240</v>
      </c>
      <c r="C1120" s="2" t="s">
        <v>572</v>
      </c>
      <c r="D1120" s="2" t="str">
        <f t="shared" si="16"/>
        <v>Error?</v>
      </c>
    </row>
    <row r="1121" spans="1:4" x14ac:dyDescent="0.2">
      <c r="A1121" s="5">
        <v>1060</v>
      </c>
      <c r="B1121" s="138">
        <f>'Expenditures 15-22'!K50</f>
        <v>40793</v>
      </c>
      <c r="C1121" s="2" t="s">
        <v>572</v>
      </c>
      <c r="D1121" s="2" t="str">
        <f t="shared" si="16"/>
        <v>Error?</v>
      </c>
    </row>
    <row r="1122" spans="1:4" x14ac:dyDescent="0.2">
      <c r="A1122" s="5">
        <v>1061</v>
      </c>
      <c r="B1122" s="138">
        <f>'Expenditures 15-22'!K53</f>
        <v>67033</v>
      </c>
      <c r="C1122" s="2" t="s">
        <v>572</v>
      </c>
      <c r="D1122" s="2" t="str">
        <f t="shared" si="16"/>
        <v>Error?</v>
      </c>
    </row>
    <row r="1123" spans="1:4" x14ac:dyDescent="0.2">
      <c r="A1123" s="5">
        <v>1062</v>
      </c>
      <c r="B1123" s="138">
        <f>'Expenditures 15-22'!K55</f>
        <v>142922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142922</v>
      </c>
      <c r="C1125" s="2" t="s">
        <v>572</v>
      </c>
      <c r="D1125" s="2" t="str">
        <f t="shared" si="16"/>
        <v>Error?</v>
      </c>
    </row>
    <row r="1126" spans="1:4" x14ac:dyDescent="0.2">
      <c r="A1126" s="5">
        <v>1065</v>
      </c>
      <c r="B1126" s="138">
        <f>'Expenditures 15-22'!K59</f>
        <v>5500</v>
      </c>
      <c r="C1126" s="2" t="s">
        <v>572</v>
      </c>
      <c r="D1126" s="2" t="str">
        <f t="shared" si="16"/>
        <v>Error?</v>
      </c>
    </row>
    <row r="1127" spans="1:4" x14ac:dyDescent="0.2">
      <c r="A1127" s="5">
        <v>1066</v>
      </c>
      <c r="B1127" s="138">
        <f>'Expenditures 15-22'!K60</f>
        <v>44062</v>
      </c>
      <c r="C1127" s="2" t="s">
        <v>572</v>
      </c>
      <c r="D1127" s="2" t="str">
        <f t="shared" si="16"/>
        <v>Error?</v>
      </c>
    </row>
    <row r="1128" spans="1:4" x14ac:dyDescent="0.2">
      <c r="A1128" s="5">
        <v>1067</v>
      </c>
      <c r="B1128" s="138">
        <f>'Expenditures 15-22'!K61</f>
        <v>107495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129431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286488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678560</v>
      </c>
      <c r="C1143" s="2" t="s">
        <v>572</v>
      </c>
      <c r="D1143" s="2" t="str">
        <f t="shared" si="16"/>
        <v>Error?</v>
      </c>
    </row>
    <row r="1144" spans="1:4" x14ac:dyDescent="0.2">
      <c r="A1144" s="5">
        <v>1083</v>
      </c>
      <c r="B1144" s="138">
        <f>'Expenditures 15-22'!K75</f>
        <v>1303</v>
      </c>
      <c r="C1144" s="2" t="s">
        <v>572</v>
      </c>
      <c r="D1144" s="2" t="str">
        <f t="shared" si="16"/>
        <v>Error?</v>
      </c>
    </row>
    <row r="1145" spans="1:4" x14ac:dyDescent="0.2">
      <c r="A1145" s="5">
        <v>1084</v>
      </c>
      <c r="B1145" s="138">
        <f>'Expenditures 15-22'!K102</f>
        <v>460469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2297248</v>
      </c>
      <c r="C1152" s="2" t="s">
        <v>572</v>
      </c>
      <c r="D1152" s="2" t="str">
        <f t="shared" si="17"/>
        <v>Error?</v>
      </c>
    </row>
    <row r="1153" spans="1:4" x14ac:dyDescent="0.2">
      <c r="A1153" s="5">
        <v>1092</v>
      </c>
      <c r="B1153" s="138">
        <f>'Expenditures 15-22'!K115</f>
        <v>-126731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23943</v>
      </c>
      <c r="D1237" s="2" t="str">
        <f t="shared" si="18"/>
        <v>Error?</v>
      </c>
    </row>
    <row r="1238" spans="1:4" x14ac:dyDescent="0.2">
      <c r="A1238" s="10">
        <v>1177</v>
      </c>
      <c r="D1238" s="2" t="str">
        <f t="shared" si="18"/>
        <v>OK</v>
      </c>
    </row>
    <row r="1239" spans="1:4" x14ac:dyDescent="0.2">
      <c r="A1239" s="5">
        <v>1178</v>
      </c>
      <c r="B1239" s="138">
        <f>'Expenditures 15-22'!E127</f>
        <v>23943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23943</v>
      </c>
      <c r="C1241" s="2" t="s">
        <v>572</v>
      </c>
      <c r="D1241" s="2" t="str">
        <f t="shared" si="18"/>
        <v>Error?</v>
      </c>
    </row>
    <row r="1242" spans="1:4" x14ac:dyDescent="0.2">
      <c r="A1242" s="5">
        <v>1181</v>
      </c>
      <c r="B1242" s="138">
        <f>'Expenditures 15-22'!E151</f>
        <v>54909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40236</v>
      </c>
      <c r="D1245" s="2" t="str">
        <f t="shared" si="18"/>
        <v>Error?</v>
      </c>
    </row>
    <row r="1246" spans="1:4" x14ac:dyDescent="0.2">
      <c r="A1246" s="10">
        <v>1185</v>
      </c>
      <c r="D1246" s="2" t="str">
        <f t="shared" si="18"/>
        <v>OK</v>
      </c>
    </row>
    <row r="1247" spans="1:4" x14ac:dyDescent="0.2">
      <c r="A1247" s="5">
        <v>1186</v>
      </c>
      <c r="B1247" s="138">
        <f>'Expenditures 15-22'!F127</f>
        <v>40236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40236</v>
      </c>
      <c r="C1249" s="2" t="s">
        <v>572</v>
      </c>
      <c r="D1249" s="2" t="str">
        <f t="shared" si="18"/>
        <v>Error?</v>
      </c>
    </row>
    <row r="1250" spans="1:4" x14ac:dyDescent="0.2">
      <c r="A1250" s="5">
        <v>1189</v>
      </c>
      <c r="B1250" s="138">
        <f>'Expenditures 15-22'!F151</f>
        <v>40236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62631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62631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62631</v>
      </c>
      <c r="C1258" s="2" t="s">
        <v>572</v>
      </c>
      <c r="D1258" s="2" t="str">
        <f t="shared" si="18"/>
        <v>Error?</v>
      </c>
    </row>
    <row r="1259" spans="1:4" x14ac:dyDescent="0.2">
      <c r="A1259" s="5">
        <v>1198</v>
      </c>
      <c r="B1259" s="138">
        <f>'Expenditures 15-22'!G151</f>
        <v>62631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126810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126810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126810</v>
      </c>
      <c r="C1281" s="2" t="s">
        <v>572</v>
      </c>
      <c r="D1281" s="2" t="str">
        <f t="shared" si="19"/>
        <v>Error?</v>
      </c>
    </row>
    <row r="1282" spans="1:4" x14ac:dyDescent="0.2">
      <c r="A1282" s="5">
        <v>1221</v>
      </c>
      <c r="B1282" s="138">
        <f>'Expenditures 15-22'!K139</f>
        <v>30966</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157776</v>
      </c>
      <c r="C1288" s="2" t="s">
        <v>572</v>
      </c>
      <c r="D1288" s="2" t="str">
        <f t="shared" si="19"/>
        <v>Error?</v>
      </c>
    </row>
    <row r="1289" spans="1:4" x14ac:dyDescent="0.2">
      <c r="A1289" s="5">
        <v>1228</v>
      </c>
      <c r="B1289" s="138">
        <f>'Expenditures 15-22'!K152</f>
        <v>-61440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15424</v>
      </c>
      <c r="D1316" s="2" t="str">
        <f t="shared" si="19"/>
        <v>Error?</v>
      </c>
    </row>
    <row r="1317" spans="1:4" x14ac:dyDescent="0.2">
      <c r="A1317" s="5">
        <v>1256</v>
      </c>
      <c r="B1317" s="138">
        <f>'Expenditures 15-22'!H172</f>
        <v>76774</v>
      </c>
      <c r="C1317" s="2" t="s">
        <v>572</v>
      </c>
      <c r="D1317" s="2" t="str">
        <f t="shared" si="19"/>
        <v>Error?</v>
      </c>
    </row>
    <row r="1318" spans="1:4" x14ac:dyDescent="0.2">
      <c r="A1318" s="5">
        <v>1257</v>
      </c>
      <c r="B1318" s="138">
        <f>'Expenditures 15-22'!H174</f>
        <v>76774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60000</v>
      </c>
      <c r="C1329" s="2" t="s">
        <v>572</v>
      </c>
      <c r="D1329" s="2" t="str">
        <f t="shared" si="19"/>
        <v>Error?</v>
      </c>
    </row>
    <row r="1330" spans="1:4" x14ac:dyDescent="0.2">
      <c r="A1330" s="5">
        <v>1269</v>
      </c>
      <c r="B1330" s="138">
        <f>'Expenditures 15-22'!K171</f>
        <v>15424</v>
      </c>
      <c r="C1330" s="2" t="s">
        <v>572</v>
      </c>
      <c r="D1330" s="2" t="str">
        <f t="shared" si="19"/>
        <v>Error?</v>
      </c>
    </row>
    <row r="1331" spans="1:4" x14ac:dyDescent="0.2">
      <c r="A1331" s="5">
        <v>1270</v>
      </c>
      <c r="B1331" s="138">
        <f>'Expenditures 15-22'!K172</f>
        <v>76774</v>
      </c>
      <c r="C1331" s="2" t="s">
        <v>572</v>
      </c>
      <c r="D1331" s="2" t="str">
        <f t="shared" si="19"/>
        <v>Error?</v>
      </c>
    </row>
    <row r="1332" spans="1:4" x14ac:dyDescent="0.2">
      <c r="A1332" s="5">
        <v>1271</v>
      </c>
      <c r="B1332" s="138">
        <f>'Expenditures 15-22'!K174</f>
        <v>76774</v>
      </c>
      <c r="C1332" s="2" t="s">
        <v>572</v>
      </c>
      <c r="D1332" s="2" t="str">
        <f t="shared" si="19"/>
        <v>Error?</v>
      </c>
    </row>
    <row r="1333" spans="1:4" x14ac:dyDescent="0.2">
      <c r="A1333" s="5">
        <v>1272</v>
      </c>
      <c r="B1333" s="138">
        <f>'Expenditures 15-22'!K175</f>
        <v>-16074</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222300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222300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222300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222300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222300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222300</v>
      </c>
      <c r="C1388" s="2" t="s">
        <v>572</v>
      </c>
      <c r="D1388" s="2" t="str">
        <f t="shared" si="20"/>
        <v>Error?</v>
      </c>
    </row>
    <row r="1389" spans="1:4" x14ac:dyDescent="0.2">
      <c r="A1389" s="5">
        <v>1328</v>
      </c>
      <c r="B1389" s="138">
        <f>'Expenditures 15-22'!K211</f>
        <v>-54957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27169</v>
      </c>
      <c r="C1410" s="2" t="s">
        <v>572</v>
      </c>
      <c r="D1410" s="2" t="str">
        <f t="shared" si="21"/>
        <v>Error?</v>
      </c>
    </row>
    <row r="1411" spans="1:4" x14ac:dyDescent="0.2">
      <c r="A1411" s="5">
        <v>1350</v>
      </c>
      <c r="B1411" s="138">
        <f>'Expenditures 15-22'!D232</f>
        <v>10790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8797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19587</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1656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1656</v>
      </c>
      <c r="C1421" s="2" t="s">
        <v>572</v>
      </c>
      <c r="D1421" s="2" t="str">
        <f t="shared" si="21"/>
        <v>Error?</v>
      </c>
    </row>
    <row r="1422" spans="1:4" x14ac:dyDescent="0.2">
      <c r="A1422" s="5">
        <v>1361</v>
      </c>
      <c r="B1422" s="138">
        <f>'Expenditures 15-22'!D245</f>
        <v>149</v>
      </c>
      <c r="D1422" s="2" t="str">
        <f t="shared" si="21"/>
        <v>Error?</v>
      </c>
    </row>
    <row r="1423" spans="1:4" x14ac:dyDescent="0.2">
      <c r="A1423" s="5">
        <v>1362</v>
      </c>
      <c r="B1423" s="138">
        <f>'Expenditures 15-22'!D246</f>
        <v>424</v>
      </c>
      <c r="D1423" s="2" t="str">
        <f t="shared" si="21"/>
        <v>Error?</v>
      </c>
    </row>
    <row r="1424" spans="1:4" x14ac:dyDescent="0.2">
      <c r="A1424" s="5">
        <v>1363</v>
      </c>
      <c r="B1424" s="138">
        <f>'Expenditures 15-22'!D257</f>
        <v>573</v>
      </c>
      <c r="C1424" s="2" t="s">
        <v>572</v>
      </c>
      <c r="D1424" s="2" t="str">
        <f t="shared" si="21"/>
        <v>Error?</v>
      </c>
    </row>
    <row r="1425" spans="1:4" x14ac:dyDescent="0.2">
      <c r="A1425" s="5">
        <v>1364</v>
      </c>
      <c r="B1425" s="138">
        <f>'Expenditures 15-22'!D259</f>
        <v>1799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1799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15473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7507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29917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53532</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83959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277</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27169</v>
      </c>
      <c r="C1474" s="2" t="s">
        <v>572</v>
      </c>
      <c r="D1474" s="2" t="str">
        <f t="shared" si="22"/>
        <v>Error?</v>
      </c>
    </row>
    <row r="1475" spans="1:4" x14ac:dyDescent="0.2">
      <c r="A1475" s="5">
        <v>1414</v>
      </c>
      <c r="B1475" s="138">
        <f>'Expenditures 15-22'!K232</f>
        <v>10790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8797</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19587</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1656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1656</v>
      </c>
      <c r="C1485" s="2" t="s">
        <v>572</v>
      </c>
      <c r="D1485" s="2" t="str">
        <f t="shared" si="22"/>
        <v>Error?</v>
      </c>
    </row>
    <row r="1486" spans="1:4" x14ac:dyDescent="0.2">
      <c r="A1486" s="5">
        <v>1425</v>
      </c>
      <c r="B1486" s="138">
        <f>'Expenditures 15-22'!K245</f>
        <v>149</v>
      </c>
      <c r="C1486" s="2" t="s">
        <v>572</v>
      </c>
      <c r="D1486" s="2" t="str">
        <f t="shared" si="22"/>
        <v>Error?</v>
      </c>
    </row>
    <row r="1487" spans="1:4" x14ac:dyDescent="0.2">
      <c r="A1487" s="5">
        <v>1426</v>
      </c>
      <c r="B1487" s="138">
        <f>'Expenditures 15-22'!K246</f>
        <v>424</v>
      </c>
      <c r="C1487" s="2" t="s">
        <v>572</v>
      </c>
      <c r="D1487" s="2" t="str">
        <f t="shared" si="22"/>
        <v>Error?</v>
      </c>
    </row>
    <row r="1488" spans="1:4" x14ac:dyDescent="0.2">
      <c r="A1488" s="5">
        <v>1427</v>
      </c>
      <c r="B1488" s="138">
        <f>'Expenditures 15-22'!K257</f>
        <v>573</v>
      </c>
      <c r="C1488" s="2" t="s">
        <v>572</v>
      </c>
      <c r="D1488" s="2" t="str">
        <f t="shared" si="22"/>
        <v>Error?</v>
      </c>
    </row>
    <row r="1489" spans="1:4" x14ac:dyDescent="0.2">
      <c r="A1489" s="5">
        <v>1428</v>
      </c>
      <c r="B1489" s="138">
        <f>'Expenditures 15-22'!K259</f>
        <v>1799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1799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6937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15473</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7507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29917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53532</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83959</v>
      </c>
      <c r="C1517" s="2" t="s">
        <v>572</v>
      </c>
      <c r="D1517" s="2" t="str">
        <f t="shared" si="22"/>
        <v>Error?</v>
      </c>
    </row>
    <row r="1518" spans="1:4" x14ac:dyDescent="0.2">
      <c r="A1518" s="5">
        <v>1457</v>
      </c>
      <c r="B1518" s="138">
        <f>'Expenditures 15-22'!K296</f>
        <v>3844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12485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12485</v>
      </c>
      <c r="C1535" s="2" t="s">
        <v>572</v>
      </c>
      <c r="D1535" s="2" t="str">
        <f t="shared" ref="D1535:D1598" si="23">IF(ISBLANK(B1535),"OK",IF(A1535-B1535=0,"OK","Error?"))</f>
        <v>Error?</v>
      </c>
    </row>
    <row r="1536" spans="1:4" x14ac:dyDescent="0.2">
      <c r="A1536" s="5">
        <v>1475</v>
      </c>
      <c r="B1536" s="138">
        <f>'Expenditures 15-22'!E312</f>
        <v>12485</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79163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79163</v>
      </c>
      <c r="C1547" s="2" t="s">
        <v>572</v>
      </c>
      <c r="D1547" s="2" t="str">
        <f t="shared" si="23"/>
        <v>Error?</v>
      </c>
    </row>
    <row r="1548" spans="1:4" x14ac:dyDescent="0.2">
      <c r="A1548" s="5">
        <v>1487</v>
      </c>
      <c r="B1548" s="138">
        <f>'Expenditures 15-22'!G312</f>
        <v>79163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91648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91648</v>
      </c>
      <c r="C1559" s="2" t="s">
        <v>572</v>
      </c>
      <c r="D1559" s="2" t="str">
        <f t="shared" si="23"/>
        <v>Error?</v>
      </c>
    </row>
    <row r="1560" spans="1:4" x14ac:dyDescent="0.2">
      <c r="A1560" s="5">
        <v>1499</v>
      </c>
      <c r="B1560" s="138">
        <f>'Expenditures 15-22'!K312</f>
        <v>91648</v>
      </c>
      <c r="C1560" s="2" t="s">
        <v>572</v>
      </c>
      <c r="D1560" s="2" t="str">
        <f t="shared" si="23"/>
        <v>Error?</v>
      </c>
    </row>
    <row r="1561" spans="1:4" x14ac:dyDescent="0.2">
      <c r="A1561" s="5">
        <v>1500</v>
      </c>
      <c r="B1561" s="138">
        <f>'Expenditures 15-22'!K313</f>
        <v>-19884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1253082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1126351</v>
      </c>
      <c r="C1630" s="2" t="s">
        <v>572</v>
      </c>
      <c r="D1630" s="2" t="str">
        <f t="shared" si="24"/>
        <v>Error?</v>
      </c>
    </row>
    <row r="1631" spans="1:4" x14ac:dyDescent="0.2">
      <c r="A1631" s="5">
        <v>1570</v>
      </c>
      <c r="B1631" s="138">
        <f>'Acct Summary 7-8'!D79</f>
        <v>125943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64503</v>
      </c>
      <c r="C1644" s="2" t="s">
        <v>572</v>
      </c>
      <c r="D1644" s="2" t="str">
        <f t="shared" si="24"/>
        <v>Error?</v>
      </c>
    </row>
    <row r="1645" spans="1:4" x14ac:dyDescent="0.2">
      <c r="A1645" s="5">
        <v>1584</v>
      </c>
      <c r="B1645" s="138">
        <f>'Acct Summary 7-8'!E79</f>
        <v>5684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4534</v>
      </c>
      <c r="C1658" s="2" t="s">
        <v>572</v>
      </c>
      <c r="D1658" s="2" t="str">
        <f t="shared" si="24"/>
        <v>Error?</v>
      </c>
    </row>
    <row r="1659" spans="1:4" x14ac:dyDescent="0.2">
      <c r="A1659" s="5">
        <v>1598</v>
      </c>
      <c r="B1659" s="138">
        <f>'Acct Summary 7-8'!F79</f>
        <v>53727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88770</v>
      </c>
      <c r="C1672" s="2" t="s">
        <v>572</v>
      </c>
      <c r="D1672" s="2" t="str">
        <f t="shared" si="25"/>
        <v>Error?</v>
      </c>
    </row>
    <row r="1673" spans="1:4" x14ac:dyDescent="0.2">
      <c r="A1673" s="5">
        <v>1612</v>
      </c>
      <c r="B1673" s="138">
        <f>'Acct Summary 7-8'!G79</f>
        <v>21732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25576</v>
      </c>
      <c r="C1686" s="2" t="s">
        <v>572</v>
      </c>
      <c r="D1686" s="2" t="str">
        <f t="shared" si="25"/>
        <v>Error?</v>
      </c>
    </row>
    <row r="1687" spans="1:4" x14ac:dyDescent="0.2">
      <c r="A1687" s="5">
        <v>1626</v>
      </c>
      <c r="B1687" s="138">
        <f>'Acct Summary 7-8'!H79</f>
        <v>42603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122869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185985</v>
      </c>
      <c r="C1744" s="2" t="s">
        <v>572</v>
      </c>
      <c r="D1744" s="2" t="str">
        <f t="shared" si="26"/>
        <v>Error?</v>
      </c>
    </row>
    <row r="1745" spans="1:5" x14ac:dyDescent="0.2">
      <c r="A1745" s="5">
        <v>1684</v>
      </c>
      <c r="B1745" s="138">
        <f>'Tax Sched 23'!B5</f>
        <v>39947</v>
      </c>
      <c r="C1745" s="2" t="s">
        <v>572</v>
      </c>
      <c r="D1745" s="2" t="str">
        <f t="shared" si="26"/>
        <v>Error?</v>
      </c>
    </row>
    <row r="1746" spans="1:5" x14ac:dyDescent="0.2">
      <c r="A1746" s="5">
        <v>1685</v>
      </c>
      <c r="B1746" s="138">
        <f>'Tax Sched 23'!B6</f>
        <v>60700</v>
      </c>
      <c r="C1746" s="2" t="s">
        <v>572</v>
      </c>
      <c r="D1746" s="2" t="str">
        <f t="shared" si="26"/>
        <v>Error?</v>
      </c>
    </row>
    <row r="1747" spans="1:5" x14ac:dyDescent="0.2">
      <c r="A1747" s="5">
        <v>1686</v>
      </c>
      <c r="B1747" s="138">
        <f>'Tax Sched 23'!B7</f>
        <v>19174</v>
      </c>
      <c r="C1747" s="2" t="s">
        <v>572</v>
      </c>
      <c r="D1747" s="2" t="str">
        <f t="shared" si="26"/>
        <v>Error?</v>
      </c>
    </row>
    <row r="1748" spans="1:5" x14ac:dyDescent="0.2">
      <c r="A1748" s="5">
        <v>1687</v>
      </c>
      <c r="B1748" s="138">
        <f>'Tax Sched 23'!B8</f>
        <v>47492</v>
      </c>
      <c r="C1748" s="2" t="s">
        <v>572</v>
      </c>
      <c r="D1748" s="2" t="str">
        <f t="shared" si="26"/>
        <v>Error?</v>
      </c>
    </row>
    <row r="1749" spans="1:5" x14ac:dyDescent="0.2">
      <c r="A1749" s="5">
        <v>1688</v>
      </c>
      <c r="B1749" s="138">
        <f>'Tax Sched 23'!B10</f>
        <v>7989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54417</v>
      </c>
      <c r="C1752" s="2" t="s">
        <v>572</v>
      </c>
      <c r="D1752" s="2" t="str">
        <f t="shared" si="26"/>
        <v>Error?</v>
      </c>
    </row>
    <row r="1753" spans="1:5" x14ac:dyDescent="0.2">
      <c r="A1753" s="5">
        <v>1692</v>
      </c>
      <c r="B1753" s="138">
        <f>'Tax Sched 23'!B12</f>
        <v>7989</v>
      </c>
      <c r="C1753" s="2" t="s">
        <v>572</v>
      </c>
      <c r="D1753" s="2" t="str">
        <f t="shared" si="26"/>
        <v>Error?</v>
      </c>
    </row>
    <row r="1754" spans="1:5" x14ac:dyDescent="0.2">
      <c r="A1754" s="5">
        <v>1693</v>
      </c>
      <c r="B1754" s="138">
        <f>'Tax Sched 23'!B14</f>
        <v>3196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474282</v>
      </c>
      <c r="C1759" s="2" t="s">
        <v>572</v>
      </c>
      <c r="D1759" s="2" t="str">
        <f t="shared" si="26"/>
        <v>Error?</v>
      </c>
    </row>
    <row r="1760" spans="1:5" x14ac:dyDescent="0.2">
      <c r="A1760" s="5">
        <v>1699</v>
      </c>
      <c r="B1760" s="138">
        <f>'Tax Sched 23'!D4</f>
        <v>185985</v>
      </c>
      <c r="C1760" s="2" t="s">
        <v>572</v>
      </c>
      <c r="D1760" s="2" t="str">
        <f t="shared" si="26"/>
        <v>Error?</v>
      </c>
    </row>
    <row r="1761" spans="1:5" x14ac:dyDescent="0.2">
      <c r="A1761" s="5">
        <v>1700</v>
      </c>
      <c r="B1761" s="138">
        <f>'Tax Sched 23'!D5</f>
        <v>39947</v>
      </c>
      <c r="C1761" s="2" t="s">
        <v>572</v>
      </c>
      <c r="D1761" s="2" t="str">
        <f t="shared" si="26"/>
        <v>Error?</v>
      </c>
    </row>
    <row r="1762" spans="1:5" s="8" customFormat="1" x14ac:dyDescent="0.2">
      <c r="A1762" s="5">
        <v>1701</v>
      </c>
      <c r="B1762" s="138">
        <f>'Tax Sched 23'!D6</f>
        <v>60700</v>
      </c>
      <c r="C1762" s="2" t="s">
        <v>572</v>
      </c>
      <c r="D1762" s="2" t="str">
        <f t="shared" si="26"/>
        <v>Error?</v>
      </c>
      <c r="E1762" s="9"/>
    </row>
    <row r="1763" spans="1:5" x14ac:dyDescent="0.2">
      <c r="A1763" s="5">
        <v>1702</v>
      </c>
      <c r="B1763" s="138">
        <f>'Tax Sched 23'!D7</f>
        <v>19174</v>
      </c>
      <c r="C1763" s="2" t="s">
        <v>572</v>
      </c>
      <c r="D1763" s="2" t="str">
        <f t="shared" si="26"/>
        <v>Error?</v>
      </c>
    </row>
    <row r="1764" spans="1:5" x14ac:dyDescent="0.2">
      <c r="A1764" s="5">
        <v>1703</v>
      </c>
      <c r="B1764" s="138">
        <f>'Tax Sched 23'!D8</f>
        <v>47492</v>
      </c>
      <c r="C1764" s="2" t="s">
        <v>572</v>
      </c>
      <c r="D1764" s="2" t="str">
        <f t="shared" si="26"/>
        <v>Error?</v>
      </c>
    </row>
    <row r="1765" spans="1:5" x14ac:dyDescent="0.2">
      <c r="A1765" s="5">
        <v>1704</v>
      </c>
      <c r="B1765" s="138">
        <f>'Tax Sched 23'!D10</f>
        <v>7989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54417</v>
      </c>
      <c r="C1768" s="2" t="s">
        <v>572</v>
      </c>
      <c r="D1768" s="2" t="str">
        <f t="shared" si="26"/>
        <v>Error?</v>
      </c>
    </row>
    <row r="1769" spans="1:5" x14ac:dyDescent="0.2">
      <c r="A1769" s="5">
        <v>1708</v>
      </c>
      <c r="B1769" s="138">
        <f>'Tax Sched 23'!D12</f>
        <v>7989</v>
      </c>
      <c r="C1769" s="2" t="s">
        <v>572</v>
      </c>
      <c r="D1769" s="2" t="str">
        <f t="shared" si="26"/>
        <v>Error?</v>
      </c>
    </row>
    <row r="1770" spans="1:5" x14ac:dyDescent="0.2">
      <c r="A1770" s="5">
        <v>1709</v>
      </c>
      <c r="B1770" s="138">
        <f>'Tax Sched 23'!D14</f>
        <v>3196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474282</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185765</v>
      </c>
      <c r="C1792" s="2" t="s">
        <v>572</v>
      </c>
      <c r="D1792" s="2" t="str">
        <f t="shared" si="27"/>
        <v>Error?</v>
      </c>
    </row>
    <row r="1793" spans="1:4" x14ac:dyDescent="0.2">
      <c r="A1793" s="5">
        <v>1732</v>
      </c>
      <c r="B1793" s="138">
        <f>'Tax Sched 23'!F5</f>
        <v>39693</v>
      </c>
      <c r="C1793" s="2" t="s">
        <v>572</v>
      </c>
      <c r="D1793" s="2" t="str">
        <f t="shared" si="27"/>
        <v>Error?</v>
      </c>
    </row>
    <row r="1794" spans="1:4" x14ac:dyDescent="0.2">
      <c r="A1794" s="5">
        <v>1733</v>
      </c>
      <c r="B1794" s="138">
        <f>'Tax Sched 23'!F6</f>
        <v>63360</v>
      </c>
      <c r="C1794" s="2" t="s">
        <v>572</v>
      </c>
      <c r="D1794" s="2" t="str">
        <f t="shared" si="27"/>
        <v>Error?</v>
      </c>
    </row>
    <row r="1795" spans="1:4" x14ac:dyDescent="0.2">
      <c r="A1795" s="5">
        <v>1734</v>
      </c>
      <c r="B1795" s="138">
        <f>'Tax Sched 23'!F7</f>
        <v>19053</v>
      </c>
      <c r="C1795" s="2" t="s">
        <v>572</v>
      </c>
      <c r="D1795" s="2" t="str">
        <f t="shared" si="27"/>
        <v>Error?</v>
      </c>
    </row>
    <row r="1796" spans="1:4" x14ac:dyDescent="0.2">
      <c r="A1796" s="5">
        <v>1735</v>
      </c>
      <c r="B1796" s="138">
        <f>'Tax Sched 23'!F8</f>
        <v>40800</v>
      </c>
      <c r="C1796" s="2" t="s">
        <v>572</v>
      </c>
      <c r="D1796" s="2" t="str">
        <f t="shared" si="27"/>
        <v>Error?</v>
      </c>
    </row>
    <row r="1797" spans="1:4" x14ac:dyDescent="0.2">
      <c r="A1797" s="5">
        <v>1736</v>
      </c>
      <c r="B1797" s="138">
        <f>'Tax Sched 23'!F10</f>
        <v>7939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70942</v>
      </c>
      <c r="C1800" s="2" t="s">
        <v>572</v>
      </c>
      <c r="D1800" s="2" t="str">
        <f t="shared" si="27"/>
        <v>Error?</v>
      </c>
    </row>
    <row r="1801" spans="1:4" x14ac:dyDescent="0.2">
      <c r="A1801" s="5">
        <v>1740</v>
      </c>
      <c r="B1801" s="138">
        <f>'Tax Sched 23'!F12</f>
        <v>7939</v>
      </c>
      <c r="C1801" s="2" t="s">
        <v>572</v>
      </c>
      <c r="D1801" s="2" t="str">
        <f t="shared" si="27"/>
        <v>Error?</v>
      </c>
    </row>
    <row r="1802" spans="1:4" x14ac:dyDescent="0.2">
      <c r="A1802" s="5">
        <v>1741</v>
      </c>
      <c r="B1802" s="138">
        <f>'Tax Sched 23'!F14</f>
        <v>3175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497606</v>
      </c>
      <c r="C1807" s="2" t="s">
        <v>572</v>
      </c>
      <c r="D1807" s="2" t="str">
        <f t="shared" si="27"/>
        <v>Error?</v>
      </c>
    </row>
    <row r="1808" spans="1:4" x14ac:dyDescent="0.2">
      <c r="A1808" s="5">
        <v>1747</v>
      </c>
      <c r="B1808" s="138">
        <f>'Tax Sched 23'!E4</f>
        <v>185765</v>
      </c>
      <c r="D1808" s="2" t="str">
        <f t="shared" si="27"/>
        <v>Error?</v>
      </c>
    </row>
    <row r="1809" spans="1:4" x14ac:dyDescent="0.2">
      <c r="A1809" s="5">
        <v>1748</v>
      </c>
      <c r="B1809" s="138">
        <f>'Tax Sched 23'!E5</f>
        <v>39693</v>
      </c>
      <c r="D1809" s="2" t="str">
        <f t="shared" si="27"/>
        <v>Error?</v>
      </c>
    </row>
    <row r="1810" spans="1:4" x14ac:dyDescent="0.2">
      <c r="A1810" s="5">
        <v>1749</v>
      </c>
      <c r="B1810" s="138">
        <f>'Tax Sched 23'!E6</f>
        <v>63360</v>
      </c>
      <c r="D1810" s="2" t="str">
        <f t="shared" si="27"/>
        <v>Error?</v>
      </c>
    </row>
    <row r="1811" spans="1:4" x14ac:dyDescent="0.2">
      <c r="A1811" s="5">
        <v>1750</v>
      </c>
      <c r="B1811" s="138">
        <f>'Tax Sched 23'!E7</f>
        <v>19053</v>
      </c>
      <c r="D1811" s="2" t="str">
        <f t="shared" si="27"/>
        <v>Error?</v>
      </c>
    </row>
    <row r="1812" spans="1:4" x14ac:dyDescent="0.2">
      <c r="A1812" s="5">
        <v>1751</v>
      </c>
      <c r="B1812" s="138">
        <f>'Tax Sched 23'!E8</f>
        <v>40800</v>
      </c>
      <c r="D1812" s="2" t="str">
        <f t="shared" si="27"/>
        <v>Error?</v>
      </c>
    </row>
    <row r="1813" spans="1:4" x14ac:dyDescent="0.2">
      <c r="A1813" s="5">
        <v>1752</v>
      </c>
      <c r="B1813" s="138">
        <f>'Tax Sched 23'!E10</f>
        <v>7939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70942</v>
      </c>
      <c r="D1816" s="2" t="str">
        <f t="shared" si="27"/>
        <v>Error?</v>
      </c>
    </row>
    <row r="1817" spans="1:4" x14ac:dyDescent="0.2">
      <c r="A1817" s="5">
        <v>1756</v>
      </c>
      <c r="B1817" s="138">
        <f>'Tax Sched 23'!E12</f>
        <v>7939</v>
      </c>
      <c r="D1817" s="2" t="str">
        <f t="shared" si="27"/>
        <v>Error?</v>
      </c>
    </row>
    <row r="1818" spans="1:4" x14ac:dyDescent="0.2">
      <c r="A1818" s="5">
        <v>1757</v>
      </c>
      <c r="B1818" s="138">
        <f>'Tax Sched 23'!E14</f>
        <v>3175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497606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60000</v>
      </c>
      <c r="C1939" s="2" t="s">
        <v>572</v>
      </c>
      <c r="D1939" s="2" t="str">
        <f t="shared" si="29"/>
        <v>Error?</v>
      </c>
    </row>
    <row r="1940" spans="1:5" x14ac:dyDescent="0.2">
      <c r="A1940" s="5">
        <v>1879</v>
      </c>
      <c r="B1940" s="138">
        <f>'Short-Term Long-Term Debt 24'!F49</f>
        <v>288150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3196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3196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22962</v>
      </c>
      <c r="D2008" s="2" t="str">
        <f t="shared" si="30"/>
        <v>Error?</v>
      </c>
    </row>
    <row r="2009" spans="1:4" x14ac:dyDescent="0.2">
      <c r="A2009" s="5">
        <v>1948</v>
      </c>
      <c r="B2009" s="138">
        <f>'Cap Outlay Deprec 26'!C8</f>
        <v>3612449</v>
      </c>
      <c r="D2009" s="2" t="str">
        <f t="shared" si="30"/>
        <v>Error?</v>
      </c>
    </row>
    <row r="2010" spans="1:4" x14ac:dyDescent="0.2">
      <c r="A2010" s="5">
        <v>1949</v>
      </c>
      <c r="B2010" s="138">
        <f>'Cap Outlay Deprec 26'!C10</f>
        <v>208554</v>
      </c>
      <c r="D2010" s="2" t="str">
        <f t="shared" si="30"/>
        <v>Error?</v>
      </c>
    </row>
    <row r="2011" spans="1:4" x14ac:dyDescent="0.2">
      <c r="A2011" s="5">
        <v>1950</v>
      </c>
      <c r="B2011" s="138">
        <f>'Cap Outlay Deprec 26'!C12</f>
        <v>186057</v>
      </c>
      <c r="D2011" s="2" t="str">
        <f t="shared" si="30"/>
        <v>Error?</v>
      </c>
    </row>
    <row r="2012" spans="1:4" x14ac:dyDescent="0.2">
      <c r="A2012" s="5">
        <v>1951</v>
      </c>
      <c r="B2012" s="138">
        <f>'Cap Outlay Deprec 26'!C13</f>
        <v>157583</v>
      </c>
      <c r="D2012" s="2" t="str">
        <f t="shared" si="30"/>
        <v>Error?</v>
      </c>
    </row>
    <row r="2013" spans="1:4" x14ac:dyDescent="0.2">
      <c r="A2013" s="5">
        <v>1952</v>
      </c>
      <c r="B2013" s="138">
        <f>'Cap Outlay Deprec 26'!C16</f>
        <v>4187605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117155</v>
      </c>
      <c r="D2016" s="2" t="str">
        <f t="shared" si="30"/>
        <v>Error?</v>
      </c>
    </row>
    <row r="2017" spans="1:4" x14ac:dyDescent="0.2">
      <c r="A2017" s="5">
        <v>1956</v>
      </c>
      <c r="B2017" s="138">
        <f>'Cap Outlay Deprec 26'!D12</f>
        <v>12167</v>
      </c>
      <c r="D2017" s="2" t="str">
        <f t="shared" si="30"/>
        <v>Error?</v>
      </c>
    </row>
    <row r="2018" spans="1:4" x14ac:dyDescent="0.2">
      <c r="A2018" s="5">
        <v>1957</v>
      </c>
      <c r="B2018" s="138">
        <f>'Cap Outlay Deprec 26'!D13</f>
        <v>15058</v>
      </c>
      <c r="D2018" s="2" t="str">
        <f t="shared" si="30"/>
        <v>Error?</v>
      </c>
    </row>
    <row r="2019" spans="1:4" x14ac:dyDescent="0.2">
      <c r="A2019" s="5">
        <v>1958</v>
      </c>
      <c r="B2019" s="138">
        <f>'Cap Outlay Deprec 26'!D16</f>
        <v>175447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129063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33019</v>
      </c>
      <c r="D2024" s="2" t="str">
        <f t="shared" si="30"/>
        <v>Error?</v>
      </c>
    </row>
    <row r="2025" spans="1:4" x14ac:dyDescent="0.2">
      <c r="A2025" s="5">
        <v>1964</v>
      </c>
      <c r="B2025" s="138">
        <f>'Cap Outlay Deprec 26'!E16</f>
        <v>162082</v>
      </c>
      <c r="C2025" s="2" t="s">
        <v>572</v>
      </c>
      <c r="D2025" s="2" t="str">
        <f t="shared" si="30"/>
        <v>Error?</v>
      </c>
    </row>
    <row r="2026" spans="1:4" x14ac:dyDescent="0.2">
      <c r="A2026" s="5">
        <v>1965</v>
      </c>
      <c r="B2026" s="138">
        <f>'Cap Outlay Deprec 26'!F5</f>
        <v>22962</v>
      </c>
      <c r="C2026" s="2" t="s">
        <v>572</v>
      </c>
      <c r="D2026" s="2" t="str">
        <f t="shared" si="30"/>
        <v>Error?</v>
      </c>
    </row>
    <row r="2027" spans="1:4" x14ac:dyDescent="0.2">
      <c r="A2027" s="5">
        <v>1966</v>
      </c>
      <c r="B2027" s="138">
        <f>'Cap Outlay Deprec 26'!F8</f>
        <v>3483386</v>
      </c>
      <c r="C2027" s="2" t="s">
        <v>572</v>
      </c>
      <c r="D2027" s="2" t="str">
        <f t="shared" si="30"/>
        <v>Error?</v>
      </c>
    </row>
    <row r="2028" spans="1:4" x14ac:dyDescent="0.2">
      <c r="A2028" s="5">
        <v>1967</v>
      </c>
      <c r="B2028" s="138">
        <f>'Cap Outlay Deprec 26'!F10</f>
        <v>325709</v>
      </c>
      <c r="C2028" s="2" t="s">
        <v>572</v>
      </c>
      <c r="D2028" s="2" t="str">
        <f t="shared" si="30"/>
        <v>Error?</v>
      </c>
    </row>
    <row r="2029" spans="1:4" x14ac:dyDescent="0.2">
      <c r="A2029" s="5">
        <v>1968</v>
      </c>
      <c r="B2029" s="138">
        <f>'Cap Outlay Deprec 26'!F12</f>
        <v>198224</v>
      </c>
      <c r="C2029" s="2" t="s">
        <v>572</v>
      </c>
      <c r="D2029" s="2" t="str">
        <f t="shared" si="30"/>
        <v>Error?</v>
      </c>
    </row>
    <row r="2030" spans="1:4" x14ac:dyDescent="0.2">
      <c r="A2030" s="5">
        <v>1969</v>
      </c>
      <c r="B2030" s="138">
        <f>'Cap Outlay Deprec 26'!F13</f>
        <v>139622</v>
      </c>
      <c r="C2030" s="2" t="s">
        <v>572</v>
      </c>
      <c r="D2030" s="2" t="str">
        <f t="shared" si="30"/>
        <v>Error?</v>
      </c>
    </row>
    <row r="2031" spans="1:4" x14ac:dyDescent="0.2">
      <c r="A2031" s="5">
        <v>1970</v>
      </c>
      <c r="B2031" s="138">
        <f>'Cap Outlay Deprec 26'!F16</f>
        <v>4200970</v>
      </c>
      <c r="C2031" s="2" t="s">
        <v>572</v>
      </c>
      <c r="D2031" s="2" t="str">
        <f t="shared" si="30"/>
        <v>Error?</v>
      </c>
    </row>
    <row r="2032" spans="1:4" x14ac:dyDescent="0.2">
      <c r="A2032" s="10">
        <v>1971</v>
      </c>
      <c r="D2032" s="2" t="str">
        <f t="shared" si="30"/>
        <v>OK</v>
      </c>
    </row>
    <row r="2033" spans="1:4" x14ac:dyDescent="0.2">
      <c r="A2033" s="5">
        <v>1972</v>
      </c>
      <c r="B2033" s="138">
        <f>'Cap Outlay Deprec 26'!H8</f>
        <v>1430357</v>
      </c>
      <c r="D2033" s="2" t="str">
        <f t="shared" si="30"/>
        <v>Error?</v>
      </c>
    </row>
    <row r="2034" spans="1:4" x14ac:dyDescent="0.2">
      <c r="A2034" s="5">
        <v>1973</v>
      </c>
      <c r="B2034" s="138">
        <f>'Cap Outlay Deprec 26'!H10</f>
        <v>34932</v>
      </c>
      <c r="D2034" s="2" t="str">
        <f t="shared" si="30"/>
        <v>Error?</v>
      </c>
    </row>
    <row r="2035" spans="1:4" x14ac:dyDescent="0.2">
      <c r="A2035" s="5">
        <v>1974</v>
      </c>
      <c r="B2035" s="138">
        <f>'Cap Outlay Deprec 26'!H12</f>
        <v>70852</v>
      </c>
      <c r="D2035" s="2" t="str">
        <f t="shared" si="30"/>
        <v>Error?</v>
      </c>
    </row>
    <row r="2036" spans="1:4" x14ac:dyDescent="0.2">
      <c r="A2036" s="5">
        <v>1975</v>
      </c>
      <c r="B2036" s="138">
        <f>'Cap Outlay Deprec 26'!H13</f>
        <v>112367</v>
      </c>
      <c r="D2036" s="2" t="str">
        <f t="shared" si="30"/>
        <v>Error?</v>
      </c>
    </row>
    <row r="2037" spans="1:4" x14ac:dyDescent="0.2">
      <c r="A2037" s="5">
        <v>1976</v>
      </c>
      <c r="B2037" s="138">
        <f>'Cap Outlay Deprec 26'!H16</f>
        <v>1648508</v>
      </c>
      <c r="C2037" s="2" t="s">
        <v>572</v>
      </c>
      <c r="D2037" s="2" t="str">
        <f t="shared" si="30"/>
        <v>Error?</v>
      </c>
    </row>
    <row r="2038" spans="1:4" x14ac:dyDescent="0.2">
      <c r="A2038" s="10">
        <v>1977</v>
      </c>
      <c r="D2038" s="2" t="str">
        <f t="shared" si="30"/>
        <v>OK</v>
      </c>
    </row>
    <row r="2039" spans="1:4" x14ac:dyDescent="0.2">
      <c r="A2039" s="5">
        <v>1978</v>
      </c>
      <c r="B2039" s="138">
        <f>'Cap Outlay Deprec 26'!I8</f>
        <v>68874</v>
      </c>
      <c r="D2039" s="2" t="str">
        <f t="shared" si="30"/>
        <v>Error?</v>
      </c>
    </row>
    <row r="2040" spans="1:4" x14ac:dyDescent="0.2">
      <c r="A2040" s="5">
        <v>1979</v>
      </c>
      <c r="B2040" s="138">
        <f>'Cap Outlay Deprec 26'!I10</f>
        <v>16286</v>
      </c>
      <c r="D2040" s="2" t="str">
        <f t="shared" si="30"/>
        <v>Error?</v>
      </c>
    </row>
    <row r="2041" spans="1:4" x14ac:dyDescent="0.2">
      <c r="A2041" s="5">
        <v>1980</v>
      </c>
      <c r="B2041" s="138">
        <f>'Cap Outlay Deprec 26'!I12</f>
        <v>19798</v>
      </c>
      <c r="D2041" s="2" t="str">
        <f t="shared" si="30"/>
        <v>Error?</v>
      </c>
    </row>
    <row r="2042" spans="1:4" x14ac:dyDescent="0.2">
      <c r="A2042" s="5">
        <v>1981</v>
      </c>
      <c r="B2042" s="138">
        <f>'Cap Outlay Deprec 26'!I13</f>
        <v>27924</v>
      </c>
      <c r="D2042" s="2" t="str">
        <f t="shared" si="30"/>
        <v>Error?</v>
      </c>
    </row>
    <row r="2043" spans="1:4" x14ac:dyDescent="0.2">
      <c r="A2043" s="5">
        <v>1982</v>
      </c>
      <c r="B2043" s="138">
        <f>'Cap Outlay Deprec 26'!I16</f>
        <v>143238</v>
      </c>
      <c r="C2043" s="2" t="s">
        <v>572</v>
      </c>
      <c r="D2043" s="2" t="str">
        <f t="shared" si="30"/>
        <v>Error?</v>
      </c>
    </row>
    <row r="2044" spans="1:4" x14ac:dyDescent="0.2">
      <c r="A2044" s="10">
        <v>1983</v>
      </c>
      <c r="D2044" s="2" t="str">
        <f t="shared" si="30"/>
        <v>OK</v>
      </c>
    </row>
    <row r="2045" spans="1:4" x14ac:dyDescent="0.2">
      <c r="A2045" s="5">
        <v>1984</v>
      </c>
      <c r="B2045" s="138">
        <f>'Cap Outlay Deprec 26'!J8</f>
        <v>129063</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33019</v>
      </c>
      <c r="D2048" s="2" t="str">
        <f t="shared" si="31"/>
        <v>Error?</v>
      </c>
    </row>
    <row r="2049" spans="1:4" x14ac:dyDescent="0.2">
      <c r="A2049" s="5">
        <v>1988</v>
      </c>
      <c r="B2049" s="138">
        <f>'Cap Outlay Deprec 26'!J16</f>
        <v>162082</v>
      </c>
      <c r="C2049" s="2" t="s">
        <v>572</v>
      </c>
      <c r="D2049" s="2" t="str">
        <f t="shared" si="31"/>
        <v>Error?</v>
      </c>
    </row>
    <row r="2050" spans="1:4" x14ac:dyDescent="0.2">
      <c r="A2050" s="10">
        <v>1989</v>
      </c>
      <c r="D2050" s="2" t="str">
        <f t="shared" si="31"/>
        <v>OK</v>
      </c>
    </row>
    <row r="2051" spans="1:4" x14ac:dyDescent="0.2">
      <c r="A2051" s="5">
        <v>1990</v>
      </c>
      <c r="B2051" s="138">
        <f>'Cap Outlay Deprec 26'!K8</f>
        <v>1370168</v>
      </c>
      <c r="C2051" s="2" t="s">
        <v>572</v>
      </c>
      <c r="D2051" s="2" t="str">
        <f t="shared" si="31"/>
        <v>Error?</v>
      </c>
    </row>
    <row r="2052" spans="1:4" x14ac:dyDescent="0.2">
      <c r="A2052" s="5">
        <v>1991</v>
      </c>
      <c r="B2052" s="138">
        <f>'Cap Outlay Deprec 26'!K10</f>
        <v>51218</v>
      </c>
      <c r="C2052" s="2" t="s">
        <v>572</v>
      </c>
      <c r="D2052" s="2" t="str">
        <f t="shared" si="31"/>
        <v>Error?</v>
      </c>
    </row>
    <row r="2053" spans="1:4" x14ac:dyDescent="0.2">
      <c r="A2053" s="5">
        <v>1992</v>
      </c>
      <c r="B2053" s="138">
        <f>'Cap Outlay Deprec 26'!K12</f>
        <v>90650</v>
      </c>
      <c r="C2053" s="2" t="s">
        <v>572</v>
      </c>
      <c r="D2053" s="2" t="str">
        <f t="shared" si="31"/>
        <v>Error?</v>
      </c>
    </row>
    <row r="2054" spans="1:4" x14ac:dyDescent="0.2">
      <c r="A2054" s="5">
        <v>1993</v>
      </c>
      <c r="B2054" s="138">
        <f>'Cap Outlay Deprec 26'!K13</f>
        <v>107272</v>
      </c>
      <c r="C2054" s="2" t="s">
        <v>572</v>
      </c>
      <c r="D2054" s="2" t="str">
        <f t="shared" si="31"/>
        <v>Error?</v>
      </c>
    </row>
    <row r="2055" spans="1:4" x14ac:dyDescent="0.2">
      <c r="A2055" s="5">
        <v>1994</v>
      </c>
      <c r="B2055" s="138">
        <f>'Cap Outlay Deprec 26'!K16</f>
        <v>1629664</v>
      </c>
      <c r="C2055" s="2" t="s">
        <v>572</v>
      </c>
      <c r="D2055" s="2" t="str">
        <f t="shared" si="31"/>
        <v>Error?</v>
      </c>
    </row>
    <row r="2056" spans="1:4" x14ac:dyDescent="0.2">
      <c r="A2056" s="5">
        <v>1995</v>
      </c>
      <c r="B2056" s="138">
        <f>'Cap Outlay Deprec 26'!L5</f>
        <v>22962</v>
      </c>
      <c r="C2056" s="2" t="s">
        <v>572</v>
      </c>
      <c r="D2056" s="2" t="str">
        <f t="shared" si="31"/>
        <v>Error?</v>
      </c>
    </row>
    <row r="2057" spans="1:4" x14ac:dyDescent="0.2">
      <c r="A2057" s="5">
        <v>1996</v>
      </c>
      <c r="B2057" s="138">
        <f>'Cap Outlay Deprec 26'!L8</f>
        <v>2113218</v>
      </c>
      <c r="C2057" s="2" t="s">
        <v>572</v>
      </c>
      <c r="D2057" s="2" t="str">
        <f t="shared" si="31"/>
        <v>Error?</v>
      </c>
    </row>
    <row r="2058" spans="1:4" x14ac:dyDescent="0.2">
      <c r="A2058" s="5">
        <v>1997</v>
      </c>
      <c r="B2058" s="138">
        <f>'Cap Outlay Deprec 26'!L10</f>
        <v>274491</v>
      </c>
      <c r="C2058" s="2" t="s">
        <v>572</v>
      </c>
      <c r="D2058" s="2" t="str">
        <f t="shared" si="31"/>
        <v>Error?</v>
      </c>
    </row>
    <row r="2059" spans="1:4" x14ac:dyDescent="0.2">
      <c r="A2059" s="5">
        <v>1998</v>
      </c>
      <c r="B2059" s="138">
        <f>'Cap Outlay Deprec 26'!L12</f>
        <v>107574</v>
      </c>
      <c r="C2059" s="2" t="s">
        <v>572</v>
      </c>
      <c r="D2059" s="2" t="str">
        <f t="shared" si="31"/>
        <v>Error?</v>
      </c>
    </row>
    <row r="2060" spans="1:4" x14ac:dyDescent="0.2">
      <c r="A2060" s="5">
        <v>1999</v>
      </c>
      <c r="B2060" s="138">
        <f>'Cap Outlay Deprec 26'!L13</f>
        <v>32350</v>
      </c>
      <c r="C2060" s="2" t="s">
        <v>572</v>
      </c>
      <c r="D2060" s="2" t="str">
        <f t="shared" si="31"/>
        <v>Error?</v>
      </c>
    </row>
    <row r="2061" spans="1:4" x14ac:dyDescent="0.2">
      <c r="A2061" s="5">
        <v>2000</v>
      </c>
      <c r="B2061" s="138">
        <f>'Cap Outlay Deprec 26'!L16</f>
        <v>2571306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460469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30966</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11228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32406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239877</v>
      </c>
      <c r="C2551" s="2" t="s">
        <v>572</v>
      </c>
      <c r="D2551" s="2" t="str">
        <f t="shared" si="38"/>
        <v>Error?</v>
      </c>
    </row>
    <row r="2552" spans="1:4" x14ac:dyDescent="0.2">
      <c r="A2552" s="10">
        <v>2491</v>
      </c>
      <c r="D2552" s="2" t="str">
        <f t="shared" si="38"/>
        <v>OK</v>
      </c>
    </row>
    <row r="2553" spans="1:4" x14ac:dyDescent="0.2">
      <c r="A2553" s="5">
        <v>2492</v>
      </c>
      <c r="B2553" s="138">
        <f>'Acct Summary 7-8'!C6</f>
        <v>1637707</v>
      </c>
      <c r="C2553" s="2" t="s">
        <v>572</v>
      </c>
      <c r="D2553" s="2" t="str">
        <f t="shared" si="38"/>
        <v>Error?</v>
      </c>
    </row>
    <row r="2554" spans="1:4" x14ac:dyDescent="0.2">
      <c r="A2554" s="5">
        <v>2493</v>
      </c>
      <c r="B2554" s="138">
        <f>'Acct Summary 7-8'!C7</f>
        <v>292933</v>
      </c>
      <c r="C2554" s="2" t="s">
        <v>572</v>
      </c>
      <c r="D2554" s="2" t="str">
        <f t="shared" si="38"/>
        <v>Error?</v>
      </c>
    </row>
    <row r="2555" spans="1:4" x14ac:dyDescent="0.2">
      <c r="A2555" s="5">
        <v>2494</v>
      </c>
      <c r="B2555" s="138">
        <f>'Acct Summary 7-8'!C8</f>
        <v>2170517</v>
      </c>
      <c r="C2555" s="2" t="s">
        <v>572</v>
      </c>
      <c r="D2555" s="2" t="str">
        <f t="shared" si="38"/>
        <v>Error?</v>
      </c>
    </row>
    <row r="2556" spans="1:4" x14ac:dyDescent="0.2">
      <c r="A2556" s="5">
        <v>2495</v>
      </c>
      <c r="B2556" s="138">
        <f>'Acct Summary 7-8'!C12</f>
        <v>1156916</v>
      </c>
      <c r="C2556" s="2" t="s">
        <v>572</v>
      </c>
      <c r="D2556" s="2" t="str">
        <f t="shared" si="38"/>
        <v>Error?</v>
      </c>
    </row>
    <row r="2557" spans="1:4" x14ac:dyDescent="0.2">
      <c r="A2557" s="5">
        <v>2496</v>
      </c>
      <c r="B2557" s="138">
        <f>'Acct Summary 7-8'!C13</f>
        <v>678560</v>
      </c>
      <c r="C2557" s="2" t="s">
        <v>572</v>
      </c>
      <c r="D2557" s="2" t="str">
        <f t="shared" si="38"/>
        <v>Error?</v>
      </c>
    </row>
    <row r="2558" spans="1:4" x14ac:dyDescent="0.2">
      <c r="A2558" s="5">
        <v>2497</v>
      </c>
      <c r="B2558" s="138">
        <f>'Acct Summary 7-8'!C14</f>
        <v>1303</v>
      </c>
      <c r="C2558" s="2" t="s">
        <v>572</v>
      </c>
      <c r="D2558" s="2" t="str">
        <f t="shared" si="38"/>
        <v>Error?</v>
      </c>
    </row>
    <row r="2559" spans="1:4" x14ac:dyDescent="0.2">
      <c r="A2559" s="5">
        <v>2498</v>
      </c>
      <c r="B2559" s="138">
        <f>'Acct Summary 7-8'!C15</f>
        <v>460469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2297248</v>
      </c>
      <c r="C2561" s="2" t="s">
        <v>572</v>
      </c>
      <c r="D2561" s="2" t="str">
        <f t="shared" si="39"/>
        <v>Error?</v>
      </c>
    </row>
    <row r="2562" spans="1:4" x14ac:dyDescent="0.2">
      <c r="A2562" s="5">
        <v>2501</v>
      </c>
      <c r="B2562" s="138">
        <f>'Acct Summary 7-8'!C20</f>
        <v>-126731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96336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96336</v>
      </c>
      <c r="C2568" s="2" t="s">
        <v>572</v>
      </c>
      <c r="D2568" s="2" t="str">
        <f t="shared" si="39"/>
        <v>Error?</v>
      </c>
    </row>
    <row r="2569" spans="1:4" x14ac:dyDescent="0.2">
      <c r="A2569" s="5">
        <v>2508</v>
      </c>
      <c r="B2569" s="138">
        <f>'Acct Summary 7-8'!D13</f>
        <v>126810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30966</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157776</v>
      </c>
      <c r="C2573" s="2" t="s">
        <v>572</v>
      </c>
      <c r="D2573" s="2" t="str">
        <f t="shared" si="39"/>
        <v>Error?</v>
      </c>
    </row>
    <row r="2574" spans="1:4" x14ac:dyDescent="0.2">
      <c r="A2574" s="5">
        <v>2513</v>
      </c>
      <c r="B2574" s="138">
        <f>'Acct Summary 7-8'!D20</f>
        <v>-61440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19863</v>
      </c>
      <c r="C2591" s="2" t="s">
        <v>572</v>
      </c>
      <c r="D2591" s="2" t="str">
        <f t="shared" si="39"/>
        <v>Error?</v>
      </c>
    </row>
    <row r="2592" spans="1:4" x14ac:dyDescent="0.2">
      <c r="A2592" s="10">
        <v>2531</v>
      </c>
      <c r="D2592" s="2" t="str">
        <f t="shared" si="39"/>
        <v>OK</v>
      </c>
    </row>
    <row r="2593" spans="1:4" x14ac:dyDescent="0.2">
      <c r="A2593" s="5">
        <v>2532</v>
      </c>
      <c r="B2593" s="138">
        <f>'Acct Summary 7-8'!F6</f>
        <v>147480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167343</v>
      </c>
      <c r="C2595" s="2" t="s">
        <v>572</v>
      </c>
      <c r="D2595" s="2" t="str">
        <f t="shared" si="39"/>
        <v>Error?</v>
      </c>
    </row>
    <row r="2596" spans="1:4" x14ac:dyDescent="0.2">
      <c r="A2596" s="5">
        <v>2535</v>
      </c>
      <c r="B2596" s="138">
        <f>'Acct Summary 7-8'!F13</f>
        <v>222300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222300</v>
      </c>
      <c r="C2600" s="2" t="s">
        <v>572</v>
      </c>
      <c r="D2600" s="2" t="str">
        <f t="shared" si="39"/>
        <v>Error?</v>
      </c>
    </row>
    <row r="2601" spans="1:4" x14ac:dyDescent="0.2">
      <c r="A2601" s="5">
        <v>2540</v>
      </c>
      <c r="B2601" s="138">
        <f>'Acct Summary 7-8'!F20</f>
        <v>-54957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87803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87803</v>
      </c>
      <c r="C2606" s="2" t="s">
        <v>572</v>
      </c>
      <c r="D2606" s="2" t="str">
        <f t="shared" si="39"/>
        <v>Error?</v>
      </c>
    </row>
    <row r="2607" spans="1:4" x14ac:dyDescent="0.2">
      <c r="A2607" s="5">
        <v>2546</v>
      </c>
      <c r="B2607" s="138">
        <f>'Acct Summary 7-8'!G12</f>
        <v>27169</v>
      </c>
      <c r="C2607" s="2" t="s">
        <v>572</v>
      </c>
      <c r="D2607" s="2" t="str">
        <f t="shared" si="39"/>
        <v>Error?</v>
      </c>
    </row>
    <row r="2608" spans="1:4" x14ac:dyDescent="0.2">
      <c r="A2608" s="5">
        <v>2547</v>
      </c>
      <c r="B2608" s="138">
        <f>'Acct Summary 7-8'!G13</f>
        <v>53532</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83959</v>
      </c>
      <c r="C2612" s="2" t="s">
        <v>572</v>
      </c>
      <c r="D2612" s="2" t="str">
        <f t="shared" si="39"/>
        <v>Error?</v>
      </c>
    </row>
    <row r="2613" spans="1:4" x14ac:dyDescent="0.2">
      <c r="A2613" s="5">
        <v>2552</v>
      </c>
      <c r="B2613" s="138">
        <f>'Acct Summary 7-8'!G20</f>
        <v>3844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60700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60700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76774</v>
      </c>
      <c r="C2634" s="2" t="s">
        <v>572</v>
      </c>
      <c r="D2634" s="2" t="str">
        <f t="shared" si="40"/>
        <v>Error?</v>
      </c>
    </row>
    <row r="2635" spans="1:4" x14ac:dyDescent="0.2">
      <c r="A2635" s="5">
        <v>2574</v>
      </c>
      <c r="B2635" s="138">
        <f>'Acct Summary 7-8'!E17</f>
        <v>76774</v>
      </c>
      <c r="C2635" s="2" t="s">
        <v>572</v>
      </c>
      <c r="D2635" s="2" t="str">
        <f t="shared" si="40"/>
        <v>Error?</v>
      </c>
    </row>
    <row r="2636" spans="1:4" x14ac:dyDescent="0.2">
      <c r="A2636" s="5">
        <v>2575</v>
      </c>
      <c r="B2636" s="138">
        <f>'Acct Summary 7-8'!E20</f>
        <v>-16074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71764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71764</v>
      </c>
      <c r="C2658" s="2" t="s">
        <v>572</v>
      </c>
      <c r="D2658" s="2" t="str">
        <f t="shared" si="40"/>
        <v>Error?</v>
      </c>
    </row>
    <row r="2659" spans="1:4" x14ac:dyDescent="0.2">
      <c r="A2659" s="5">
        <v>2598</v>
      </c>
      <c r="B2659" s="138">
        <f>'Acct Summary 7-8'!H13</f>
        <v>91648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91648</v>
      </c>
      <c r="C2661" s="2" t="s">
        <v>572</v>
      </c>
      <c r="D2661" s="2" t="str">
        <f t="shared" si="40"/>
        <v>Error?</v>
      </c>
    </row>
    <row r="2662" spans="1:4" x14ac:dyDescent="0.2">
      <c r="A2662" s="5">
        <v>2601</v>
      </c>
      <c r="B2662" s="138">
        <f>'Acct Summary 7-8'!H20</f>
        <v>-19884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44053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150226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14537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150226</v>
      </c>
      <c r="D2912" s="2" t="str">
        <f t="shared" si="44"/>
        <v>Error?</v>
      </c>
    </row>
    <row r="2913" spans="1:4" x14ac:dyDescent="0.2">
      <c r="A2913" s="5">
        <v>2852</v>
      </c>
      <c r="B2913" s="138">
        <f>'Assets-Liab 5-6'!I41</f>
        <v>150226</v>
      </c>
      <c r="C2913" s="2" t="s">
        <v>572</v>
      </c>
      <c r="D2913" s="2" t="str">
        <f t="shared" si="44"/>
        <v>Error?</v>
      </c>
    </row>
    <row r="2914" spans="1:4" x14ac:dyDescent="0.2">
      <c r="A2914" s="5">
        <v>2853</v>
      </c>
      <c r="B2914" s="138">
        <f>'Assets-Liab 5-6'!L33</f>
        <v>14537</v>
      </c>
      <c r="D2914" s="2" t="str">
        <f t="shared" si="44"/>
        <v>Error?</v>
      </c>
    </row>
    <row r="2915" spans="1:4" x14ac:dyDescent="0.2">
      <c r="A2915" s="10">
        <v>2854</v>
      </c>
      <c r="D2915" s="2" t="str">
        <f t="shared" si="44"/>
        <v>OK</v>
      </c>
    </row>
    <row r="2916" spans="1:4" x14ac:dyDescent="0.2">
      <c r="A2916" s="5">
        <v>2855</v>
      </c>
      <c r="B2916" s="138">
        <f>'Assets-Liab 5-6'!L34</f>
        <v>14537</v>
      </c>
      <c r="C2916" s="2" t="s">
        <v>572</v>
      </c>
      <c r="D2916" s="2" t="str">
        <f t="shared" si="44"/>
        <v>Error?</v>
      </c>
    </row>
    <row r="2917" spans="1:4" x14ac:dyDescent="0.2">
      <c r="A2917" s="5">
        <v>2856</v>
      </c>
      <c r="B2917" s="138">
        <f>'Assets-Liab 5-6'!L41</f>
        <v>14537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30966</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37478</v>
      </c>
      <c r="D3055" s="2" t="str">
        <f t="shared" si="46"/>
        <v>Error?</v>
      </c>
    </row>
    <row r="3056" spans="1:4" x14ac:dyDescent="0.2">
      <c r="A3056" s="5">
        <v>2995</v>
      </c>
      <c r="B3056" s="138">
        <f>'Expenditures 15-22'!D10</f>
        <v>7641</v>
      </c>
      <c r="D3056" s="2" t="str">
        <f t="shared" si="46"/>
        <v>Error?</v>
      </c>
    </row>
    <row r="3057" spans="1:4" x14ac:dyDescent="0.2">
      <c r="A3057" s="5">
        <v>2996</v>
      </c>
      <c r="B3057" s="138">
        <f>'Expenditures 15-22'!E10</f>
        <v>15096</v>
      </c>
      <c r="D3057" s="2" t="str">
        <f t="shared" si="46"/>
        <v>Error?</v>
      </c>
    </row>
    <row r="3058" spans="1:4" x14ac:dyDescent="0.2">
      <c r="A3058" s="5">
        <v>2997</v>
      </c>
      <c r="B3058" s="138">
        <f>'Expenditures 15-22'!F10</f>
        <v>352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60567</v>
      </c>
      <c r="C3062" s="2" t="s">
        <v>572</v>
      </c>
      <c r="D3062" s="2" t="str">
        <f t="shared" si="46"/>
        <v>Error?</v>
      </c>
    </row>
    <row r="3063" spans="1:4" x14ac:dyDescent="0.2">
      <c r="A3063" s="10">
        <v>3002</v>
      </c>
      <c r="D3063" s="2" t="str">
        <f t="shared" si="46"/>
        <v>OK</v>
      </c>
    </row>
    <row r="3064" spans="1:4" x14ac:dyDescent="0.2">
      <c r="A3064" s="5">
        <v>3003</v>
      </c>
      <c r="B3064" s="138">
        <f>'Expenditures 15-22'!D219</f>
        <v>4677</v>
      </c>
      <c r="D3064" s="2" t="str">
        <f t="shared" si="46"/>
        <v>Error?</v>
      </c>
    </row>
    <row r="3065" spans="1:4" x14ac:dyDescent="0.2">
      <c r="A3065" s="5">
        <v>3004</v>
      </c>
      <c r="B3065" s="138">
        <f>'Expenditures 15-22'!K219</f>
        <v>4677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8516</v>
      </c>
      <c r="C3225" s="2" t="s">
        <v>572</v>
      </c>
      <c r="D3225" s="2" t="str">
        <f t="shared" si="49"/>
        <v>Error?</v>
      </c>
    </row>
    <row r="3226" spans="1:4" x14ac:dyDescent="0.2">
      <c r="A3226" s="5">
        <v>3165</v>
      </c>
      <c r="B3226" s="138">
        <f>'Acct Summary 7-8'!I8</f>
        <v>8516</v>
      </c>
      <c r="C3226" s="2" t="s">
        <v>572</v>
      </c>
      <c r="D3226" s="2" t="str">
        <f t="shared" si="49"/>
        <v>Error?</v>
      </c>
    </row>
    <row r="3227" spans="1:4" x14ac:dyDescent="0.2">
      <c r="A3227" s="5">
        <v>3166</v>
      </c>
      <c r="B3227" s="138">
        <f>'Acct Summary 7-8'!I20</f>
        <v>8516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-126731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-61440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90000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90000</v>
      </c>
      <c r="C3255" s="2" t="s">
        <v>572</v>
      </c>
      <c r="D3255" s="2" t="str">
        <f t="shared" si="49"/>
        <v>Error?</v>
      </c>
    </row>
    <row r="3256" spans="1:4" x14ac:dyDescent="0.2">
      <c r="A3256" s="5">
        <v>3195</v>
      </c>
      <c r="B3256" s="138">
        <f>'Acct Summary 7-8'!F78</f>
        <v>35043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3844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14924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14924</v>
      </c>
      <c r="C3277" s="2" t="s">
        <v>572</v>
      </c>
      <c r="D3277" s="2" t="str">
        <f t="shared" si="50"/>
        <v>Error?</v>
      </c>
    </row>
    <row r="3278" spans="1:4" x14ac:dyDescent="0.2">
      <c r="A3278" s="5">
        <v>3217</v>
      </c>
      <c r="B3278" s="138">
        <f>'Acct Summary 7-8'!E78</f>
        <v>-1150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100150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100150</v>
      </c>
      <c r="C3299" s="2" t="s">
        <v>572</v>
      </c>
      <c r="D3299" s="2" t="str">
        <f t="shared" si="50"/>
        <v>Error?</v>
      </c>
    </row>
    <row r="3300" spans="1:4" x14ac:dyDescent="0.2">
      <c r="A3300" s="5">
        <v>3239</v>
      </c>
      <c r="B3300" s="138">
        <f>'Acct Summary 7-8'!H78</f>
        <v>80266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188000</v>
      </c>
      <c r="C3317" s="2" t="s">
        <v>572</v>
      </c>
      <c r="D3317" s="2" t="str">
        <f t="shared" si="50"/>
        <v>Error?</v>
      </c>
    </row>
    <row r="3318" spans="1:4" x14ac:dyDescent="0.2">
      <c r="A3318" s="5">
        <v>3257</v>
      </c>
      <c r="B3318" s="138">
        <f>'Acct Summary 7-8'!I76</f>
        <v>90000</v>
      </c>
      <c r="C3318" s="2" t="s">
        <v>572</v>
      </c>
      <c r="D3318" s="2" t="str">
        <f t="shared" si="50"/>
        <v>Error?</v>
      </c>
    </row>
    <row r="3319" spans="1:4" x14ac:dyDescent="0.2">
      <c r="A3319" s="5">
        <v>3258</v>
      </c>
      <c r="B3319" s="138">
        <f>'Acct Summary 7-8'!I77</f>
        <v>98000</v>
      </c>
      <c r="C3319" s="2" t="s">
        <v>572</v>
      </c>
      <c r="D3319" s="2" t="str">
        <f t="shared" si="50"/>
        <v>Error?</v>
      </c>
    </row>
    <row r="3320" spans="1:4" x14ac:dyDescent="0.2">
      <c r="A3320" s="5">
        <v>3259</v>
      </c>
      <c r="B3320" s="138">
        <f>'Acct Summary 7-8'!I78</f>
        <v>106516</v>
      </c>
      <c r="C3320" s="2" t="s">
        <v>572</v>
      </c>
      <c r="D3320" s="2" t="str">
        <f t="shared" si="50"/>
        <v>Error?</v>
      </c>
    </row>
    <row r="3321" spans="1:4" x14ac:dyDescent="0.2">
      <c r="A3321" s="5">
        <v>3260</v>
      </c>
      <c r="B3321" s="138">
        <f>'Acct Summary 7-8'!I79</f>
        <v>43710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150226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95933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17366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116799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10685</v>
      </c>
      <c r="D3387" s="2" t="str">
        <f t="shared" si="51"/>
        <v>Error?</v>
      </c>
    </row>
    <row r="3388" spans="1:4" x14ac:dyDescent="0.2">
      <c r="A3388" s="5">
        <v>3327</v>
      </c>
      <c r="B3388" s="138">
        <f>'Expenditures 15-22'!D217</f>
        <v>7711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10685</v>
      </c>
      <c r="C3390" s="2" t="s">
        <v>572</v>
      </c>
      <c r="D3390" s="2" t="str">
        <f t="shared" si="51"/>
        <v>Error?</v>
      </c>
    </row>
    <row r="3391" spans="1:4" x14ac:dyDescent="0.2">
      <c r="A3391" s="5">
        <v>3330</v>
      </c>
      <c r="B3391" s="138">
        <f>'Expenditures 15-22'!K217</f>
        <v>7711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327029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45220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4534</v>
      </c>
      <c r="D3417" s="2" t="str">
        <f t="shared" si="52"/>
        <v>Error?</v>
      </c>
    </row>
    <row r="3418" spans="1:4" x14ac:dyDescent="0.2">
      <c r="A3418" s="10">
        <v>3357</v>
      </c>
      <c r="D3418" s="2" t="str">
        <f t="shared" si="52"/>
        <v>OK</v>
      </c>
    </row>
    <row r="3419" spans="1:4" x14ac:dyDescent="0.2">
      <c r="A3419" s="5">
        <v>3358</v>
      </c>
      <c r="B3419" s="138">
        <f>'Assets-Liab 5-6'!F4</f>
        <v>72693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25576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122869</v>
      </c>
      <c r="D3425" s="2" t="str">
        <f t="shared" si="52"/>
        <v>Error?</v>
      </c>
    </row>
    <row r="3426" spans="1:4" x14ac:dyDescent="0.2">
      <c r="A3426" s="10">
        <v>3365</v>
      </c>
      <c r="D3426" s="2" t="str">
        <f t="shared" si="52"/>
        <v>OK</v>
      </c>
    </row>
    <row r="3427" spans="1:4" x14ac:dyDescent="0.2">
      <c r="A3427" s="5">
        <v>3366</v>
      </c>
      <c r="B3427" s="138">
        <f>'Assets-Liab 5-6'!I4</f>
        <v>106173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14537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39576</v>
      </c>
      <c r="C3446" s="2" t="s">
        <v>572</v>
      </c>
      <c r="D3446" s="2" t="str">
        <f t="shared" si="52"/>
        <v>Error?</v>
      </c>
    </row>
    <row r="3447" spans="1:4" x14ac:dyDescent="0.2">
      <c r="A3447" s="5">
        <v>3386</v>
      </c>
      <c r="B3447" s="138">
        <f>'Tax Sched 23'!D16</f>
        <v>39576</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51001</v>
      </c>
      <c r="C3449" s="2" t="s">
        <v>572</v>
      </c>
      <c r="D3449" s="2" t="str">
        <f t="shared" si="52"/>
        <v>Error?</v>
      </c>
    </row>
    <row r="3450" spans="1:4" x14ac:dyDescent="0.2">
      <c r="A3450" s="5">
        <v>3389</v>
      </c>
      <c r="B3450" s="138">
        <f>'Tax Sched 23'!E16</f>
        <v>51001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26431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4252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30683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30683</v>
      </c>
      <c r="D3567" s="2" t="str">
        <f t="shared" si="54"/>
        <v>Error?</v>
      </c>
    </row>
    <row r="3568" spans="1:4" x14ac:dyDescent="0.2">
      <c r="A3568" s="5">
        <v>3507</v>
      </c>
      <c r="B3568" s="138">
        <f>'Assets-Liab 5-6'!K41</f>
        <v>30683</v>
      </c>
      <c r="C3568" s="2" t="s">
        <v>572</v>
      </c>
      <c r="D3568" s="2" t="str">
        <f t="shared" si="54"/>
        <v>Error?</v>
      </c>
    </row>
    <row r="3569" spans="1:4" x14ac:dyDescent="0.2">
      <c r="A3569" s="5">
        <v>3508</v>
      </c>
      <c r="B3569" s="138">
        <f>'Acct Summary 7-8'!K4</f>
        <v>8040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8040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8040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8040</v>
      </c>
      <c r="C3588" s="2" t="s">
        <v>572</v>
      </c>
      <c r="D3588" s="2" t="str">
        <f t="shared" si="55"/>
        <v>Error?</v>
      </c>
    </row>
    <row r="3589" spans="1:4" x14ac:dyDescent="0.2">
      <c r="A3589" s="5">
        <v>3528</v>
      </c>
      <c r="B3589" s="138">
        <f>'Acct Summary 7-8'!K79</f>
        <v>22643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30683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8040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3258</v>
      </c>
      <c r="D3721" s="2" t="str">
        <f t="shared" si="57"/>
        <v>Error?</v>
      </c>
    </row>
    <row r="3722" spans="1:4" x14ac:dyDescent="0.2">
      <c r="A3722" s="5">
        <v>3661</v>
      </c>
      <c r="B3722" s="138">
        <f>'Expenditures 15-22'!D285</f>
        <v>3258</v>
      </c>
      <c r="C3722" s="2" t="s">
        <v>572</v>
      </c>
      <c r="D3722" s="2" t="str">
        <f t="shared" si="57"/>
        <v>Error?</v>
      </c>
    </row>
    <row r="3723" spans="1:4" x14ac:dyDescent="0.2">
      <c r="A3723" s="5">
        <v>3662</v>
      </c>
      <c r="B3723" s="138">
        <f>'Expenditures 15-22'!K283</f>
        <v>3258</v>
      </c>
      <c r="C3723" s="2" t="s">
        <v>572</v>
      </c>
      <c r="D3723" s="2" t="str">
        <f t="shared" si="57"/>
        <v>Error?</v>
      </c>
    </row>
    <row r="3724" spans="1:4" x14ac:dyDescent="0.2">
      <c r="A3724" s="5">
        <v>3663</v>
      </c>
      <c r="B3724" s="138">
        <f>'Expenditures 15-22'!K285</f>
        <v>3258</v>
      </c>
      <c r="C3724" s="2" t="s">
        <v>572</v>
      </c>
      <c r="D3724" s="2" t="str">
        <f t="shared" si="57"/>
        <v>Error?</v>
      </c>
    </row>
    <row r="3725" spans="1:4" x14ac:dyDescent="0.2">
      <c r="A3725" s="5">
        <v>3664</v>
      </c>
      <c r="B3725" s="138">
        <f>'Tax Sched 23'!B13</f>
        <v>7817</v>
      </c>
      <c r="C3725" s="2" t="s">
        <v>572</v>
      </c>
      <c r="D3725" s="2" t="str">
        <f t="shared" si="57"/>
        <v>Error?</v>
      </c>
    </row>
    <row r="3726" spans="1:4" x14ac:dyDescent="0.2">
      <c r="A3726" s="5">
        <v>3665</v>
      </c>
      <c r="B3726" s="138">
        <f>'Tax Sched 23'!D13</f>
        <v>7817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7939</v>
      </c>
      <c r="C3728" s="2" t="s">
        <v>572</v>
      </c>
      <c r="D3728" s="2" t="str">
        <f t="shared" si="57"/>
        <v>Error?</v>
      </c>
    </row>
    <row r="3729" spans="1:4" x14ac:dyDescent="0.2">
      <c r="A3729" s="5">
        <v>3668</v>
      </c>
      <c r="B3729" s="138">
        <f>'Tax Sched 23'!E13</f>
        <v>7939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699908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2870425</v>
      </c>
      <c r="C4122" s="2" t="s">
        <v>572</v>
      </c>
      <c r="D4122" s="2" t="str">
        <f t="shared" si="63"/>
        <v>Error?</v>
      </c>
    </row>
    <row r="4123" spans="1:4" x14ac:dyDescent="0.2">
      <c r="A4123" s="5">
        <v>4062</v>
      </c>
      <c r="B4123" s="138">
        <f>'Acct Summary 7-8'!D10</f>
        <v>96336</v>
      </c>
      <c r="C4123" s="2" t="s">
        <v>572</v>
      </c>
      <c r="D4123" s="2" t="str">
        <f t="shared" si="63"/>
        <v>Error?</v>
      </c>
    </row>
    <row r="4124" spans="1:4" x14ac:dyDescent="0.2">
      <c r="A4124" s="5">
        <v>4063</v>
      </c>
      <c r="B4124" s="138">
        <f>'Acct Summary 7-8'!E10</f>
        <v>60700</v>
      </c>
      <c r="C4124" s="2" t="s">
        <v>572</v>
      </c>
      <c r="D4124" s="2" t="str">
        <f t="shared" si="63"/>
        <v>Error?</v>
      </c>
    </row>
    <row r="4125" spans="1:4" x14ac:dyDescent="0.2">
      <c r="A4125" s="5">
        <v>4064</v>
      </c>
      <c r="B4125" s="138">
        <f>'Acct Summary 7-8'!F10</f>
        <v>167343</v>
      </c>
      <c r="C4125" s="2" t="s">
        <v>572</v>
      </c>
      <c r="D4125" s="2" t="str">
        <f t="shared" si="63"/>
        <v>Error?</v>
      </c>
    </row>
    <row r="4126" spans="1:4" x14ac:dyDescent="0.2">
      <c r="A4126" s="5">
        <v>4065</v>
      </c>
      <c r="B4126" s="138">
        <f>'Acct Summary 7-8'!G10</f>
        <v>87803</v>
      </c>
      <c r="C4126" s="2" t="s">
        <v>572</v>
      </c>
      <c r="D4126" s="2" t="str">
        <f t="shared" si="63"/>
        <v>Error?</v>
      </c>
    </row>
    <row r="4127" spans="1:4" x14ac:dyDescent="0.2">
      <c r="A4127" s="5">
        <v>4066</v>
      </c>
      <c r="B4127" s="138">
        <f>'Acct Summary 7-8'!H10</f>
        <v>71764</v>
      </c>
      <c r="C4127" s="2" t="s">
        <v>572</v>
      </c>
      <c r="D4127" s="2" t="str">
        <f t="shared" si="63"/>
        <v>Error?</v>
      </c>
    </row>
    <row r="4128" spans="1:4" x14ac:dyDescent="0.2">
      <c r="A4128" s="5">
        <v>4067</v>
      </c>
      <c r="B4128" s="138">
        <f>'Acct Summary 7-8'!I10</f>
        <v>8516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8040</v>
      </c>
      <c r="C4130" s="2" t="s">
        <v>572</v>
      </c>
      <c r="D4130" s="2" t="str">
        <f t="shared" si="63"/>
        <v>Error?</v>
      </c>
    </row>
    <row r="4131" spans="1:4" x14ac:dyDescent="0.2">
      <c r="A4131" s="5">
        <v>4070</v>
      </c>
      <c r="B4131" s="138">
        <f>'Acct Summary 7-8'!C18</f>
        <v>699908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2997156</v>
      </c>
      <c r="C4136" s="2" t="s">
        <v>572</v>
      </c>
      <c r="D4136" s="2" t="str">
        <f t="shared" si="63"/>
        <v>Error?</v>
      </c>
    </row>
    <row r="4137" spans="1:4" x14ac:dyDescent="0.2">
      <c r="A4137" s="5">
        <v>4076</v>
      </c>
      <c r="B4137" s="138">
        <f>'Acct Summary 7-8'!D19</f>
        <v>157776</v>
      </c>
      <c r="C4137" s="2" t="s">
        <v>572</v>
      </c>
      <c r="D4137" s="2" t="str">
        <f t="shared" si="63"/>
        <v>Error?</v>
      </c>
    </row>
    <row r="4138" spans="1:4" x14ac:dyDescent="0.2">
      <c r="A4138" s="5">
        <v>4077</v>
      </c>
      <c r="B4138" s="138">
        <f>'Acct Summary 7-8'!E19</f>
        <v>76774</v>
      </c>
      <c r="C4138" s="2" t="s">
        <v>572</v>
      </c>
      <c r="D4138" s="2" t="str">
        <f t="shared" si="63"/>
        <v>Error?</v>
      </c>
    </row>
    <row r="4139" spans="1:4" x14ac:dyDescent="0.2">
      <c r="A4139" s="5">
        <v>4078</v>
      </c>
      <c r="B4139" s="138">
        <f>'Acct Summary 7-8'!F19</f>
        <v>222300</v>
      </c>
      <c r="C4139" s="2" t="s">
        <v>572</v>
      </c>
      <c r="D4139" s="2" t="str">
        <f t="shared" si="63"/>
        <v>Error?</v>
      </c>
    </row>
    <row r="4140" spans="1:4" x14ac:dyDescent="0.2">
      <c r="A4140" s="5">
        <v>4079</v>
      </c>
      <c r="B4140" s="138">
        <f>'Acct Summary 7-8'!G19</f>
        <v>83959</v>
      </c>
      <c r="C4140" s="2" t="s">
        <v>572</v>
      </c>
      <c r="D4140" s="2" t="str">
        <f t="shared" si="63"/>
        <v>Error?</v>
      </c>
    </row>
    <row r="4141" spans="1:4" x14ac:dyDescent="0.2">
      <c r="A4141" s="5">
        <v>4080</v>
      </c>
      <c r="B4141" s="138">
        <f>'Acct Summary 7-8'!H19</f>
        <v>91648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288150</v>
      </c>
      <c r="C4171" s="2" t="s">
        <v>572</v>
      </c>
      <c r="D4171" s="2" t="str">
        <f t="shared" si="64"/>
        <v>Error?</v>
      </c>
    </row>
    <row r="4172" spans="1:4" x14ac:dyDescent="0.2">
      <c r="A4172" s="5">
        <v>4111</v>
      </c>
      <c r="B4172" s="138">
        <f>'Short-Term Long-Term Debt 24'!J49</f>
        <v>283616</v>
      </c>
      <c r="C4172" s="2" t="s">
        <v>572</v>
      </c>
      <c r="D4172" s="2" t="str">
        <f t="shared" si="64"/>
        <v>Error?</v>
      </c>
    </row>
    <row r="4173" spans="1:4" x14ac:dyDescent="0.2">
      <c r="A4173" s="5">
        <v>4112</v>
      </c>
      <c r="B4173" s="138">
        <f>'Short-Term Long-Term Debt 24'!H49</f>
        <v>60000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30966</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30966</v>
      </c>
      <c r="C4202" s="2" t="s">
        <v>572</v>
      </c>
      <c r="D4202" s="2" t="str">
        <f t="shared" si="64"/>
        <v>Error?</v>
      </c>
    </row>
    <row r="4203" spans="1:4" x14ac:dyDescent="0.2">
      <c r="A4203" s="5">
        <v>4142</v>
      </c>
      <c r="B4203" s="138">
        <f>'Expenditures 15-22'!E139</f>
        <v>30966</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1170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1540</v>
      </c>
      <c r="C4268" s="2" t="s">
        <v>572</v>
      </c>
      <c r="D4268" s="2" t="str">
        <f t="shared" si="65"/>
        <v>Error?</v>
      </c>
    </row>
    <row r="4269" spans="1:5" x14ac:dyDescent="0.2">
      <c r="A4269" s="12">
        <v>4208</v>
      </c>
      <c r="B4269" s="138">
        <f>'FP Info 3'!J16</f>
        <v>1429850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944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12151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4443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46025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15877360</v>
      </c>
      <c r="D4995" s="2" t="str">
        <f t="shared" si="77"/>
        <v>Error?</v>
      </c>
    </row>
    <row r="4996" spans="1:4" x14ac:dyDescent="0.2">
      <c r="A4996" s="12">
        <v>4935</v>
      </c>
      <c r="B4996" s="138">
        <f>'FP Info 3'!H31</f>
        <v>1095537.8400000001</v>
      </c>
      <c r="D4996" s="2" t="str">
        <f t="shared" si="77"/>
        <v>Error?</v>
      </c>
    </row>
    <row r="4997" spans="1:4" x14ac:dyDescent="0.2">
      <c r="A4997" s="12">
        <v>4936</v>
      </c>
      <c r="B4997" s="138">
        <f>'FP Info 3'!H37</f>
        <v>288150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7817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185985</v>
      </c>
      <c r="D5061" s="2" t="str">
        <f t="shared" si="78"/>
        <v>Error?</v>
      </c>
    </row>
    <row r="5062" spans="1:4" x14ac:dyDescent="0.2">
      <c r="A5062" s="10">
        <v>5001</v>
      </c>
      <c r="D5062" s="2" t="str">
        <f t="shared" si="78"/>
        <v>OK</v>
      </c>
    </row>
    <row r="5063" spans="1:4" x14ac:dyDescent="0.2">
      <c r="A5063" s="5">
        <v>5002</v>
      </c>
      <c r="B5063" s="138">
        <f>'Revenues 9-14'!C7</f>
        <v>3196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196998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18968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18968</v>
      </c>
      <c r="C5090" s="2" t="s">
        <v>572</v>
      </c>
      <c r="D5090" s="2" t="str">
        <f t="shared" si="78"/>
        <v>Error?</v>
      </c>
    </row>
    <row r="5091" spans="1:4" x14ac:dyDescent="0.2">
      <c r="A5091" s="5">
        <v>5030</v>
      </c>
      <c r="B5091" s="138">
        <f>'Revenues 9-14'!C70</f>
        <v>125</v>
      </c>
      <c r="D5091" s="2" t="str">
        <f t="shared" si="78"/>
        <v>Error?</v>
      </c>
    </row>
    <row r="5092" spans="1:4" x14ac:dyDescent="0.2">
      <c r="A5092" s="5">
        <v>5031</v>
      </c>
      <c r="B5092" s="138">
        <f>'Revenues 9-14'!C71</f>
        <v>920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1045</v>
      </c>
      <c r="C5096" s="2" t="s">
        <v>572</v>
      </c>
      <c r="D5096" s="2" t="str">
        <f t="shared" si="78"/>
        <v>Error?</v>
      </c>
    </row>
    <row r="5097" spans="1:4" x14ac:dyDescent="0.2">
      <c r="A5097" s="5">
        <v>5036</v>
      </c>
      <c r="B5097" s="138">
        <f>'Revenues 9-14'!C77</f>
        <v>3751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3751</v>
      </c>
      <c r="C5102" s="2" t="s">
        <v>572</v>
      </c>
      <c r="D5102" s="2" t="str">
        <f t="shared" si="78"/>
        <v>Error?</v>
      </c>
    </row>
    <row r="5103" spans="1:4" x14ac:dyDescent="0.2">
      <c r="A5103" s="5">
        <v>5042</v>
      </c>
      <c r="B5103" s="138">
        <f>'Revenues 9-14'!C84</f>
        <v>436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436</v>
      </c>
      <c r="C5112" s="2" t="s">
        <v>572</v>
      </c>
      <c r="D5112" s="2" t="str">
        <f t="shared" si="78"/>
        <v>Error?</v>
      </c>
    </row>
    <row r="5113" spans="1:4" x14ac:dyDescent="0.2">
      <c r="A5113" s="5">
        <v>5052</v>
      </c>
      <c r="B5113" s="138">
        <f>'Revenues 9-14'!C95</f>
        <v>309</v>
      </c>
      <c r="D5113" s="2" t="str">
        <f t="shared" si="78"/>
        <v>Error?</v>
      </c>
    </row>
    <row r="5114" spans="1:4" x14ac:dyDescent="0.2">
      <c r="A5114" s="5">
        <v>5053</v>
      </c>
      <c r="B5114" s="138">
        <f>'Revenues 9-14'!C96</f>
        <v>250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5140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12960</v>
      </c>
      <c r="D5119" s="2" t="str">
        <f t="shared" ref="D5119:D5182" si="79">IF(ISBLANK(B5119),"OK",IF(A5119-B5119=0,"OK","Error?"))</f>
        <v>Error?</v>
      </c>
    </row>
    <row r="5120" spans="1:4" x14ac:dyDescent="0.2">
      <c r="A5120" s="5">
        <v>5059</v>
      </c>
      <c r="B5120" s="138">
        <f>'Revenues 9-14'!C108</f>
        <v>18659</v>
      </c>
      <c r="C5120" s="2" t="s">
        <v>572</v>
      </c>
      <c r="D5120" s="2" t="str">
        <f t="shared" si="79"/>
        <v>Error?</v>
      </c>
    </row>
    <row r="5121" spans="1:4" x14ac:dyDescent="0.2">
      <c r="A5121" s="5">
        <v>5060</v>
      </c>
      <c r="B5121" s="138">
        <f>'Revenues 9-14'!C109</f>
        <v>239877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1463588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1463588</v>
      </c>
      <c r="C5132" s="2" t="s">
        <v>572</v>
      </c>
      <c r="D5132" s="2" t="str">
        <f t="shared" si="79"/>
        <v>Error?</v>
      </c>
    </row>
    <row r="5133" spans="1:4" x14ac:dyDescent="0.2">
      <c r="A5133" s="5">
        <v>5072</v>
      </c>
      <c r="B5133" s="138">
        <f>'Revenues 9-14'!C125</f>
        <v>27892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13861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41753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3077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83264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174119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1637707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96418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39982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136400</v>
      </c>
      <c r="C5246" s="2" t="s">
        <v>572</v>
      </c>
      <c r="D5246" s="2" t="str">
        <f t="shared" si="80"/>
        <v>Error?</v>
      </c>
    </row>
    <row r="5247" spans="1:4" x14ac:dyDescent="0.2">
      <c r="A5247" s="5">
        <v>5186</v>
      </c>
      <c r="B5247" s="138">
        <f>'Revenues 9-14'!C200</f>
        <v>127701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127701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7208</v>
      </c>
      <c r="D5278" s="2" t="str">
        <f t="shared" si="81"/>
        <v>Error?</v>
      </c>
    </row>
    <row r="5279" spans="1:4" x14ac:dyDescent="0.2">
      <c r="A5279" s="5">
        <v>5218</v>
      </c>
      <c r="B5279" s="138">
        <f>'Revenues 9-14'!C214</f>
        <v>4086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11294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292933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292933</v>
      </c>
      <c r="C5326" s="2" t="s">
        <v>572</v>
      </c>
      <c r="D5326" s="2" t="str">
        <f t="shared" si="82"/>
        <v>Error?</v>
      </c>
    </row>
    <row r="5327" spans="1:5" x14ac:dyDescent="0.2">
      <c r="A5327" s="5">
        <v>5266</v>
      </c>
      <c r="B5327" s="138">
        <f>'Revenues 9-14'!C268</f>
        <v>2170517</v>
      </c>
      <c r="C5327" s="2" t="s">
        <v>572</v>
      </c>
      <c r="D5327" s="2" t="str">
        <f t="shared" si="82"/>
        <v>Error?</v>
      </c>
    </row>
    <row r="5328" spans="1:5" x14ac:dyDescent="0.2">
      <c r="A5328" s="5">
        <v>5267</v>
      </c>
      <c r="B5328" s="138">
        <f>'Revenues 9-14'!D5</f>
        <v>39947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39947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48289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48289</v>
      </c>
      <c r="C5339" s="2" t="s">
        <v>572</v>
      </c>
      <c r="D5339" s="2" t="str">
        <f t="shared" si="82"/>
        <v>Error?</v>
      </c>
    </row>
    <row r="5340" spans="1:4" x14ac:dyDescent="0.2">
      <c r="A5340" s="5">
        <v>5279</v>
      </c>
      <c r="B5340" s="138">
        <f>'Revenues 9-14'!D65</f>
        <v>230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7870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7870</v>
      </c>
      <c r="C5355" s="2" t="s">
        <v>572</v>
      </c>
      <c r="D5355" s="2" t="str">
        <f t="shared" si="82"/>
        <v>Error?</v>
      </c>
    </row>
    <row r="5356" spans="1:4" x14ac:dyDescent="0.2">
      <c r="A5356" s="5">
        <v>5295</v>
      </c>
      <c r="B5356" s="138">
        <f>'Revenues 9-14'!D109</f>
        <v>96336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96336</v>
      </c>
      <c r="C5508" s="2" t="s">
        <v>572</v>
      </c>
      <c r="D5508" s="2" t="str">
        <f t="shared" si="85"/>
        <v>Error?</v>
      </c>
    </row>
    <row r="5509" spans="1:4" x14ac:dyDescent="0.2">
      <c r="A5509" s="5">
        <v>5448</v>
      </c>
      <c r="B5509" s="138">
        <f>'Revenues 9-14'!E5</f>
        <v>60700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60700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60700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60700</v>
      </c>
      <c r="C5552" s="2" t="s">
        <v>572</v>
      </c>
      <c r="D5552" s="2" t="str">
        <f t="shared" si="85"/>
        <v>Error?</v>
      </c>
    </row>
    <row r="5553" spans="1:4" x14ac:dyDescent="0.2">
      <c r="A5553" s="5">
        <v>5492</v>
      </c>
      <c r="B5553" s="138">
        <f>'Revenues 9-14'!F5</f>
        <v>19174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19174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496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496</v>
      </c>
      <c r="C5587" s="2" t="s">
        <v>572</v>
      </c>
      <c r="D5587" s="2" t="str">
        <f t="shared" si="86"/>
        <v>Error?</v>
      </c>
    </row>
    <row r="5588" spans="1:4" x14ac:dyDescent="0.2">
      <c r="A5588" s="5">
        <v>5527</v>
      </c>
      <c r="B5588" s="138">
        <f>'Revenues 9-14'!F109</f>
        <v>19863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33028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33028</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44121</v>
      </c>
      <c r="D5615" s="2" t="str">
        <f t="shared" si="86"/>
        <v>Error?</v>
      </c>
    </row>
    <row r="5616" spans="1:4" x14ac:dyDescent="0.2">
      <c r="A5616" s="10">
        <v>5555</v>
      </c>
      <c r="D5616" s="2" t="str">
        <f t="shared" si="86"/>
        <v>OK</v>
      </c>
    </row>
    <row r="5617" spans="1:5" x14ac:dyDescent="0.2">
      <c r="A5617" s="5">
        <v>5556</v>
      </c>
      <c r="B5617" s="138">
        <f>'Revenues 9-14'!F153</f>
        <v>70331</v>
      </c>
      <c r="D5617" s="2" t="str">
        <f t="shared" si="86"/>
        <v>Error?</v>
      </c>
    </row>
    <row r="5618" spans="1:5" x14ac:dyDescent="0.2">
      <c r="A5618" s="5">
        <v>5557</v>
      </c>
      <c r="B5618" s="138">
        <f>'Revenues 9-14'!F155</f>
        <v>114452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114452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147480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167343</v>
      </c>
      <c r="C5720" s="2" t="s">
        <v>572</v>
      </c>
      <c r="D5720" s="2" t="str">
        <f t="shared" si="88"/>
        <v>Error?</v>
      </c>
    </row>
    <row r="5721" spans="1:4" x14ac:dyDescent="0.2">
      <c r="A5721" s="5">
        <v>5660</v>
      </c>
      <c r="B5721" s="138">
        <f>'Revenues 9-14'!G5</f>
        <v>47492</v>
      </c>
      <c r="D5721" s="2" t="str">
        <f t="shared" si="88"/>
        <v>Error?</v>
      </c>
    </row>
    <row r="5722" spans="1:4" x14ac:dyDescent="0.2">
      <c r="A5722" s="5">
        <v>5661</v>
      </c>
      <c r="B5722" s="138">
        <f>'Revenues 9-14'!G7</f>
        <v>0</v>
      </c>
      <c r="D5722" s="2" t="str">
        <f t="shared" si="88"/>
        <v>Error?</v>
      </c>
    </row>
    <row r="5723" spans="1:4" x14ac:dyDescent="0.2">
      <c r="A5723" s="5">
        <v>5662</v>
      </c>
      <c r="B5723" s="138">
        <f>'Revenues 9-14'!G8</f>
        <v>39576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87068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735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87803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71764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71764</v>
      </c>
      <c r="C5915" s="2" t="s">
        <v>572</v>
      </c>
      <c r="D5915" s="2" t="str">
        <f t="shared" si="91"/>
        <v>Error?</v>
      </c>
    </row>
    <row r="5916" spans="1:4" x14ac:dyDescent="0.2">
      <c r="A5916" s="5">
        <v>5855</v>
      </c>
      <c r="B5916" s="138">
        <f>'Revenues 9-14'!I5</f>
        <v>7989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7989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8516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7989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7989</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8040</v>
      </c>
      <c r="C6023" s="2" t="s">
        <v>572</v>
      </c>
      <c r="D6023" s="2" t="str">
        <f t="shared" si="93"/>
        <v>Error?</v>
      </c>
    </row>
    <row r="6024" spans="1:5" x14ac:dyDescent="0.2">
      <c r="A6024" s="5">
        <v>5963</v>
      </c>
      <c r="B6024" s="138">
        <f>'Revenues 9-14'!G109</f>
        <v>87803</v>
      </c>
      <c r="C6024" s="2" t="s">
        <v>572</v>
      </c>
      <c r="D6024" s="2" t="str">
        <f t="shared" si="93"/>
        <v>Error?</v>
      </c>
    </row>
    <row r="6025" spans="1:5" x14ac:dyDescent="0.2">
      <c r="A6025" s="5">
        <v>5964</v>
      </c>
      <c r="B6025" s="138">
        <f>'Revenues 9-14'!H109</f>
        <v>71764</v>
      </c>
      <c r="C6025" s="2" t="s">
        <v>572</v>
      </c>
      <c r="D6025" s="2" t="str">
        <f t="shared" si="93"/>
        <v>Error?</v>
      </c>
    </row>
    <row r="6026" spans="1:5" x14ac:dyDescent="0.2">
      <c r="A6026" s="5">
        <v>5965</v>
      </c>
      <c r="B6026" s="138">
        <f>'Revenues 9-14'!I109</f>
        <v>8516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8040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3258</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10442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204.8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56691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56691</v>
      </c>
      <c r="D6215" s="2" t="str">
        <f t="shared" si="96"/>
        <v>Error?</v>
      </c>
      <c r="E6215" s="2" t="s">
        <v>190</v>
      </c>
    </row>
    <row r="6216" spans="1:5" x14ac:dyDescent="0.2">
      <c r="A6216">
        <v>6155</v>
      </c>
      <c r="B6216" s="138">
        <f>'Assets-Liab 5-6'!J41</f>
        <v>56691</v>
      </c>
      <c r="D6216" s="2" t="str">
        <f t="shared" si="96"/>
        <v>Error?</v>
      </c>
      <c r="E6216" s="2" t="s">
        <v>190</v>
      </c>
    </row>
    <row r="6217" spans="1:5" x14ac:dyDescent="0.2">
      <c r="A6217">
        <v>6156</v>
      </c>
      <c r="B6217" s="138">
        <f>'Assets-Liab 5-6'!J4</f>
        <v>21681</v>
      </c>
      <c r="D6217" s="2" t="str">
        <f t="shared" si="96"/>
        <v>Error?</v>
      </c>
      <c r="E6217" s="2" t="s">
        <v>190</v>
      </c>
    </row>
    <row r="6218" spans="1:5" x14ac:dyDescent="0.2">
      <c r="A6218">
        <v>6157</v>
      </c>
      <c r="B6218" s="138">
        <f>'Assets-Liab 5-6'!J5</f>
        <v>35010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54836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54836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54836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52913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52913</v>
      </c>
      <c r="D6229" s="2" t="str">
        <f t="shared" si="96"/>
        <v>Error?</v>
      </c>
      <c r="E6229" s="2" t="s">
        <v>190</v>
      </c>
    </row>
    <row r="6230" spans="1:5" x14ac:dyDescent="0.2">
      <c r="A6230">
        <v>6169</v>
      </c>
      <c r="B6230" s="138">
        <f>'Acct Summary 7-8'!J20</f>
        <v>1923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1923</v>
      </c>
      <c r="D6263" s="2" t="str">
        <f t="shared" si="96"/>
        <v>Error?</v>
      </c>
      <c r="E6263" s="2" t="s">
        <v>190</v>
      </c>
    </row>
    <row r="6264" spans="1:5" x14ac:dyDescent="0.2">
      <c r="A6264">
        <v>6203</v>
      </c>
      <c r="B6264" s="138">
        <f>'Acct Summary 7-8'!J79</f>
        <v>54768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56691</v>
      </c>
      <c r="D6266" s="2" t="str">
        <f t="shared" si="96"/>
        <v>Error?</v>
      </c>
      <c r="E6266" s="2" t="s">
        <v>190</v>
      </c>
    </row>
    <row r="6267" spans="1:5" x14ac:dyDescent="0.2">
      <c r="A6267">
        <v>6206</v>
      </c>
      <c r="B6267" s="138">
        <f>'Acct Summary 7-8'!C82</f>
        <v>-126731</v>
      </c>
      <c r="D6267" s="2" t="str">
        <f t="shared" si="96"/>
        <v>Error?</v>
      </c>
      <c r="E6267" s="2" t="s">
        <v>190</v>
      </c>
    </row>
    <row r="6268" spans="1:5" x14ac:dyDescent="0.2">
      <c r="A6268">
        <v>6207</v>
      </c>
      <c r="B6268" s="138">
        <f>'Acct Summary 7-8'!D82</f>
        <v>-61440</v>
      </c>
      <c r="D6268" s="2" t="str">
        <f t="shared" si="96"/>
        <v>Error?</v>
      </c>
      <c r="E6268" s="2" t="s">
        <v>190</v>
      </c>
    </row>
    <row r="6269" spans="1:5" x14ac:dyDescent="0.2">
      <c r="A6269">
        <v>6208</v>
      </c>
      <c r="B6269" s="138">
        <f>'Acct Summary 7-8'!E82</f>
        <v>-1150</v>
      </c>
      <c r="D6269" s="2" t="str">
        <f t="shared" si="96"/>
        <v>Error?</v>
      </c>
      <c r="E6269" s="2" t="s">
        <v>190</v>
      </c>
    </row>
    <row r="6270" spans="1:5" x14ac:dyDescent="0.2">
      <c r="A6270">
        <v>6209</v>
      </c>
      <c r="B6270" s="138">
        <f>'Acct Summary 7-8'!F82</f>
        <v>35043</v>
      </c>
      <c r="D6270" s="2" t="str">
        <f t="shared" si="96"/>
        <v>Error?</v>
      </c>
      <c r="E6270" s="2" t="s">
        <v>190</v>
      </c>
    </row>
    <row r="6271" spans="1:5" x14ac:dyDescent="0.2">
      <c r="A6271">
        <v>6210</v>
      </c>
      <c r="B6271" s="138">
        <f>'Acct Summary 7-8'!G82</f>
        <v>3844</v>
      </c>
      <c r="D6271" s="2" t="str">
        <f t="shared" ref="D6271:D6334" si="97">IF(ISBLANK(B6271),"OK",IF(A6271-B6271=0,"OK","Error?"))</f>
        <v>Error?</v>
      </c>
      <c r="E6271" s="2" t="s">
        <v>190</v>
      </c>
    </row>
    <row r="6272" spans="1:5" x14ac:dyDescent="0.2">
      <c r="A6272">
        <v>6211</v>
      </c>
      <c r="B6272" s="138">
        <f>'Acct Summary 7-8'!H82</f>
        <v>80266</v>
      </c>
      <c r="D6272" s="2" t="str">
        <f t="shared" si="97"/>
        <v>Error?</v>
      </c>
      <c r="E6272" s="2" t="s">
        <v>190</v>
      </c>
    </row>
    <row r="6273" spans="1:5" x14ac:dyDescent="0.2">
      <c r="A6273">
        <v>6212</v>
      </c>
      <c r="B6273" s="138">
        <f>'Acct Summary 7-8'!I82</f>
        <v>106516</v>
      </c>
      <c r="D6273" s="2" t="str">
        <f t="shared" si="97"/>
        <v>Error?</v>
      </c>
      <c r="E6273" s="2" t="s">
        <v>190</v>
      </c>
    </row>
    <row r="6274" spans="1:5" x14ac:dyDescent="0.2">
      <c r="A6274">
        <v>6213</v>
      </c>
      <c r="B6274" s="138">
        <f>'Acct Summary 7-8'!J82</f>
        <v>1923</v>
      </c>
      <c r="D6274" s="2" t="str">
        <f t="shared" si="97"/>
        <v>Error?</v>
      </c>
      <c r="E6274" s="2" t="s">
        <v>190</v>
      </c>
    </row>
    <row r="6275" spans="1:5" x14ac:dyDescent="0.2">
      <c r="A6275">
        <v>6214</v>
      </c>
      <c r="B6275" s="138">
        <f>'Acct Summary 7-8'!K82</f>
        <v>8040</v>
      </c>
      <c r="D6275" s="2" t="str">
        <f t="shared" si="97"/>
        <v>Error?</v>
      </c>
      <c r="E6275" s="2" t="s">
        <v>190</v>
      </c>
    </row>
    <row r="6276" spans="1:5" x14ac:dyDescent="0.2">
      <c r="A6276">
        <v>6215</v>
      </c>
      <c r="B6276" s="138">
        <f>'Acct Summary 7-8'!C83</f>
        <v>-0.11251466017253947</v>
      </c>
      <c r="D6276" s="2" t="str">
        <f t="shared" si="97"/>
        <v>Error?</v>
      </c>
      <c r="E6276" s="2" t="s">
        <v>190</v>
      </c>
    </row>
    <row r="6277" spans="1:5" x14ac:dyDescent="0.2">
      <c r="A6277">
        <v>6216</v>
      </c>
      <c r="B6277" s="138">
        <f>'Acct Summary 7-8'!D83</f>
        <v>-0.95251383656574118</v>
      </c>
      <c r="D6277" s="2" t="str">
        <f t="shared" si="97"/>
        <v>Error?</v>
      </c>
      <c r="E6277" s="2" t="s">
        <v>190</v>
      </c>
    </row>
    <row r="6278" spans="1:5" x14ac:dyDescent="0.2">
      <c r="A6278">
        <v>6217</v>
      </c>
      <c r="B6278" s="138">
        <f>'Acct Summary 7-8'!E83</f>
        <v>-0.25363917071018965</v>
      </c>
      <c r="D6278" s="2" t="str">
        <f t="shared" si="97"/>
        <v>Error?</v>
      </c>
      <c r="E6278" s="2" t="s">
        <v>190</v>
      </c>
    </row>
    <row r="6279" spans="1:5" x14ac:dyDescent="0.2">
      <c r="A6279">
        <v>6218</v>
      </c>
      <c r="B6279" s="138">
        <f>'Acct Summary 7-8'!F83</f>
        <v>0.39476174383237578</v>
      </c>
      <c r="D6279" s="2" t="str">
        <f t="shared" si="97"/>
        <v>Error?</v>
      </c>
      <c r="E6279" s="2" t="s">
        <v>190</v>
      </c>
    </row>
    <row r="6280" spans="1:5" x14ac:dyDescent="0.2">
      <c r="A6280">
        <v>6219</v>
      </c>
      <c r="B6280" s="138">
        <f>'Acct Summary 7-8'!G83</f>
        <v>0.15029715358148263</v>
      </c>
      <c r="D6280" s="2" t="str">
        <f t="shared" si="97"/>
        <v>Error?</v>
      </c>
      <c r="E6280" s="2" t="s">
        <v>190</v>
      </c>
    </row>
    <row r="6281" spans="1:5" x14ac:dyDescent="0.2">
      <c r="A6281">
        <v>6220</v>
      </c>
      <c r="B6281" s="138">
        <f>'Acct Summary 7-8'!H83</f>
        <v>0.65326485932171663</v>
      </c>
      <c r="D6281" s="2" t="str">
        <f t="shared" si="97"/>
        <v>Error?</v>
      </c>
      <c r="E6281" s="2" t="s">
        <v>190</v>
      </c>
    </row>
    <row r="6282" spans="1:5" x14ac:dyDescent="0.2">
      <c r="A6282">
        <v>6221</v>
      </c>
      <c r="B6282" s="138">
        <f>'Acct Summary 7-8'!I83</f>
        <v>0.70903838217086257</v>
      </c>
      <c r="D6282" s="2" t="str">
        <f t="shared" si="97"/>
        <v>Error?</v>
      </c>
      <c r="E6282" s="2" t="s">
        <v>190</v>
      </c>
    </row>
    <row r="6283" spans="1:5" x14ac:dyDescent="0.2">
      <c r="A6283">
        <v>6222</v>
      </c>
      <c r="B6283" s="138">
        <f>'Acct Summary 7-8'!J83</f>
        <v>3.3920728157908663E-2</v>
      </c>
      <c r="D6283" s="2" t="str">
        <f t="shared" si="97"/>
        <v>Error?</v>
      </c>
      <c r="E6283" s="2" t="s">
        <v>190</v>
      </c>
    </row>
    <row r="6284" spans="1:5" x14ac:dyDescent="0.2">
      <c r="A6284">
        <v>6223</v>
      </c>
      <c r="B6284" s="138">
        <f>'Acct Summary 7-8'!K83</f>
        <v>0.26203435126943259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54417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54417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54836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74326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779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85339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460469</v>
      </c>
      <c r="D6983" s="2" t="str">
        <f t="shared" si="108"/>
        <v>Error?</v>
      </c>
    </row>
    <row r="6984" spans="1:4" x14ac:dyDescent="0.2">
      <c r="A6984">
        <v>6923</v>
      </c>
      <c r="B6984" s="138">
        <f>'Expenditures 15-22'!K86</f>
        <v>460469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460469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779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52913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54836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3819</v>
      </c>
      <c r="D7073" s="2" t="str">
        <f t="shared" si="109"/>
        <v>Error?</v>
      </c>
    </row>
    <row r="7074" spans="1:4" x14ac:dyDescent="0.2">
      <c r="A7074">
        <v>7013</v>
      </c>
      <c r="B7074" s="138">
        <f>'Expenditures 15-22'!K216</f>
        <v>3819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11481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11481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21030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21030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5424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5424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2856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2856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52913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52913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52913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52913</v>
      </c>
      <c r="D7224" s="2" t="str">
        <f t="shared" si="111"/>
        <v>Error?</v>
      </c>
    </row>
    <row r="7225" spans="1:4" x14ac:dyDescent="0.2">
      <c r="A7225">
        <v>7164</v>
      </c>
      <c r="B7225" s="138">
        <f>'Expenditures 15-22'!K343</f>
        <v>1923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11013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31067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31067</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10356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10356</v>
      </c>
      <c r="D7622" s="2" t="str">
        <f t="shared" si="124"/>
        <v>Error?</v>
      </c>
      <c r="E7622" s="2" t="s">
        <v>19</v>
      </c>
    </row>
    <row r="7623" spans="1:5" x14ac:dyDescent="0.2">
      <c r="A7623">
        <f t="shared" si="123"/>
        <v>7562</v>
      </c>
      <c r="B7623" s="138">
        <f>'Cap Outlay Deprec 26'!L14</f>
        <v>20711</v>
      </c>
      <c r="D7623" s="2" t="str">
        <f t="shared" si="124"/>
        <v>Error?</v>
      </c>
      <c r="E7623" s="2" t="s">
        <v>19</v>
      </c>
    </row>
    <row r="7624" spans="1:5" x14ac:dyDescent="0.2">
      <c r="A7624">
        <f t="shared" si="123"/>
        <v>7563</v>
      </c>
      <c r="B7624" s="138">
        <f>'Cap Outlay Deprec 26'!F17</f>
        <v>779</v>
      </c>
      <c r="D7624" s="2" t="str">
        <f t="shared" si="124"/>
        <v>Error?</v>
      </c>
      <c r="E7624" s="2" t="s">
        <v>19</v>
      </c>
    </row>
    <row r="7625" spans="1:5" x14ac:dyDescent="0.2">
      <c r="A7625">
        <f t="shared" si="123"/>
        <v>7564</v>
      </c>
      <c r="B7625" s="138">
        <f>'Cap Outlay Deprec 26'!I17</f>
        <v>77.900000000000006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143315.9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42603</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71764</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71764</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3196</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81961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81961</v>
      </c>
      <c r="D7730" s="2" t="str">
        <f t="shared" si="126"/>
        <v>Error?</v>
      </c>
      <c r="E7730" s="2" t="s">
        <v>826</v>
      </c>
    </row>
    <row r="7731" spans="1:6" x14ac:dyDescent="0.2">
      <c r="A7731">
        <v>7670</v>
      </c>
      <c r="B7731" s="138">
        <f>'Revenues 9-14'!H103</f>
        <v>71764</v>
      </c>
      <c r="D7731" s="2" t="str">
        <f t="shared" si="126"/>
        <v>Error?</v>
      </c>
      <c r="E7731" s="2" t="s">
        <v>826</v>
      </c>
    </row>
    <row r="7732" spans="1:6" x14ac:dyDescent="0.2">
      <c r="A7732">
        <v>7671</v>
      </c>
      <c r="B7732" s="138">
        <f>'Rest Tax Levies-Tort Im 25'!J24</f>
        <v>32406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32406</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90000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258235</v>
      </c>
      <c r="D7797" s="2" t="str">
        <f t="shared" si="127"/>
        <v>Error?</v>
      </c>
      <c r="E7797" s="4" t="s">
        <v>1902</v>
      </c>
    </row>
    <row r="7798" spans="1:5" x14ac:dyDescent="0.2">
      <c r="A7798">
        <v>7737</v>
      </c>
      <c r="B7798" s="138">
        <f>'Contracts Paid in CY 29'!F142</f>
        <v>50000</v>
      </c>
      <c r="D7798" s="2" t="str">
        <f t="shared" si="127"/>
        <v>Error?</v>
      </c>
      <c r="E7798" s="4" t="s">
        <v>1902</v>
      </c>
    </row>
    <row r="7799" spans="1:5" x14ac:dyDescent="0.2">
      <c r="A7799">
        <v>7738</v>
      </c>
      <c r="B7799" s="138">
        <f>'Contracts Paid in CY 29'!G142</f>
        <v>208235</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1190</v>
      </c>
      <c r="B2" s="2388"/>
      <c r="C2" s="2388"/>
      <c r="D2" s="2388"/>
      <c r="E2" s="2388"/>
      <c r="F2" s="2388"/>
      <c r="G2" s="2388"/>
      <c r="H2" s="2388"/>
      <c r="I2" s="2388"/>
      <c r="J2" s="2388"/>
      <c r="K2" s="2388"/>
      <c r="L2" s="2388"/>
    </row>
    <row r="3" spans="1:29" ht="13.5" customHeight="1" x14ac:dyDescent="0.2">
      <c r="A3" s="2419" t="s">
        <v>1189</v>
      </c>
      <c r="B3" s="2419"/>
      <c r="C3" s="2419"/>
      <c r="D3" s="2419"/>
      <c r="E3" s="2419"/>
      <c r="F3" s="2419"/>
      <c r="G3" s="2419"/>
      <c r="H3" s="2419"/>
      <c r="I3" s="2419"/>
      <c r="J3" s="2419"/>
      <c r="K3" s="2419"/>
      <c r="L3" s="2419"/>
    </row>
    <row r="4" spans="1:29" ht="13.5" customHeight="1" x14ac:dyDescent="0.2">
      <c r="A4" s="2388" t="s">
        <v>1986</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0" t="str">
        <f>COVER!A17</f>
        <v>Pleasant Hill SD 69</v>
      </c>
      <c r="B7" s="2411"/>
      <c r="C7" s="2411"/>
      <c r="D7" s="2412"/>
      <c r="E7" s="2413">
        <f>COVER!A13</f>
        <v>48072069002</v>
      </c>
      <c r="F7" s="2414"/>
      <c r="G7" s="2420" t="str">
        <f>COVER!T23</f>
        <v>066-004769</v>
      </c>
      <c r="H7" s="2421"/>
      <c r="I7" s="2421"/>
      <c r="J7" s="2421"/>
      <c r="K7" s="2421"/>
      <c r="L7" s="242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3"/>
      <c r="B9" s="2424"/>
      <c r="C9" s="2424"/>
      <c r="D9" s="2424"/>
      <c r="E9" s="2424"/>
      <c r="F9" s="2425"/>
      <c r="G9" s="2394" t="str">
        <f>COVER!T13</f>
        <v>Meister, Hilton, Chitwood &amp; Associates, Inc.</v>
      </c>
      <c r="H9" s="2426"/>
      <c r="I9" s="2426"/>
      <c r="J9" s="2426"/>
      <c r="K9" s="2426"/>
      <c r="L9" s="2427"/>
    </row>
    <row r="10" spans="1:29" ht="13.5" customHeight="1" x14ac:dyDescent="0.2">
      <c r="A10" s="2400" t="str">
        <f>COVER!A38</f>
        <v>Lisa Weaver</v>
      </c>
      <c r="B10" s="2401"/>
      <c r="C10" s="2401"/>
      <c r="D10" s="2401"/>
      <c r="E10" s="2401"/>
      <c r="F10" s="2402"/>
      <c r="G10" s="2394" t="str">
        <f>COVER!T17</f>
        <v>809 W. Detweiller Drive, Suite 806</v>
      </c>
      <c r="H10" s="2395"/>
      <c r="I10" s="2395"/>
      <c r="J10" s="2395"/>
      <c r="K10" s="2395"/>
      <c r="L10" s="2396"/>
    </row>
    <row r="11" spans="1:29" ht="13.5" customHeight="1" x14ac:dyDescent="0.2">
      <c r="A11" s="1184" t="s">
        <v>1518</v>
      </c>
      <c r="B11" s="1185"/>
      <c r="C11" s="1186"/>
      <c r="D11" s="1191"/>
      <c r="E11" s="1186"/>
      <c r="F11" s="1190"/>
      <c r="G11" s="2394" t="str">
        <f>COVER!T19</f>
        <v>Peoria</v>
      </c>
      <c r="H11" s="2395"/>
      <c r="I11" s="2395"/>
      <c r="J11" s="2395"/>
      <c r="K11" s="2395"/>
      <c r="L11" s="2396"/>
    </row>
    <row r="12" spans="1:29" ht="13.5" customHeight="1" x14ac:dyDescent="0.2">
      <c r="A12" s="2403" t="s">
        <v>1517</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1519</v>
      </c>
      <c r="H13" s="2390"/>
      <c r="I13" s="2406" t="str">
        <f>COVER!T25</f>
        <v>ron.hilton1@comcast.net</v>
      </c>
      <c r="J13" s="2407"/>
      <c r="K13" s="2407"/>
      <c r="L13" s="2408"/>
    </row>
    <row r="14" spans="1:29" ht="13.5" customHeight="1" x14ac:dyDescent="0.2">
      <c r="A14" s="2394" t="str">
        <f>COVER!A19</f>
        <v>3717 West Malone Street</v>
      </c>
      <c r="B14" s="2395"/>
      <c r="C14" s="2395"/>
      <c r="D14" s="2395"/>
      <c r="E14" s="2395"/>
      <c r="F14" s="2396"/>
      <c r="G14" s="1195" t="s">
        <v>1184</v>
      </c>
      <c r="H14" s="1193"/>
      <c r="I14" s="1193"/>
      <c r="J14" s="1193"/>
      <c r="K14" s="1193"/>
      <c r="L14" s="1194"/>
    </row>
    <row r="15" spans="1:29" ht="13.5" customHeight="1" x14ac:dyDescent="0.2">
      <c r="A15" s="2394" t="str">
        <f>COVER!A21</f>
        <v>Peoria</v>
      </c>
      <c r="B15" s="2395"/>
      <c r="C15" s="2395"/>
      <c r="D15" s="2395"/>
      <c r="E15" s="2395"/>
      <c r="F15" s="2396"/>
      <c r="G15" s="2391" t="str">
        <f>COVER!T15</f>
        <v>Ron Hilton</v>
      </c>
      <c r="H15" s="2392"/>
      <c r="I15" s="2392"/>
      <c r="J15" s="2392"/>
      <c r="K15" s="2392"/>
      <c r="L15" s="2393"/>
    </row>
    <row r="16" spans="1:29" ht="12.2" customHeight="1" x14ac:dyDescent="0.2">
      <c r="A16" s="2416">
        <f>COVER!A25</f>
        <v>61605</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1183</v>
      </c>
      <c r="H17" s="1193"/>
      <c r="I17" s="1193"/>
      <c r="J17" s="1193"/>
      <c r="K17" s="1197" t="s">
        <v>1182</v>
      </c>
      <c r="L17" s="1190"/>
      <c r="M17" s="1183"/>
    </row>
    <row r="18" spans="1:13" ht="12.2" customHeight="1" x14ac:dyDescent="0.2">
      <c r="A18" s="2400"/>
      <c r="B18" s="2401"/>
      <c r="C18" s="2401"/>
      <c r="D18" s="2401"/>
      <c r="E18" s="2401"/>
      <c r="F18" s="2402"/>
      <c r="G18" s="2410" t="str">
        <f>COVER!T21</f>
        <v>(309) 683-0441</v>
      </c>
      <c r="H18" s="2411"/>
      <c r="I18" s="2411"/>
      <c r="J18" s="2411"/>
      <c r="K18" s="2410" t="str">
        <f>COVER!X21</f>
        <v>(309) 692-0492</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Pleasant Hill SD 69</v>
      </c>
      <c r="B1" s="2409"/>
      <c r="C1" s="2409"/>
      <c r="D1" s="2409"/>
    </row>
    <row r="2" spans="1:11" s="1212" customFormat="1" ht="12.75" x14ac:dyDescent="0.2">
      <c r="A2" s="2433">
        <f>'Single Audit Cover'!E7</f>
        <v>48072069002</v>
      </c>
      <c r="B2" s="2434"/>
      <c r="C2" s="2434"/>
      <c r="D2" s="2434"/>
    </row>
    <row r="3" spans="1:11" s="1212" customFormat="1" ht="12.75" x14ac:dyDescent="0.2">
      <c r="A3" s="2432" t="s">
        <v>1512</v>
      </c>
      <c r="B3" s="2409"/>
      <c r="C3" s="2409"/>
      <c r="D3" s="2409"/>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Pleasant Hill SD 69</v>
      </c>
      <c r="B1" s="2436"/>
      <c r="C1" s="2436"/>
      <c r="D1" s="2436"/>
      <c r="E1" s="2436"/>
    </row>
    <row r="2" spans="1:5" x14ac:dyDescent="0.2">
      <c r="A2" s="2437">
        <f>'Single Audit Cover'!E7</f>
        <v>48072069002</v>
      </c>
      <c r="B2" s="2437"/>
      <c r="C2" s="2437"/>
      <c r="D2" s="2437"/>
      <c r="E2" s="2437"/>
    </row>
    <row r="3" spans="1:5" ht="4.5" customHeight="1" x14ac:dyDescent="0.2"/>
    <row r="4" spans="1:5" x14ac:dyDescent="0.2">
      <c r="A4" s="2436" t="s">
        <v>1244</v>
      </c>
      <c r="B4" s="2436"/>
      <c r="C4" s="2436"/>
      <c r="D4" s="2436"/>
      <c r="E4" s="2436"/>
    </row>
    <row r="5" spans="1:5" x14ac:dyDescent="0.2">
      <c r="A5" s="2439" t="str">
        <f>'Single Audit Cover'!A4</f>
        <v>Year Ending June 30, 2019</v>
      </c>
      <c r="B5" s="2439"/>
      <c r="C5" s="2439"/>
      <c r="D5" s="2439"/>
      <c r="E5" s="2439"/>
    </row>
    <row r="6" spans="1:5" x14ac:dyDescent="0.2">
      <c r="A6" s="2436" t="s">
        <v>1243</v>
      </c>
      <c r="B6" s="2436"/>
      <c r="C6" s="2436"/>
      <c r="D6" s="2436"/>
      <c r="E6" s="2436"/>
    </row>
    <row r="8" spans="1:5" x14ac:dyDescent="0.2">
      <c r="A8" s="1257" t="s">
        <v>1242</v>
      </c>
    </row>
    <row r="10" spans="1:5" x14ac:dyDescent="0.2">
      <c r="A10" s="1258" t="s">
        <v>1241</v>
      </c>
      <c r="B10" s="1259" t="s">
        <v>1240</v>
      </c>
      <c r="C10" s="1259"/>
      <c r="D10" s="1260">
        <f>SUM('Acct Summary 7-8'!C7:K7)</f>
        <v>292933</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10442</v>
      </c>
    </row>
    <row r="15" spans="1:5" x14ac:dyDescent="0.2">
      <c r="A15" s="1258"/>
      <c r="B15" s="1259"/>
      <c r="C15" s="1259"/>
    </row>
    <row r="16" spans="1:5" x14ac:dyDescent="0.2">
      <c r="A16" s="1258" t="s">
        <v>1842</v>
      </c>
      <c r="B16" s="1259"/>
      <c r="C16" s="1259"/>
    </row>
    <row r="17" spans="1:4" x14ac:dyDescent="0.2">
      <c r="A17" s="1258" t="s">
        <v>2058</v>
      </c>
      <c r="B17" s="1259" t="s">
        <v>1235</v>
      </c>
      <c r="C17" s="1259"/>
      <c r="D17" s="1261">
        <f>-SUM('Revenues 9-14'!C264:D264,'Revenues 9-14'!F264:G264)</f>
        <v>-12151</v>
      </c>
    </row>
    <row r="19" spans="1:4" ht="13.5" thickBot="1" x14ac:dyDescent="0.25">
      <c r="A19" s="1262" t="s">
        <v>1234</v>
      </c>
      <c r="D19" s="1263">
        <f>SUM(D10:D17)</f>
        <v>291224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1232</v>
      </c>
      <c r="D32" s="1260">
        <f>SUM(D19:D30)</f>
        <v>291224</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1226</v>
      </c>
      <c r="C47" s="1269"/>
      <c r="D47" s="1270">
        <f>SUM(D35:D45)</f>
        <v>0</v>
      </c>
    </row>
    <row r="49" spans="2:4" x14ac:dyDescent="0.2">
      <c r="B49" s="1269" t="s">
        <v>1225</v>
      </c>
      <c r="C49" s="1269"/>
      <c r="D49" s="1270">
        <f>D32-D47</f>
        <v>291224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Pleasant Hill SD 69</v>
      </c>
      <c r="C1" s="2440"/>
      <c r="D1" s="2440"/>
      <c r="E1" s="2440"/>
      <c r="F1" s="2440"/>
      <c r="G1" s="2440"/>
      <c r="H1" s="2440"/>
      <c r="I1" s="2440"/>
      <c r="J1" s="2440"/>
      <c r="K1" s="2440"/>
      <c r="L1" s="2440"/>
      <c r="M1" s="2440"/>
    </row>
    <row r="2" spans="2:14" ht="15" x14ac:dyDescent="0.2">
      <c r="B2" s="2441">
        <f>'Single Audit Cover'!E7</f>
        <v>48072069002</v>
      </c>
      <c r="C2" s="2441"/>
      <c r="D2" s="2441"/>
      <c r="E2" s="2441"/>
      <c r="F2" s="2441"/>
      <c r="G2" s="2441"/>
      <c r="H2" s="2441"/>
      <c r="I2" s="2441"/>
      <c r="J2" s="2441"/>
      <c r="K2" s="2441"/>
      <c r="L2" s="2441"/>
      <c r="M2" s="2441"/>
      <c r="N2" s="1299"/>
    </row>
    <row r="3" spans="2:14" ht="15" x14ac:dyDescent="0.2">
      <c r="B3" s="2442" t="s">
        <v>1218</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1987</v>
      </c>
      <c r="K8" s="1316" t="s">
        <v>1260</v>
      </c>
      <c r="L8" s="1317" t="s">
        <v>1256</v>
      </c>
      <c r="M8" s="1318" t="s">
        <v>30</v>
      </c>
    </row>
    <row r="9" spans="2:14" ht="14.25" x14ac:dyDescent="0.2">
      <c r="B9" s="1322" t="s">
        <v>1258</v>
      </c>
      <c r="C9" s="1310" t="s">
        <v>1734</v>
      </c>
      <c r="D9" s="1311" t="s">
        <v>1735</v>
      </c>
      <c r="E9" s="1319" t="s">
        <v>1838</v>
      </c>
      <c r="F9" s="1320" t="s">
        <v>1987</v>
      </c>
      <c r="G9" s="1321" t="s">
        <v>1838</v>
      </c>
      <c r="H9" s="1314" t="s">
        <v>1581</v>
      </c>
      <c r="I9" s="1316" t="s">
        <v>1987</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Pleasant Hill SD 69</v>
      </c>
      <c r="B1" s="2453"/>
      <c r="C1" s="2453"/>
      <c r="D1" s="2453"/>
      <c r="E1" s="2453"/>
      <c r="F1" s="2453"/>
    </row>
    <row r="2" spans="1:7" ht="13.5" customHeight="1" x14ac:dyDescent="0.2">
      <c r="A2" s="2441">
        <f>'Single Audit Cover'!E7</f>
        <v>48072069002</v>
      </c>
      <c r="B2" s="2441"/>
      <c r="C2" s="2441"/>
      <c r="D2" s="2441"/>
      <c r="E2" s="2441"/>
      <c r="F2" s="2441"/>
      <c r="G2" s="1272"/>
    </row>
    <row r="3" spans="1:7" ht="15.75" customHeight="1" x14ac:dyDescent="0.2">
      <c r="A3" s="2454" t="s">
        <v>1270</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1727</v>
      </c>
      <c r="C6" s="317"/>
      <c r="D6" s="317"/>
    </row>
    <row r="7" spans="1:7" ht="60.95" customHeight="1" x14ac:dyDescent="0.2">
      <c r="A7" s="2452" t="s">
        <v>1728</v>
      </c>
      <c r="B7" s="2452"/>
      <c r="C7" s="2452"/>
      <c r="D7" s="2452"/>
      <c r="E7" s="2452"/>
      <c r="F7" s="24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52" t="s">
        <v>1730</v>
      </c>
      <c r="B13" s="2452"/>
      <c r="C13" s="2452"/>
      <c r="D13" s="2452"/>
      <c r="E13" s="2452"/>
      <c r="F13" s="2452"/>
    </row>
    <row r="14" spans="1:7" ht="9.75" customHeight="1" x14ac:dyDescent="0.2">
      <c r="C14" s="1257"/>
      <c r="D14" s="1257"/>
    </row>
    <row r="15" spans="1:7" ht="13.5" customHeight="1" x14ac:dyDescent="0.2">
      <c r="C15" s="1846" t="s">
        <v>1269</v>
      </c>
      <c r="D15" s="2450" t="s">
        <v>1268</v>
      </c>
      <c r="E15" s="2450"/>
      <c r="F15" s="2450"/>
    </row>
    <row r="16" spans="1:7" ht="13.5" customHeight="1" x14ac:dyDescent="0.2">
      <c r="A16" s="1279"/>
      <c r="B16" s="1273" t="s">
        <v>1267</v>
      </c>
      <c r="C16" s="1846" t="s">
        <v>1266</v>
      </c>
      <c r="D16" s="2451" t="s">
        <v>1587</v>
      </c>
      <c r="E16" s="2451"/>
      <c r="F16" s="2451"/>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6" t="s">
        <v>1731</v>
      </c>
      <c r="B32" s="2446"/>
      <c r="C32" s="2446"/>
      <c r="D32" s="2446"/>
      <c r="E32" s="2446"/>
      <c r="F32" s="2446"/>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7">
        <f>+C33+C34</f>
        <v>0</v>
      </c>
      <c r="F34" s="244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1589</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1167</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5" t="s">
        <v>1632</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312</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2074</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2103</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1322</v>
      </c>
      <c r="B70" s="2078"/>
      <c r="C70" s="2078"/>
      <c r="D70" s="2078"/>
      <c r="E70" s="2079"/>
      <c r="F70" s="2079"/>
      <c r="G70" s="2079"/>
      <c r="H70" s="2079"/>
      <c r="I70" s="207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1319</v>
      </c>
      <c r="B83" s="2080"/>
      <c r="C83" s="2080"/>
      <c r="D83" s="208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1329</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Pleasant Hill SD 69</v>
      </c>
      <c r="C1" s="2468"/>
      <c r="D1" s="2468"/>
      <c r="E1" s="2468"/>
      <c r="F1" s="2468"/>
      <c r="G1" s="2468"/>
      <c r="H1" s="2468"/>
      <c r="I1" s="2468"/>
      <c r="J1" s="1406"/>
    </row>
    <row r="2" spans="2:10" s="317" customFormat="1" ht="12.75" customHeight="1" x14ac:dyDescent="0.2">
      <c r="B2" s="2469">
        <f>'Single Audit Cover'!E7</f>
        <v>48072069002</v>
      </c>
      <c r="C2" s="2470"/>
      <c r="D2" s="2470"/>
      <c r="E2" s="2470"/>
      <c r="F2" s="2470"/>
      <c r="G2" s="2470"/>
      <c r="H2" s="2470"/>
      <c r="I2" s="2470"/>
      <c r="J2" s="1406"/>
    </row>
    <row r="3" spans="2:10" s="317" customFormat="1" ht="12.75" customHeight="1" x14ac:dyDescent="0.2">
      <c r="B3" s="2471" t="s">
        <v>1284</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1283</v>
      </c>
      <c r="C7" s="2472"/>
      <c r="D7" s="2472"/>
      <c r="E7" s="2472"/>
      <c r="F7" s="2472"/>
      <c r="G7" s="2472"/>
      <c r="H7" s="2472"/>
      <c r="I7" s="2472"/>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3"/>
      <c r="D11" s="247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4"/>
      <c r="E29" s="2474"/>
      <c r="F29" s="2474"/>
      <c r="G29" s="2474"/>
      <c r="H29" s="2474"/>
      <c r="I29" s="2474"/>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75" t="s">
        <v>1750</v>
      </c>
      <c r="D37" s="2476"/>
      <c r="E37" s="2476"/>
      <c r="F37" s="2477"/>
      <c r="G37" s="2475" t="s">
        <v>1591</v>
      </c>
      <c r="H37" s="2476"/>
      <c r="I37" s="2477"/>
    </row>
    <row r="38" spans="2:9" ht="16.5" customHeight="1" x14ac:dyDescent="0.2">
      <c r="B38" s="1428"/>
      <c r="C38" s="2463"/>
      <c r="D38" s="2464"/>
      <c r="E38" s="2464"/>
      <c r="F38" s="2465"/>
      <c r="G38" s="2478"/>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1592</v>
      </c>
      <c r="D43" s="2457"/>
      <c r="E43" s="2457"/>
      <c r="F43" s="2458"/>
      <c r="G43" s="2459">
        <f>SUM(G38:I42)</f>
        <v>0</v>
      </c>
      <c r="H43" s="2459"/>
      <c r="I43" s="2459"/>
    </row>
    <row r="44" spans="2:9" ht="12.75" customHeight="1" x14ac:dyDescent="0.2"/>
    <row r="45" spans="2:9" ht="12.75" customHeight="1" x14ac:dyDescent="0.2">
      <c r="B45" s="1419" t="s">
        <v>2061</v>
      </c>
      <c r="D45" s="2460">
        <v>0</v>
      </c>
      <c r="E45" s="2461"/>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62"/>
      <c r="F49" s="2462"/>
      <c r="G49" s="2462"/>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Pleasant Hill SD 69</v>
      </c>
      <c r="C1" s="2467"/>
      <c r="D1" s="2467"/>
      <c r="E1" s="2467"/>
      <c r="F1" s="2467"/>
      <c r="G1" s="2467"/>
      <c r="H1" s="2467"/>
      <c r="I1" s="2467"/>
      <c r="J1" s="2467"/>
      <c r="K1" s="2467"/>
      <c r="L1" s="1371"/>
      <c r="M1" s="1371"/>
    </row>
    <row r="2" spans="1:13" ht="12" customHeight="1" x14ac:dyDescent="0.2">
      <c r="B2" s="2469">
        <f>'Single Audit Cover'!E7</f>
        <v>48072069002</v>
      </c>
      <c r="C2" s="2469"/>
      <c r="D2" s="2469"/>
      <c r="E2" s="2469"/>
      <c r="F2" s="2469"/>
      <c r="G2" s="2469"/>
      <c r="H2" s="2469"/>
      <c r="I2" s="2469"/>
      <c r="J2" s="2469"/>
      <c r="K2" s="2469"/>
      <c r="L2" s="1372"/>
      <c r="M2" s="1373"/>
    </row>
    <row r="3" spans="1:13" ht="10.35" customHeight="1" x14ac:dyDescent="0.2">
      <c r="B3" s="2483" t="s">
        <v>1284</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1295</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1</v>
      </c>
      <c r="E10" s="322"/>
      <c r="F10" s="1384" t="s">
        <v>1294</v>
      </c>
      <c r="G10" s="1385"/>
      <c r="H10" s="1386" t="s">
        <v>1293</v>
      </c>
      <c r="I10" s="1385" t="s">
        <v>2074</v>
      </c>
      <c r="J10" s="1387" t="s">
        <v>1292</v>
      </c>
      <c r="K10" s="322"/>
      <c r="L10" s="1378"/>
    </row>
    <row r="11" spans="1:13" ht="13.5" customHeight="1" x14ac:dyDescent="0.2">
      <c r="B11" s="322"/>
      <c r="C11" s="322"/>
      <c r="D11" s="322"/>
      <c r="E11" s="322"/>
      <c r="F11" s="322"/>
      <c r="G11" s="1380"/>
      <c r="H11" s="322"/>
      <c r="I11" s="1388" t="s">
        <v>1291</v>
      </c>
      <c r="J11" s="322"/>
      <c r="K11" s="1389">
        <v>1990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2" t="s">
        <v>2089</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2" t="s">
        <v>2090</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6" t="s">
        <v>2091</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2" t="s">
        <v>2092</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2" t="s">
        <v>2093</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1" t="s">
        <v>2094</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81" t="s">
        <v>2095</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7"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Pleasant Hill SD 69</v>
      </c>
      <c r="C1" s="2467"/>
      <c r="D1" s="2467"/>
      <c r="E1" s="2467"/>
      <c r="F1" s="2467"/>
      <c r="G1" s="2467"/>
      <c r="H1" s="2467"/>
      <c r="I1" s="2467"/>
      <c r="J1" s="2467"/>
      <c r="K1" s="2467"/>
      <c r="L1" s="1371"/>
      <c r="M1" s="1371"/>
    </row>
    <row r="2" spans="1:13" ht="12" customHeight="1" x14ac:dyDescent="0.2">
      <c r="B2" s="2469">
        <f>'Single Audit Cover'!E7</f>
        <v>48072069002</v>
      </c>
      <c r="C2" s="2469"/>
      <c r="D2" s="2469"/>
      <c r="E2" s="2469"/>
      <c r="F2" s="2469"/>
      <c r="G2" s="2469"/>
      <c r="H2" s="2469"/>
      <c r="I2" s="2469"/>
      <c r="J2" s="2469"/>
      <c r="K2" s="2469"/>
      <c r="L2" s="1372"/>
      <c r="M2" s="1373"/>
    </row>
    <row r="3" spans="1:13" ht="10.35" customHeight="1" x14ac:dyDescent="0.2">
      <c r="B3" s="2483" t="s">
        <v>1284</v>
      </c>
      <c r="C3" s="2483"/>
      <c r="D3" s="2483"/>
      <c r="E3" s="2483"/>
      <c r="F3" s="2483"/>
      <c r="G3" s="2483"/>
      <c r="H3" s="2483"/>
      <c r="I3" s="2483"/>
      <c r="J3" s="2483"/>
      <c r="K3" s="2483"/>
      <c r="L3" s="1947"/>
      <c r="M3" s="1947"/>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1295</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2</v>
      </c>
      <c r="E10" s="322"/>
      <c r="F10" s="1384" t="s">
        <v>1294</v>
      </c>
      <c r="G10" s="1385" t="s">
        <v>2074</v>
      </c>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2" t="s">
        <v>2115</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54" customHeight="1" x14ac:dyDescent="0.2">
      <c r="B17" s="2482" t="s">
        <v>2118</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6" t="s">
        <v>2117</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2" t="s">
        <v>2116</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2" t="s">
        <v>2121</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1" t="s">
        <v>2120</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81" t="s">
        <v>2119</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Pleasant Hill SD 69</v>
      </c>
      <c r="C1" s="2467"/>
      <c r="D1" s="2467"/>
      <c r="E1" s="2467"/>
      <c r="F1" s="2467"/>
      <c r="G1" s="2467"/>
      <c r="H1" s="2467"/>
      <c r="I1" s="2467"/>
      <c r="J1" s="2467"/>
      <c r="K1" s="2467"/>
      <c r="L1" s="1371"/>
      <c r="M1" s="1371"/>
    </row>
    <row r="2" spans="1:13" ht="12" customHeight="1" x14ac:dyDescent="0.2">
      <c r="B2" s="2469">
        <f>'Single Audit Cover'!E7</f>
        <v>48072069002</v>
      </c>
      <c r="C2" s="2469"/>
      <c r="D2" s="2469"/>
      <c r="E2" s="2469"/>
      <c r="F2" s="2469"/>
      <c r="G2" s="2469"/>
      <c r="H2" s="2469"/>
      <c r="I2" s="2469"/>
      <c r="J2" s="2469"/>
      <c r="K2" s="2469"/>
      <c r="L2" s="1372"/>
      <c r="M2" s="1373"/>
    </row>
    <row r="3" spans="1:13" ht="10.35" customHeight="1" x14ac:dyDescent="0.2">
      <c r="B3" s="2483" t="s">
        <v>1284</v>
      </c>
      <c r="C3" s="2483"/>
      <c r="D3" s="2483"/>
      <c r="E3" s="2483"/>
      <c r="F3" s="2483"/>
      <c r="G3" s="2483"/>
      <c r="H3" s="2483"/>
      <c r="I3" s="2483"/>
      <c r="J3" s="2483"/>
      <c r="K3" s="2483"/>
      <c r="L3" s="1942"/>
      <c r="M3" s="1942"/>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1295</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3</v>
      </c>
      <c r="E10" s="322"/>
      <c r="F10" s="1384" t="s">
        <v>1294</v>
      </c>
      <c r="G10" s="1385"/>
      <c r="H10" s="1386" t="s">
        <v>1293</v>
      </c>
      <c r="I10" s="1385" t="s">
        <v>2074</v>
      </c>
      <c r="J10" s="1387" t="s">
        <v>1292</v>
      </c>
      <c r="K10" s="322"/>
      <c r="L10" s="1378"/>
    </row>
    <row r="11" spans="1:13" ht="13.5" customHeight="1" x14ac:dyDescent="0.2">
      <c r="B11" s="322"/>
      <c r="C11" s="322"/>
      <c r="D11" s="322"/>
      <c r="E11" s="322"/>
      <c r="F11" s="322"/>
      <c r="G11" s="1380"/>
      <c r="H11" s="322"/>
      <c r="I11" s="1388" t="s">
        <v>1291</v>
      </c>
      <c r="J11" s="322"/>
      <c r="K11" s="1389">
        <v>2006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56.45" customHeight="1" x14ac:dyDescent="0.2">
      <c r="B14" s="2482" t="s">
        <v>2096</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67.900000000000006" customHeight="1" x14ac:dyDescent="0.2">
      <c r="B17" s="2482" t="s">
        <v>2097</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6" t="s">
        <v>2098</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2" t="s">
        <v>2099</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2" t="s">
        <v>2100</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1" t="s">
        <v>2101</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55.9" customHeight="1" x14ac:dyDescent="0.2">
      <c r="B32" s="2481" t="s">
        <v>2102</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Pleasant Hill SD 69</v>
      </c>
      <c r="C1" s="2490"/>
      <c r="D1" s="2490"/>
      <c r="E1" s="2490"/>
      <c r="F1" s="2490"/>
      <c r="G1" s="2490"/>
      <c r="H1" s="2490"/>
      <c r="I1" s="2490"/>
      <c r="J1" s="2490"/>
      <c r="K1" s="2490"/>
      <c r="L1" s="1449"/>
    </row>
    <row r="2" spans="1:12" ht="12.75" customHeight="1" x14ac:dyDescent="0.2">
      <c r="B2" s="2491">
        <f>'Single Audit Cover'!E7</f>
        <v>48072069002</v>
      </c>
      <c r="C2" s="2491"/>
      <c r="D2" s="2491"/>
      <c r="E2" s="2491"/>
      <c r="F2" s="2491"/>
      <c r="G2" s="2491"/>
      <c r="H2" s="2491"/>
      <c r="I2" s="2491"/>
      <c r="J2" s="2491"/>
      <c r="K2" s="2491"/>
      <c r="L2" s="1450"/>
    </row>
    <row r="3" spans="1:12" ht="12.75" customHeight="1" x14ac:dyDescent="0.2">
      <c r="B3" s="2483" t="s">
        <v>1284</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1168</v>
      </c>
      <c r="C5" s="1257"/>
      <c r="L5" s="322"/>
    </row>
    <row r="6" spans="1:12" ht="30.75" customHeight="1" x14ac:dyDescent="0.2">
      <c r="A6" s="322"/>
      <c r="B6" s="2492" t="s">
        <v>1307</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1988</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7"/>
      <c r="E14" s="2487"/>
      <c r="F14" s="2487"/>
      <c r="H14" s="1459" t="s">
        <v>1302</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8"/>
      <c r="E16" s="2488"/>
      <c r="F16" s="2488"/>
      <c r="G16" s="2488"/>
      <c r="H16" s="2488"/>
      <c r="I16" s="2488"/>
      <c r="J16" s="2488"/>
      <c r="K16" s="2488"/>
      <c r="L16" s="322"/>
    </row>
    <row r="17" spans="2:12" ht="13.5" customHeight="1" x14ac:dyDescent="0.2">
      <c r="B17" s="1384" t="s">
        <v>1300</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Pleasant Hill SD 69</v>
      </c>
      <c r="C1" s="2467"/>
      <c r="D1" s="2467"/>
      <c r="E1" s="1469"/>
    </row>
    <row r="2" spans="2:5" s="1279" customFormat="1" ht="12.75" customHeight="1" x14ac:dyDescent="0.2">
      <c r="B2" s="2469">
        <f>'Single Audit Cover'!E7</f>
        <v>48072069002</v>
      </c>
      <c r="C2" s="2469"/>
      <c r="D2" s="2469"/>
      <c r="E2" s="1470"/>
    </row>
    <row r="3" spans="2:5" ht="12.75" customHeight="1" x14ac:dyDescent="0.2">
      <c r="B3" s="2483" t="s">
        <v>1765</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29" sqref="G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385</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15877360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1.17E-2</v>
      </c>
      <c r="E10" s="356" t="s">
        <v>1004</v>
      </c>
      <c r="F10" s="355">
        <v>2.5000000000000001E-3</v>
      </c>
      <c r="G10" s="356" t="s">
        <v>1004</v>
      </c>
      <c r="H10" s="355">
        <v>1.1999999999999999E-3</v>
      </c>
      <c r="I10" s="356" t="s">
        <v>1005</v>
      </c>
      <c r="J10" s="1732">
        <f>ROUND(D10+F10+H10,5)</f>
        <v>1.54E-2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2442712</v>
      </c>
      <c r="E16" s="356"/>
      <c r="F16" s="1733">
        <f>SUM('Acct Summary 7-8'!C17,'Acct Summary 7-8'!D17,'Acct Summary 7-8'!F17)</f>
        <v>2677324</v>
      </c>
      <c r="G16" s="356"/>
      <c r="H16" s="1733">
        <f>SUM(D16-F16)</f>
        <v>-234612</v>
      </c>
      <c r="I16" s="222"/>
      <c r="J16" s="1733">
        <f>SUM('Acct Summary 7-8'!C81,'Acct Summary 7-8'!D81,'Acct Summary 7-8'!F81,'Acct Summary 7-8'!I81)</f>
        <v>1429850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585</v>
      </c>
      <c r="D31" s="237" t="s">
        <v>1071</v>
      </c>
      <c r="E31" s="222"/>
      <c r="F31" s="222"/>
      <c r="G31" s="363"/>
      <c r="H31" s="1735">
        <f>IF(B31="X",(J7*0.069),IF(B32="X",(J7*0.138),"Enter x in a.or b."))</f>
        <v>1095537.8400000001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288150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555</v>
      </c>
      <c r="B2" s="2110"/>
      <c r="C2" s="2110"/>
      <c r="D2" s="2110"/>
      <c r="E2" s="2110"/>
      <c r="F2" s="2110"/>
      <c r="G2" s="2110"/>
      <c r="H2" s="2110"/>
      <c r="I2" s="2110"/>
      <c r="J2" s="2110"/>
      <c r="K2" s="2110"/>
      <c r="L2" s="2110"/>
      <c r="M2" s="2110"/>
      <c r="N2" s="2110"/>
      <c r="O2" s="2110"/>
      <c r="P2" s="2110"/>
      <c r="Q2" s="2110"/>
      <c r="R2" s="2110"/>
    </row>
    <row r="3" spans="1:18" ht="12.75" x14ac:dyDescent="0.2">
      <c r="A3" s="2111" t="s">
        <v>1412</v>
      </c>
      <c r="B3" s="2111"/>
      <c r="C3" s="2111"/>
      <c r="D3" s="2111"/>
      <c r="E3" s="2111"/>
      <c r="F3" s="2111"/>
      <c r="G3" s="2111"/>
      <c r="H3" s="2111"/>
      <c r="I3" s="2111"/>
      <c r="J3" s="2111"/>
      <c r="K3" s="2111"/>
      <c r="L3" s="2111"/>
      <c r="M3" s="2111"/>
      <c r="N3" s="2111"/>
      <c r="O3" s="2111"/>
      <c r="P3" s="2111"/>
      <c r="Q3" s="2111"/>
      <c r="R3" s="2111"/>
    </row>
    <row r="4" spans="1:18" x14ac:dyDescent="0.2">
      <c r="A4" s="2112" t="s">
        <v>1553</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Pleasant Hill SD 69</v>
      </c>
      <c r="E7" s="391"/>
      <c r="G7" s="252"/>
      <c r="H7" s="387"/>
      <c r="I7" s="387"/>
      <c r="J7" s="387"/>
      <c r="K7" s="387"/>
      <c r="L7" s="329"/>
      <c r="M7" s="329"/>
      <c r="N7" s="329"/>
      <c r="O7" s="329"/>
      <c r="P7" s="329"/>
    </row>
    <row r="8" spans="1:18" ht="12.75" x14ac:dyDescent="0.2">
      <c r="A8" s="329"/>
      <c r="B8" s="329"/>
      <c r="C8" s="389" t="s">
        <v>1124</v>
      </c>
      <c r="D8" s="392">
        <f>COVER!A13</f>
        <v>48072069002</v>
      </c>
      <c r="E8" s="393"/>
      <c r="G8" s="329"/>
      <c r="H8" s="329"/>
      <c r="I8" s="329"/>
      <c r="J8" s="329"/>
      <c r="K8" s="329"/>
      <c r="L8" s="329"/>
      <c r="M8" s="329"/>
      <c r="N8" s="329"/>
      <c r="O8" s="329"/>
      <c r="P8" s="329"/>
    </row>
    <row r="9" spans="1:18" ht="12.75" x14ac:dyDescent="0.2">
      <c r="A9" s="329"/>
      <c r="B9" s="329"/>
      <c r="C9" s="389" t="s">
        <v>712</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1429850</v>
      </c>
      <c r="I12" s="404"/>
      <c r="J12" s="404"/>
      <c r="K12" s="405">
        <f>TRUNC((H12/H13*100000),5)/100000</f>
        <v>0.5853534923</v>
      </c>
      <c r="L12" s="406"/>
      <c r="M12" s="360" t="s">
        <v>1143</v>
      </c>
      <c r="N12" s="360"/>
      <c r="O12" s="407">
        <v>0.35</v>
      </c>
      <c r="P12" s="218"/>
      <c r="Q12" s="218"/>
    </row>
    <row r="13" spans="1:18" s="408" customFormat="1" ht="12.75" x14ac:dyDescent="0.2">
      <c r="A13" s="218"/>
      <c r="B13" s="401"/>
      <c r="C13" s="2108" t="s">
        <v>1323</v>
      </c>
      <c r="D13" s="2109"/>
      <c r="E13" s="218"/>
      <c r="F13" s="409" t="s">
        <v>792</v>
      </c>
      <c r="G13" s="402"/>
      <c r="H13" s="403">
        <f>SUM('Acct Summary 7-8'!C8+'Acct Summary 7-8'!D8+'Acct Summary 7-8'!F8+'Acct Summary 7-8'!I8)+H14</f>
        <v>2442712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2677324</v>
      </c>
      <c r="I17" s="404"/>
      <c r="J17" s="416"/>
      <c r="K17" s="405">
        <f>TRUNC((H17/H18*100000),5)/100000</f>
        <v>1.0960457065</v>
      </c>
      <c r="L17" s="406"/>
      <c r="M17" s="417" t="s">
        <v>1170</v>
      </c>
      <c r="O17" s="418" t="str">
        <f>IF(AND(O16="2", J20 &gt; 2),"1",IF(AND(O16 = "1", J20 &gt; 2),"2",IF(AND(O16="1", J20 &gt;1),"1","0")))</f>
        <v>0</v>
      </c>
      <c r="P17" s="218"/>
    </row>
    <row r="18" spans="1:18" s="408" customFormat="1" ht="11.25" x14ac:dyDescent="0.2">
      <c r="A18" s="218"/>
      <c r="B18" s="401"/>
      <c r="C18" s="2108" t="s">
        <v>1316</v>
      </c>
      <c r="D18" s="2109"/>
      <c r="E18" s="218"/>
      <c r="F18" s="419" t="s">
        <v>793</v>
      </c>
      <c r="G18" s="402"/>
      <c r="H18" s="403">
        <f>SUM('Acct Summary 7-8'!C8+'Acct Summary 7-8'!D8+'Acct Summary 7-8'!F8+'Acct Summary 7-8'!I8)+H19</f>
        <v>2442712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5.0533595</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5" t="s">
        <v>1411</v>
      </c>
      <c r="D24" s="2105"/>
      <c r="E24" s="218"/>
      <c r="F24" s="218" t="s">
        <v>444</v>
      </c>
      <c r="G24" s="402"/>
      <c r="H24" s="403">
        <f>SUM('Assets-Liab 5-6'!C4+'Assets-Liab 5-6'!D4+'Assets-Liab 5-6'!F4+'Assets-Liab 5-6'!I4+'Assets-Liab 5-6'!C5+'Assets-Liab 5-6'!D5+'Assets-Liab 5-6'!F5+'Assets-Liab 5-6'!I5)</f>
        <v>1429904</v>
      </c>
      <c r="I24" s="422"/>
      <c r="J24" s="422"/>
      <c r="K24" s="423">
        <f>TRUNC(((H24/H25*100000)/100000),2)</f>
        <v>192.26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7437.0111100000004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207834.64240000001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288150</v>
      </c>
      <c r="I32" s="420"/>
      <c r="J32" s="420"/>
      <c r="K32" s="423">
        <f>TRUNC(100-((((H32/H33*100))*100)/100),2)</f>
        <v>73.69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1095537.8400000001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02" zoomScaleNormal="102" workbookViewId="0">
      <pane ySplit="2" topLeftCell="A27" activePane="bottomLeft" state="frozen"/>
      <selection pane="bottomLeft" activeCell="J5" sqref="J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5" t="s">
        <v>972</v>
      </c>
      <c r="B3" s="2116"/>
      <c r="C3" s="1559"/>
      <c r="D3" s="1560"/>
      <c r="E3" s="1560"/>
      <c r="F3" s="1560"/>
      <c r="G3" s="1560"/>
      <c r="H3" s="1560"/>
      <c r="I3" s="1560"/>
      <c r="J3" s="1560"/>
      <c r="K3" s="1560"/>
      <c r="L3" s="1560"/>
      <c r="M3" s="1561"/>
      <c r="N3" s="1562"/>
    </row>
    <row r="4" spans="1:14" ht="13.5" customHeight="1" x14ac:dyDescent="0.2">
      <c r="A4" s="463" t="s">
        <v>1650</v>
      </c>
      <c r="B4" s="464"/>
      <c r="C4" s="465">
        <v>327029</v>
      </c>
      <c r="D4" s="466">
        <v>45220</v>
      </c>
      <c r="E4" s="466">
        <v>4534</v>
      </c>
      <c r="F4" s="466">
        <v>72693</v>
      </c>
      <c r="G4" s="466">
        <v>25576</v>
      </c>
      <c r="H4" s="466">
        <v>122869</v>
      </c>
      <c r="I4" s="466">
        <v>106173</v>
      </c>
      <c r="J4" s="467">
        <v>21681</v>
      </c>
      <c r="K4" s="466">
        <v>26431</v>
      </c>
      <c r="L4" s="466">
        <v>14537</v>
      </c>
      <c r="M4" s="468"/>
      <c r="N4" s="469"/>
    </row>
    <row r="5" spans="1:14" x14ac:dyDescent="0.2">
      <c r="A5" s="463" t="s">
        <v>991</v>
      </c>
      <c r="B5" s="470">
        <v>120</v>
      </c>
      <c r="C5" s="465">
        <v>799376</v>
      </c>
      <c r="D5" s="466">
        <v>19283</v>
      </c>
      <c r="E5" s="466"/>
      <c r="F5" s="466">
        <v>16077</v>
      </c>
      <c r="G5" s="466"/>
      <c r="H5" s="466"/>
      <c r="I5" s="466">
        <v>44053</v>
      </c>
      <c r="J5" s="467">
        <v>35010</v>
      </c>
      <c r="K5" s="471">
        <v>4252</v>
      </c>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1126405</v>
      </c>
      <c r="D13" s="1737">
        <f t="shared" ref="D13:L13" si="0">SUM(D4:D12)</f>
        <v>64503</v>
      </c>
      <c r="E13" s="1737">
        <f t="shared" si="0"/>
        <v>4534</v>
      </c>
      <c r="F13" s="1737">
        <f t="shared" si="0"/>
        <v>88770</v>
      </c>
      <c r="G13" s="1737">
        <f t="shared" si="0"/>
        <v>25576</v>
      </c>
      <c r="H13" s="1737">
        <f t="shared" si="0"/>
        <v>122869</v>
      </c>
      <c r="I13" s="1737">
        <f t="shared" si="0"/>
        <v>150226</v>
      </c>
      <c r="J13" s="1737">
        <f t="shared" si="0"/>
        <v>56691</v>
      </c>
      <c r="K13" s="1737">
        <f t="shared" si="0"/>
        <v>30683</v>
      </c>
      <c r="L13" s="1737">
        <f t="shared" si="0"/>
        <v>14537</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22962</v>
      </c>
      <c r="N16" s="484"/>
    </row>
    <row r="17" spans="1:14" s="485" customFormat="1" ht="12.75" customHeight="1" x14ac:dyDescent="0.2">
      <c r="A17" s="482" t="s">
        <v>1402</v>
      </c>
      <c r="B17" s="483">
        <v>230</v>
      </c>
      <c r="C17" s="477"/>
      <c r="D17" s="477"/>
      <c r="E17" s="477"/>
      <c r="F17" s="477"/>
      <c r="G17" s="477"/>
      <c r="H17" s="477"/>
      <c r="I17" s="477"/>
      <c r="J17" s="477"/>
      <c r="K17" s="477"/>
      <c r="L17" s="477"/>
      <c r="M17" s="467">
        <v>2113218</v>
      </c>
      <c r="N17" s="484"/>
    </row>
    <row r="18" spans="1:14" s="485" customFormat="1" ht="12.75" customHeight="1" x14ac:dyDescent="0.2">
      <c r="A18" s="482" t="s">
        <v>1403</v>
      </c>
      <c r="B18" s="483">
        <v>240</v>
      </c>
      <c r="C18" s="477"/>
      <c r="D18" s="477"/>
      <c r="E18" s="477"/>
      <c r="F18" s="477"/>
      <c r="G18" s="477"/>
      <c r="H18" s="477"/>
      <c r="I18" s="477"/>
      <c r="J18" s="477"/>
      <c r="K18" s="477"/>
      <c r="L18" s="477"/>
      <c r="M18" s="467">
        <v>274491</v>
      </c>
      <c r="N18" s="484"/>
    </row>
    <row r="19" spans="1:14" s="485" customFormat="1" ht="12.75" customHeight="1" x14ac:dyDescent="0.2">
      <c r="A19" s="482" t="s">
        <v>1404</v>
      </c>
      <c r="B19" s="483">
        <v>250</v>
      </c>
      <c r="C19" s="477"/>
      <c r="D19" s="477"/>
      <c r="E19" s="477"/>
      <c r="F19" s="477"/>
      <c r="G19" s="477"/>
      <c r="H19" s="477"/>
      <c r="I19" s="477"/>
      <c r="J19" s="477"/>
      <c r="K19" s="477"/>
      <c r="L19" s="477"/>
      <c r="M19" s="467">
        <v>160635</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4534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283616</v>
      </c>
    </row>
    <row r="23" spans="1:14" ht="13.5" customHeight="1" thickBot="1" x14ac:dyDescent="0.25">
      <c r="A23" s="1736" t="s">
        <v>642</v>
      </c>
      <c r="B23" s="1741"/>
      <c r="C23" s="468"/>
      <c r="D23" s="468"/>
      <c r="E23" s="468"/>
      <c r="F23" s="468"/>
      <c r="G23" s="468"/>
      <c r="H23" s="468"/>
      <c r="I23" s="468"/>
      <c r="J23" s="468"/>
      <c r="K23" s="468"/>
      <c r="L23" s="468"/>
      <c r="M23" s="1688">
        <f>SUM(M15:M22)</f>
        <v>2571306</v>
      </c>
      <c r="N23" s="1688">
        <f>SUM(N21:N22)</f>
        <v>288150</v>
      </c>
    </row>
    <row r="24" spans="1:14" ht="18" customHeight="1" thickTop="1" x14ac:dyDescent="0.2">
      <c r="A24" s="2119" t="s">
        <v>597</v>
      </c>
      <c r="B24" s="2120"/>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54</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14537</v>
      </c>
      <c r="M33" s="468"/>
      <c r="N33" s="469"/>
    </row>
    <row r="34" spans="1:14" ht="13.5" customHeight="1" thickBot="1" x14ac:dyDescent="0.25">
      <c r="A34" s="1738" t="s">
        <v>653</v>
      </c>
      <c r="B34" s="1739"/>
      <c r="C34" s="1740">
        <f>SUM(C25:C33)</f>
        <v>54</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14537</v>
      </c>
      <c r="M34" s="468"/>
      <c r="N34" s="480"/>
    </row>
    <row r="35" spans="1:14" ht="18" customHeight="1" thickTop="1" x14ac:dyDescent="0.2">
      <c r="A35" s="2121" t="s">
        <v>528</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288150</v>
      </c>
    </row>
    <row r="37" spans="1:14" ht="13.5" thickBot="1" x14ac:dyDescent="0.25">
      <c r="A37" s="1736" t="s">
        <v>652</v>
      </c>
      <c r="B37" s="1741"/>
      <c r="C37" s="477"/>
      <c r="D37" s="477"/>
      <c r="E37" s="477"/>
      <c r="F37" s="477"/>
      <c r="G37" s="477"/>
      <c r="H37" s="477"/>
      <c r="I37" s="477"/>
      <c r="J37" s="477"/>
      <c r="K37" s="477"/>
      <c r="L37" s="480"/>
      <c r="M37" s="468"/>
      <c r="N37" s="1688">
        <f>SUM(N36:N36)</f>
        <v>288150</v>
      </c>
    </row>
    <row r="38" spans="1:14" s="329" customFormat="1" ht="13.5" customHeight="1" thickTop="1" x14ac:dyDescent="0.2">
      <c r="A38" s="496" t="s">
        <v>419</v>
      </c>
      <c r="B38" s="483">
        <v>714</v>
      </c>
      <c r="C38" s="466">
        <v>11228</v>
      </c>
      <c r="D38" s="466">
        <v>0</v>
      </c>
      <c r="E38" s="466">
        <v>0</v>
      </c>
      <c r="F38" s="466">
        <v>0</v>
      </c>
      <c r="G38" s="466">
        <v>0</v>
      </c>
      <c r="H38" s="466">
        <v>32406</v>
      </c>
      <c r="I38" s="466">
        <v>0</v>
      </c>
      <c r="J38" s="467">
        <v>0</v>
      </c>
      <c r="K38" s="466">
        <v>0</v>
      </c>
      <c r="L38" s="481"/>
      <c r="M38" s="497"/>
      <c r="N38" s="497"/>
    </row>
    <row r="39" spans="1:14" s="329" customFormat="1" ht="13.5" customHeight="1" x14ac:dyDescent="0.2">
      <c r="A39" s="496" t="s">
        <v>341</v>
      </c>
      <c r="B39" s="483">
        <v>730</v>
      </c>
      <c r="C39" s="466">
        <f>'Acct Summary 7-8'!C81-C38</f>
        <v>1115123</v>
      </c>
      <c r="D39" s="466">
        <f>'Acct Summary 7-8'!D81-D38</f>
        <v>64503</v>
      </c>
      <c r="E39" s="466">
        <f>'Acct Summary 7-8'!E81-E38</f>
        <v>4534</v>
      </c>
      <c r="F39" s="466">
        <f>'Acct Summary 7-8'!F81-F38</f>
        <v>88770</v>
      </c>
      <c r="G39" s="466">
        <f>'Acct Summary 7-8'!G81-G38</f>
        <v>25576</v>
      </c>
      <c r="H39" s="466">
        <f>'Acct Summary 7-8'!H81-H38</f>
        <v>90463</v>
      </c>
      <c r="I39" s="466">
        <f>'Acct Summary 7-8'!I81-I38</f>
        <v>150226</v>
      </c>
      <c r="J39" s="466">
        <f>'Acct Summary 7-8'!J81-J38</f>
        <v>56691</v>
      </c>
      <c r="K39" s="466">
        <f>'Acct Summary 7-8'!K81-K38</f>
        <v>30683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2571306</v>
      </c>
      <c r="N40" s="497"/>
    </row>
    <row r="41" spans="1:14" ht="13.5" customHeight="1" thickBot="1" x14ac:dyDescent="0.25">
      <c r="A41" s="1736" t="s">
        <v>654</v>
      </c>
      <c r="B41" s="1706"/>
      <c r="C41" s="1688">
        <f>(SUM(C34,C37,C38,C39))</f>
        <v>1126405</v>
      </c>
      <c r="D41" s="1688">
        <f t="shared" ref="D41:L41" si="2">SUM(D34,D37,D38:D39)</f>
        <v>64503</v>
      </c>
      <c r="E41" s="1688">
        <f t="shared" si="2"/>
        <v>4534</v>
      </c>
      <c r="F41" s="1688">
        <f t="shared" si="2"/>
        <v>88770</v>
      </c>
      <c r="G41" s="1688">
        <f t="shared" si="2"/>
        <v>25576</v>
      </c>
      <c r="H41" s="1688">
        <f t="shared" si="2"/>
        <v>122869</v>
      </c>
      <c r="I41" s="1688">
        <f t="shared" si="2"/>
        <v>150226</v>
      </c>
      <c r="J41" s="1688">
        <f t="shared" si="2"/>
        <v>56691</v>
      </c>
      <c r="K41" s="1688">
        <f t="shared" si="2"/>
        <v>30683</v>
      </c>
      <c r="L41" s="1688">
        <f t="shared" si="2"/>
        <v>14537</v>
      </c>
      <c r="M41" s="1688">
        <f>SUM(M40)</f>
        <v>2571306</v>
      </c>
      <c r="N41" s="1688">
        <f>SUM(N37)</f>
        <v>288150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24"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3" t="s">
        <v>1174</v>
      </c>
      <c r="B3" s="2144"/>
      <c r="C3" s="1573"/>
      <c r="D3" s="1574"/>
      <c r="E3" s="1574"/>
      <c r="F3" s="1574"/>
      <c r="G3" s="1574"/>
      <c r="H3" s="1574"/>
      <c r="I3" s="1574"/>
      <c r="J3" s="1574"/>
      <c r="K3" s="1575"/>
      <c r="L3" s="506"/>
    </row>
    <row r="4" spans="1:13" ht="15.75" customHeight="1" x14ac:dyDescent="0.2">
      <c r="A4" s="1928" t="s">
        <v>1498</v>
      </c>
      <c r="B4" s="1929">
        <v>1000</v>
      </c>
      <c r="C4" s="1742">
        <f>'Revenues 9-14'!C109</f>
        <v>239877</v>
      </c>
      <c r="D4" s="1742">
        <f>'Revenues 9-14'!D109</f>
        <v>96336</v>
      </c>
      <c r="E4" s="1742">
        <f>'Revenues 9-14'!E109</f>
        <v>60700</v>
      </c>
      <c r="F4" s="1742">
        <f>'Revenues 9-14'!F109</f>
        <v>19863</v>
      </c>
      <c r="G4" s="1742">
        <f>'Revenues 9-14'!G109</f>
        <v>87803</v>
      </c>
      <c r="H4" s="1742">
        <f>'Revenues 9-14'!H109</f>
        <v>71764</v>
      </c>
      <c r="I4" s="1742">
        <f>'Revenues 9-14'!I109</f>
        <v>8516</v>
      </c>
      <c r="J4" s="1742">
        <f>'Revenues 9-14'!J109</f>
        <v>54836</v>
      </c>
      <c r="K4" s="1742">
        <f>'Revenues 9-14'!K109</f>
        <v>8040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1637707</v>
      </c>
      <c r="D6" s="1743">
        <f>'Revenues 9-14'!D170</f>
        <v>0</v>
      </c>
      <c r="E6" s="1743">
        <f>'Revenues 9-14'!E170</f>
        <v>0</v>
      </c>
      <c r="F6" s="1743">
        <f>'Revenues 9-14'!F170</f>
        <v>147480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292933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2170517</v>
      </c>
      <c r="D8" s="1688">
        <f t="shared" ref="D8:K8" si="0">SUM(D4:D7)</f>
        <v>96336</v>
      </c>
      <c r="E8" s="1688">
        <f t="shared" si="0"/>
        <v>60700</v>
      </c>
      <c r="F8" s="1688">
        <f t="shared" si="0"/>
        <v>167343</v>
      </c>
      <c r="G8" s="1688">
        <f t="shared" si="0"/>
        <v>87803</v>
      </c>
      <c r="H8" s="1688">
        <f t="shared" si="0"/>
        <v>71764</v>
      </c>
      <c r="I8" s="1688">
        <f t="shared" si="0"/>
        <v>8516</v>
      </c>
      <c r="J8" s="1688">
        <f t="shared" si="0"/>
        <v>54836</v>
      </c>
      <c r="K8" s="1688">
        <f t="shared" si="0"/>
        <v>8040</v>
      </c>
      <c r="L8" s="347"/>
    </row>
    <row r="9" spans="1:13" ht="15.75" thickTop="1" x14ac:dyDescent="0.2">
      <c r="A9" s="514" t="s">
        <v>1652</v>
      </c>
      <c r="B9" s="515">
        <v>3998</v>
      </c>
      <c r="C9" s="481">
        <v>699908</v>
      </c>
      <c r="D9" s="516"/>
      <c r="E9" s="481"/>
      <c r="F9" s="481"/>
      <c r="G9" s="517"/>
      <c r="H9" s="481"/>
      <c r="I9" s="509" t="s">
        <v>1168</v>
      </c>
      <c r="J9" s="478"/>
      <c r="K9" s="481"/>
      <c r="L9" s="347"/>
    </row>
    <row r="10" spans="1:13" s="519" customFormat="1" ht="13.5" thickBot="1" x14ac:dyDescent="0.25">
      <c r="A10" s="1736" t="s">
        <v>1172</v>
      </c>
      <c r="B10" s="1709"/>
      <c r="C10" s="1688">
        <f>SUM(C8:C9)</f>
        <v>2870425</v>
      </c>
      <c r="D10" s="1688">
        <f t="shared" ref="D10:K10" si="1">SUM(D8:D9)</f>
        <v>96336</v>
      </c>
      <c r="E10" s="1688">
        <f t="shared" si="1"/>
        <v>60700</v>
      </c>
      <c r="F10" s="1688">
        <f t="shared" si="1"/>
        <v>167343</v>
      </c>
      <c r="G10" s="1688">
        <f t="shared" si="1"/>
        <v>87803</v>
      </c>
      <c r="H10" s="1688">
        <f t="shared" si="1"/>
        <v>71764</v>
      </c>
      <c r="I10" s="1688">
        <f t="shared" si="1"/>
        <v>8516</v>
      </c>
      <c r="J10" s="1688">
        <f t="shared" si="1"/>
        <v>54836</v>
      </c>
      <c r="K10" s="1688">
        <f t="shared" si="1"/>
        <v>8040</v>
      </c>
      <c r="L10" s="518"/>
    </row>
    <row r="11" spans="1:13" s="519" customFormat="1" ht="16.7" customHeight="1" thickTop="1" x14ac:dyDescent="0.2">
      <c r="A11" s="2117" t="s">
        <v>1175</v>
      </c>
      <c r="B11" s="2118"/>
      <c r="C11" s="1570"/>
      <c r="D11" s="1571"/>
      <c r="E11" s="1571"/>
      <c r="F11" s="1571"/>
      <c r="G11" s="1571"/>
      <c r="H11" s="1571"/>
      <c r="I11" s="1571"/>
      <c r="J11" s="1571"/>
      <c r="K11" s="1572"/>
      <c r="L11" s="518"/>
    </row>
    <row r="12" spans="1:13" ht="15.75" customHeight="1" x14ac:dyDescent="0.2">
      <c r="A12" s="1576" t="s">
        <v>455</v>
      </c>
      <c r="B12" s="1578">
        <v>1000</v>
      </c>
      <c r="C12" s="1742">
        <f>'Expenditures 15-22'!K33</f>
        <v>1156916</v>
      </c>
      <c r="D12" s="520" t="s">
        <v>1168</v>
      </c>
      <c r="E12" s="468" t="s">
        <v>1168</v>
      </c>
      <c r="F12" s="468" t="s">
        <v>1168</v>
      </c>
      <c r="G12" s="1742">
        <f>'Expenditures 15-22'!K229</f>
        <v>27169</v>
      </c>
      <c r="H12" s="521"/>
      <c r="I12" s="468" t="s">
        <v>1168</v>
      </c>
      <c r="J12" s="468" t="s">
        <v>1168</v>
      </c>
      <c r="K12" s="521" t="s">
        <v>1168</v>
      </c>
      <c r="L12" s="347"/>
    </row>
    <row r="13" spans="1:13" ht="15.75" customHeight="1" x14ac:dyDescent="0.2">
      <c r="A13" s="1576" t="s">
        <v>456</v>
      </c>
      <c r="B13" s="1578">
        <v>2000</v>
      </c>
      <c r="C13" s="1743">
        <f>'Expenditures 15-22'!K74</f>
        <v>678560</v>
      </c>
      <c r="D13" s="1743">
        <f>'Expenditures 15-22'!K129</f>
        <v>126810</v>
      </c>
      <c r="E13" s="469" t="s">
        <v>1168</v>
      </c>
      <c r="F13" s="1743">
        <f>'Expenditures 15-22'!K184</f>
        <v>222300</v>
      </c>
      <c r="G13" s="1743">
        <f>'Expenditures 15-22'!K279</f>
        <v>53532</v>
      </c>
      <c r="H13" s="1743">
        <f>'Expenditures 15-22'!K303</f>
        <v>91648</v>
      </c>
      <c r="I13" s="468" t="s">
        <v>1168</v>
      </c>
      <c r="J13" s="1743">
        <f>'Expenditures 15-22'!K330</f>
        <v>52913</v>
      </c>
      <c r="K13" s="1747">
        <f>'Expenditures 15-22'!K352</f>
        <v>0</v>
      </c>
      <c r="L13" s="347"/>
    </row>
    <row r="14" spans="1:13" ht="15.75" customHeight="1" x14ac:dyDescent="0.2">
      <c r="A14" s="1576" t="s">
        <v>448</v>
      </c>
      <c r="B14" s="1578">
        <v>3000</v>
      </c>
      <c r="C14" s="1743">
        <f>'Expenditures 15-22'!K75</f>
        <v>1303</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460469</v>
      </c>
      <c r="D15" s="1743">
        <f>'Expenditures 15-22'!K139</f>
        <v>30966</v>
      </c>
      <c r="E15" s="1743">
        <f>'Expenditures 15-22'!K160</f>
        <v>0</v>
      </c>
      <c r="F15" s="1743">
        <f>'Expenditures 15-22'!K196</f>
        <v>0</v>
      </c>
      <c r="G15" s="1743">
        <f>'Expenditures 15-22'!K285</f>
        <v>3258</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76774</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2297248</v>
      </c>
      <c r="D17" s="1688">
        <f t="shared" si="2"/>
        <v>157776</v>
      </c>
      <c r="E17" s="1688">
        <f t="shared" si="2"/>
        <v>76774</v>
      </c>
      <c r="F17" s="1688">
        <f t="shared" si="2"/>
        <v>222300</v>
      </c>
      <c r="G17" s="1688">
        <f t="shared" si="2"/>
        <v>83959</v>
      </c>
      <c r="H17" s="1688">
        <f t="shared" si="2"/>
        <v>91648</v>
      </c>
      <c r="I17" s="468"/>
      <c r="J17" s="1688">
        <f>SUM(J12:J16)</f>
        <v>52913</v>
      </c>
      <c r="K17" s="1688">
        <f>SUM(K12:K16)</f>
        <v>0</v>
      </c>
      <c r="L17" s="347"/>
    </row>
    <row r="18" spans="1:12" ht="15" customHeight="1" thickTop="1" x14ac:dyDescent="0.2">
      <c r="A18" s="1744" t="s">
        <v>1653</v>
      </c>
      <c r="B18" s="1745">
        <v>4180</v>
      </c>
      <c r="C18" s="1742">
        <f t="shared" ref="C18:H18" si="3">C9</f>
        <v>699908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2997156</v>
      </c>
      <c r="D19" s="1688">
        <f t="shared" si="4"/>
        <v>157776</v>
      </c>
      <c r="E19" s="1688">
        <f t="shared" si="4"/>
        <v>76774</v>
      </c>
      <c r="F19" s="1688">
        <f t="shared" si="4"/>
        <v>222300</v>
      </c>
      <c r="G19" s="1688">
        <f t="shared" si="4"/>
        <v>83959</v>
      </c>
      <c r="H19" s="1688">
        <f t="shared" si="4"/>
        <v>91648</v>
      </c>
      <c r="I19" s="468"/>
      <c r="J19" s="1688">
        <f>SUM(J17:J18)</f>
        <v>52913</v>
      </c>
      <c r="K19" s="1688">
        <f>SUM(K17:K18)</f>
        <v>0</v>
      </c>
      <c r="L19" s="347"/>
    </row>
    <row r="20" spans="1:12" ht="16.5" thickTop="1" thickBot="1" x14ac:dyDescent="0.25">
      <c r="A20" s="2133" t="s">
        <v>1654</v>
      </c>
      <c r="B20" s="2134"/>
      <c r="C20" s="1746">
        <f>C8-C17</f>
        <v>-126731</v>
      </c>
      <c r="D20" s="1746">
        <f t="shared" ref="D20:K20" si="5">D8-D17</f>
        <v>-61440</v>
      </c>
      <c r="E20" s="1746">
        <f t="shared" si="5"/>
        <v>-16074</v>
      </c>
      <c r="F20" s="1746">
        <f t="shared" si="5"/>
        <v>-54957</v>
      </c>
      <c r="G20" s="1746">
        <f t="shared" si="5"/>
        <v>3844</v>
      </c>
      <c r="H20" s="1746">
        <f t="shared" si="5"/>
        <v>-19884</v>
      </c>
      <c r="I20" s="1746">
        <f t="shared" si="5"/>
        <v>8516</v>
      </c>
      <c r="J20" s="1746">
        <f t="shared" si="5"/>
        <v>1923</v>
      </c>
      <c r="K20" s="1746">
        <f t="shared" si="5"/>
        <v>8040</v>
      </c>
      <c r="L20" s="347"/>
    </row>
    <row r="21" spans="1:12" ht="16.7" customHeight="1" thickTop="1" x14ac:dyDescent="0.2">
      <c r="A21" s="2145" t="s">
        <v>594</v>
      </c>
      <c r="B21" s="2146"/>
      <c r="C21" s="1570"/>
      <c r="D21" s="1571"/>
      <c r="E21" s="1571"/>
      <c r="F21" s="1571"/>
      <c r="G21" s="1571"/>
      <c r="H21" s="1571"/>
      <c r="I21" s="1571"/>
      <c r="J21" s="1571"/>
      <c r="K21" s="1572"/>
      <c r="L21" s="524"/>
    </row>
    <row r="22" spans="1:12" ht="15.75" customHeight="1" collapsed="1" x14ac:dyDescent="0.2">
      <c r="A22" s="2141" t="s">
        <v>595</v>
      </c>
      <c r="B22" s="2142"/>
      <c r="C22" s="477"/>
      <c r="D22" s="477"/>
      <c r="E22" s="477"/>
      <c r="F22" s="477"/>
      <c r="G22" s="477"/>
      <c r="H22" s="477"/>
      <c r="I22" s="477"/>
      <c r="J22" s="477"/>
      <c r="K22" s="477"/>
      <c r="L22" s="347"/>
    </row>
    <row r="23" spans="1:12" s="485" customFormat="1" ht="15.75" customHeight="1" x14ac:dyDescent="0.2">
      <c r="A23" s="2137" t="s">
        <v>292</v>
      </c>
      <c r="B23" s="2138"/>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v>90000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9" t="s">
        <v>980</v>
      </c>
      <c r="B32" s="2140"/>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v>100150</v>
      </c>
      <c r="I33" s="467">
        <v>188000</v>
      </c>
      <c r="J33" s="467"/>
      <c r="K33" s="467"/>
      <c r="L33" s="524"/>
    </row>
    <row r="34" spans="1:12" s="485" customFormat="1" x14ac:dyDescent="0.2">
      <c r="A34" s="1489" t="s">
        <v>1000</v>
      </c>
      <c r="B34" s="525">
        <v>7220</v>
      </c>
      <c r="C34" s="467"/>
      <c r="D34" s="467"/>
      <c r="E34" s="467">
        <v>14924</v>
      </c>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7" t="s">
        <v>373</v>
      </c>
      <c r="B44" s="2148"/>
      <c r="C44" s="1703">
        <f>SUM(C24:C43)</f>
        <v>0</v>
      </c>
      <c r="D44" s="1703">
        <f t="shared" ref="D44:K44" si="6">SUM(D24:D43)</f>
        <v>0</v>
      </c>
      <c r="E44" s="1703">
        <f t="shared" si="6"/>
        <v>14924</v>
      </c>
      <c r="F44" s="1703">
        <f t="shared" si="6"/>
        <v>90000</v>
      </c>
      <c r="G44" s="1703">
        <f t="shared" si="6"/>
        <v>0</v>
      </c>
      <c r="H44" s="1703">
        <f t="shared" si="6"/>
        <v>100150</v>
      </c>
      <c r="I44" s="1703">
        <f t="shared" si="6"/>
        <v>188000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90000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23" t="s">
        <v>439</v>
      </c>
      <c r="B76" s="2124"/>
      <c r="C76" s="1703">
        <f t="shared" ref="C76:K76" si="7">SUM(C47:C75)</f>
        <v>0</v>
      </c>
      <c r="D76" s="1703">
        <f t="shared" si="7"/>
        <v>0</v>
      </c>
      <c r="E76" s="1703">
        <f t="shared" si="7"/>
        <v>0</v>
      </c>
      <c r="F76" s="1703">
        <f t="shared" si="7"/>
        <v>0</v>
      </c>
      <c r="G76" s="1703">
        <f t="shared" si="7"/>
        <v>0</v>
      </c>
      <c r="H76" s="1703">
        <f t="shared" si="7"/>
        <v>0</v>
      </c>
      <c r="I76" s="1703">
        <f t="shared" si="7"/>
        <v>90000</v>
      </c>
      <c r="J76" s="1703">
        <f t="shared" si="7"/>
        <v>0</v>
      </c>
      <c r="K76" s="1703">
        <f t="shared" si="7"/>
        <v>0</v>
      </c>
      <c r="L76" s="524"/>
    </row>
    <row r="77" spans="1:12" ht="14.25" thickTop="1" thickBot="1" x14ac:dyDescent="0.25">
      <c r="A77" s="2125" t="s">
        <v>1176</v>
      </c>
      <c r="B77" s="2126"/>
      <c r="C77" s="1703">
        <f t="shared" ref="C77:K77" si="8">C44-C76</f>
        <v>0</v>
      </c>
      <c r="D77" s="1703">
        <f t="shared" si="8"/>
        <v>0</v>
      </c>
      <c r="E77" s="1703">
        <f t="shared" si="8"/>
        <v>14924</v>
      </c>
      <c r="F77" s="1703">
        <f t="shared" si="8"/>
        <v>90000</v>
      </c>
      <c r="G77" s="1703">
        <f t="shared" si="8"/>
        <v>0</v>
      </c>
      <c r="H77" s="1703">
        <f t="shared" si="8"/>
        <v>100150</v>
      </c>
      <c r="I77" s="1703">
        <f t="shared" si="8"/>
        <v>98000</v>
      </c>
      <c r="J77" s="1703">
        <f t="shared" si="8"/>
        <v>0</v>
      </c>
      <c r="K77" s="1703">
        <f t="shared" si="8"/>
        <v>0</v>
      </c>
      <c r="L77" s="347"/>
    </row>
    <row r="78" spans="1:12" ht="21.75" customHeight="1" thickTop="1" thickBot="1" x14ac:dyDescent="0.25">
      <c r="A78" s="2129" t="s">
        <v>596</v>
      </c>
      <c r="B78" s="2130"/>
      <c r="C78" s="1702">
        <f t="shared" ref="C78:K78" si="9">C20+C77</f>
        <v>-126731</v>
      </c>
      <c r="D78" s="1702">
        <f t="shared" si="9"/>
        <v>-61440</v>
      </c>
      <c r="E78" s="1702">
        <f t="shared" si="9"/>
        <v>-1150</v>
      </c>
      <c r="F78" s="1702">
        <f t="shared" si="9"/>
        <v>35043</v>
      </c>
      <c r="G78" s="1702">
        <f t="shared" si="9"/>
        <v>3844</v>
      </c>
      <c r="H78" s="1702">
        <f t="shared" si="9"/>
        <v>80266</v>
      </c>
      <c r="I78" s="1702">
        <f t="shared" si="9"/>
        <v>106516</v>
      </c>
      <c r="J78" s="1702">
        <f t="shared" si="9"/>
        <v>1923</v>
      </c>
      <c r="K78" s="1702">
        <f t="shared" si="9"/>
        <v>8040</v>
      </c>
      <c r="L78" s="533"/>
    </row>
    <row r="79" spans="1:12" ht="13.5" thickTop="1" x14ac:dyDescent="0.2">
      <c r="A79" s="1494" t="s">
        <v>1946</v>
      </c>
      <c r="B79" s="534"/>
      <c r="C79" s="478">
        <v>1253082</v>
      </c>
      <c r="D79" s="535">
        <v>125943</v>
      </c>
      <c r="E79" s="535">
        <v>5684</v>
      </c>
      <c r="F79" s="535">
        <v>53727</v>
      </c>
      <c r="G79" s="535">
        <v>21732</v>
      </c>
      <c r="H79" s="535">
        <v>42603</v>
      </c>
      <c r="I79" s="535">
        <v>43710</v>
      </c>
      <c r="J79" s="535">
        <v>54768</v>
      </c>
      <c r="K79" s="535">
        <v>22643</v>
      </c>
      <c r="L79" s="347"/>
    </row>
    <row r="80" spans="1:12" x14ac:dyDescent="0.2">
      <c r="A80" s="2135" t="s">
        <v>1794</v>
      </c>
      <c r="B80" s="2136"/>
      <c r="C80" s="467"/>
      <c r="D80" s="467"/>
      <c r="E80" s="467"/>
      <c r="F80" s="467"/>
      <c r="G80" s="467"/>
      <c r="H80" s="467"/>
      <c r="I80" s="467"/>
      <c r="J80" s="467"/>
      <c r="K80" s="467"/>
      <c r="L80" s="347"/>
    </row>
    <row r="81" spans="1:12" ht="13.5" thickBot="1" x14ac:dyDescent="0.25">
      <c r="A81" s="2127" t="s">
        <v>1947</v>
      </c>
      <c r="B81" s="2128"/>
      <c r="C81" s="1688">
        <f>(SUM(C78:C80))</f>
        <v>1126351</v>
      </c>
      <c r="D81" s="1688">
        <f>SUM(D78:D80)</f>
        <v>64503</v>
      </c>
      <c r="E81" s="1688">
        <f t="shared" ref="E81:K81" si="10">SUM(E78:E80)</f>
        <v>4534</v>
      </c>
      <c r="F81" s="1688">
        <f t="shared" si="10"/>
        <v>88770</v>
      </c>
      <c r="G81" s="1688">
        <f t="shared" si="10"/>
        <v>25576</v>
      </c>
      <c r="H81" s="1688">
        <f t="shared" si="10"/>
        <v>122869</v>
      </c>
      <c r="I81" s="1688">
        <f t="shared" si="10"/>
        <v>150226</v>
      </c>
      <c r="J81" s="1688">
        <f t="shared" si="10"/>
        <v>56691</v>
      </c>
      <c r="K81" s="1688">
        <f t="shared" si="10"/>
        <v>30683</v>
      </c>
      <c r="L81" s="347"/>
    </row>
    <row r="82" spans="1:12" ht="0.75" customHeight="1" thickTop="1" thickBot="1" x14ac:dyDescent="0.25">
      <c r="A82" s="536" t="s">
        <v>342</v>
      </c>
      <c r="B82" s="537"/>
      <c r="C82" s="538">
        <f>(C81-C79)</f>
        <v>-126731</v>
      </c>
      <c r="D82" s="538">
        <f t="shared" ref="D82:K82" si="11">(D81-D79)</f>
        <v>-61440</v>
      </c>
      <c r="E82" s="538">
        <f t="shared" si="11"/>
        <v>-1150</v>
      </c>
      <c r="F82" s="538">
        <f t="shared" si="11"/>
        <v>35043</v>
      </c>
      <c r="G82" s="538">
        <f t="shared" si="11"/>
        <v>3844</v>
      </c>
      <c r="H82" s="538">
        <f t="shared" si="11"/>
        <v>80266</v>
      </c>
      <c r="I82" s="538">
        <f t="shared" si="11"/>
        <v>106516</v>
      </c>
      <c r="J82" s="538">
        <f t="shared" si="11"/>
        <v>1923</v>
      </c>
      <c r="K82" s="538">
        <f t="shared" si="11"/>
        <v>8040</v>
      </c>
    </row>
    <row r="83" spans="1:12" ht="14.25" hidden="1" thickTop="1" thickBot="1" x14ac:dyDescent="0.25">
      <c r="A83" s="539" t="s">
        <v>343</v>
      </c>
      <c r="B83" s="464"/>
      <c r="C83" s="540">
        <f>C82/C81</f>
        <v>-0.11251466017253947</v>
      </c>
      <c r="D83" s="540">
        <f t="shared" ref="D83:K83" si="12">D82/D81</f>
        <v>-0.95251383656574118</v>
      </c>
      <c r="E83" s="540">
        <f t="shared" si="12"/>
        <v>-0.25363917071018965</v>
      </c>
      <c r="F83" s="540">
        <f t="shared" si="12"/>
        <v>0.39476174383237578</v>
      </c>
      <c r="G83" s="540">
        <f t="shared" si="12"/>
        <v>0.15029715358148263</v>
      </c>
      <c r="H83" s="540">
        <f t="shared" si="12"/>
        <v>0.65326485932171663</v>
      </c>
      <c r="I83" s="540">
        <f t="shared" si="12"/>
        <v>0.70903838217086257</v>
      </c>
      <c r="J83" s="540">
        <f t="shared" si="12"/>
        <v>3.3920728157908663E-2</v>
      </c>
      <c r="K83" s="540">
        <f t="shared" si="12"/>
        <v>0.26203435126943259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1801</v>
      </c>
      <c r="B1" s="452"/>
      <c r="C1" s="453" t="s">
        <v>424</v>
      </c>
      <c r="D1" s="453" t="s">
        <v>425</v>
      </c>
      <c r="E1" s="453" t="s">
        <v>426</v>
      </c>
      <c r="F1" s="453" t="s">
        <v>427</v>
      </c>
      <c r="G1" s="453" t="s">
        <v>428</v>
      </c>
      <c r="H1" s="453" t="s">
        <v>429</v>
      </c>
      <c r="I1" s="453" t="s">
        <v>430</v>
      </c>
      <c r="J1" s="453" t="s">
        <v>431</v>
      </c>
      <c r="K1" s="453" t="s">
        <v>755</v>
      </c>
    </row>
    <row r="2" spans="1:12" ht="36" x14ac:dyDescent="0.2">
      <c r="A2" s="213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185985</v>
      </c>
      <c r="D5" s="481">
        <v>39947</v>
      </c>
      <c r="E5" s="466">
        <v>60700</v>
      </c>
      <c r="F5" s="548">
        <v>19174</v>
      </c>
      <c r="G5" s="466">
        <v>47492</v>
      </c>
      <c r="H5" s="466"/>
      <c r="I5" s="466">
        <v>7989</v>
      </c>
      <c r="J5" s="467">
        <v>54417</v>
      </c>
      <c r="K5" s="466">
        <v>7989</v>
      </c>
    </row>
    <row r="6" spans="1:12" ht="15" x14ac:dyDescent="0.2">
      <c r="A6" s="463" t="s">
        <v>1661</v>
      </c>
      <c r="B6" s="470">
        <v>1130</v>
      </c>
      <c r="C6" s="466">
        <v>7817</v>
      </c>
      <c r="D6" s="466"/>
      <c r="E6" s="475"/>
      <c r="F6" s="475"/>
      <c r="G6" s="468"/>
      <c r="H6" s="468"/>
      <c r="I6" s="468"/>
      <c r="J6" s="468"/>
      <c r="K6" s="468"/>
    </row>
    <row r="7" spans="1:12" x14ac:dyDescent="0.2">
      <c r="A7" s="463" t="s">
        <v>110</v>
      </c>
      <c r="B7" s="549">
        <v>1140</v>
      </c>
      <c r="C7" s="466">
        <v>3196</v>
      </c>
      <c r="D7" s="466"/>
      <c r="E7" s="468"/>
      <c r="F7" s="467"/>
      <c r="G7" s="467"/>
      <c r="H7" s="467"/>
      <c r="I7" s="468"/>
      <c r="J7" s="468"/>
      <c r="K7" s="468"/>
    </row>
    <row r="8" spans="1:12" x14ac:dyDescent="0.2">
      <c r="A8" s="463" t="s">
        <v>412</v>
      </c>
      <c r="B8" s="470">
        <v>1150</v>
      </c>
      <c r="C8" s="475"/>
      <c r="D8" s="475"/>
      <c r="E8" s="477"/>
      <c r="F8" s="477"/>
      <c r="G8" s="481">
        <v>39576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196998</v>
      </c>
      <c r="D12" s="1707">
        <f t="shared" si="0"/>
        <v>39947</v>
      </c>
      <c r="E12" s="1707">
        <f t="shared" si="0"/>
        <v>60700</v>
      </c>
      <c r="F12" s="1707">
        <f t="shared" si="0"/>
        <v>19174</v>
      </c>
      <c r="G12" s="1707">
        <f t="shared" si="0"/>
        <v>87068</v>
      </c>
      <c r="H12" s="1707">
        <f t="shared" si="0"/>
        <v>0</v>
      </c>
      <c r="I12" s="1707">
        <f t="shared" si="0"/>
        <v>7989</v>
      </c>
      <c r="J12" s="1707">
        <f t="shared" si="0"/>
        <v>54417</v>
      </c>
      <c r="K12" s="1688">
        <f t="shared" si="0"/>
        <v>7989</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20</v>
      </c>
      <c r="D16" s="466">
        <v>48289</v>
      </c>
      <c r="E16" s="466"/>
      <c r="F16" s="466"/>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20</v>
      </c>
      <c r="D18" s="1710">
        <f t="shared" ref="D18:K18" si="1">SUM(D14:D17)</f>
        <v>48289</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18968</v>
      </c>
      <c r="D65" s="466">
        <v>230</v>
      </c>
      <c r="E65" s="466"/>
      <c r="F65" s="467">
        <v>193</v>
      </c>
      <c r="G65" s="466">
        <v>735</v>
      </c>
      <c r="H65" s="466"/>
      <c r="I65" s="466">
        <v>527</v>
      </c>
      <c r="J65" s="467">
        <v>419</v>
      </c>
      <c r="K65" s="466">
        <v>51</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18968</v>
      </c>
      <c r="D67" s="1688">
        <f t="shared" ref="D67:K67" si="2">SUM(D65:D66)</f>
        <v>230</v>
      </c>
      <c r="E67" s="1688">
        <f t="shared" si="2"/>
        <v>0</v>
      </c>
      <c r="F67" s="1688">
        <f t="shared" si="2"/>
        <v>193</v>
      </c>
      <c r="G67" s="1688">
        <f t="shared" si="2"/>
        <v>735</v>
      </c>
      <c r="H67" s="1688">
        <f t="shared" si="2"/>
        <v>0</v>
      </c>
      <c r="I67" s="1688">
        <f t="shared" si="2"/>
        <v>527</v>
      </c>
      <c r="J67" s="1688">
        <f t="shared" si="2"/>
        <v>419</v>
      </c>
      <c r="K67" s="1688">
        <f t="shared" si="2"/>
        <v>51</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c r="D69" s="468"/>
      <c r="E69" s="468"/>
      <c r="F69" s="468"/>
      <c r="G69" s="468"/>
      <c r="H69" s="468"/>
      <c r="I69" s="468"/>
      <c r="J69" s="468"/>
      <c r="K69" s="468"/>
    </row>
    <row r="70" spans="1:11" ht="12.75" customHeight="1" x14ac:dyDescent="0.2">
      <c r="A70" s="463" t="s">
        <v>996</v>
      </c>
      <c r="B70" s="470">
        <v>1612</v>
      </c>
      <c r="C70" s="551">
        <v>125</v>
      </c>
      <c r="D70" s="468"/>
      <c r="E70" s="468"/>
      <c r="F70" s="468"/>
      <c r="G70" s="468"/>
      <c r="H70" s="468"/>
      <c r="I70" s="468"/>
      <c r="J70" s="468"/>
      <c r="K70" s="468"/>
    </row>
    <row r="71" spans="1:11" ht="12.75" customHeight="1" x14ac:dyDescent="0.2">
      <c r="A71" s="463" t="s">
        <v>272</v>
      </c>
      <c r="B71" s="470">
        <v>1613</v>
      </c>
      <c r="C71" s="551">
        <v>920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1045</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3751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3751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436</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436</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309</v>
      </c>
      <c r="D95" s="551">
        <v>7870</v>
      </c>
      <c r="E95" s="521"/>
      <c r="F95" s="521"/>
      <c r="G95" s="521"/>
      <c r="H95" s="521"/>
      <c r="I95" s="521"/>
      <c r="J95" s="521"/>
      <c r="K95" s="521"/>
    </row>
    <row r="96" spans="1:11" ht="12.75" customHeight="1" x14ac:dyDescent="0.2">
      <c r="A96" s="463" t="s">
        <v>390</v>
      </c>
      <c r="B96" s="470">
        <v>1920</v>
      </c>
      <c r="C96" s="551">
        <v>250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5140</v>
      </c>
      <c r="D99" s="466"/>
      <c r="E99" s="466"/>
      <c r="F99" s="466">
        <v>496</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71764</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12960</v>
      </c>
      <c r="D107" s="466"/>
      <c r="E107" s="466"/>
      <c r="F107" s="466"/>
      <c r="G107" s="466"/>
      <c r="H107" s="466"/>
      <c r="I107" s="466"/>
      <c r="J107" s="467"/>
      <c r="K107" s="466"/>
    </row>
    <row r="108" spans="1:12" ht="12.75" customHeight="1" thickBot="1" x14ac:dyDescent="0.25">
      <c r="A108" s="1708" t="s">
        <v>486</v>
      </c>
      <c r="B108" s="1712"/>
      <c r="C108" s="1707">
        <f>SUM(C95:C107)</f>
        <v>18659</v>
      </c>
      <c r="D108" s="1707">
        <f t="shared" ref="D108:K108" si="3">SUM(D95:D107)</f>
        <v>7870</v>
      </c>
      <c r="E108" s="1707">
        <f t="shared" si="3"/>
        <v>0</v>
      </c>
      <c r="F108" s="1707">
        <f t="shared" si="3"/>
        <v>496</v>
      </c>
      <c r="G108" s="1707">
        <f t="shared" si="3"/>
        <v>0</v>
      </c>
      <c r="H108" s="1707">
        <f t="shared" si="3"/>
        <v>71764</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239877</v>
      </c>
      <c r="D109" s="1715">
        <f t="shared" si="4"/>
        <v>96336</v>
      </c>
      <c r="E109" s="1715">
        <f t="shared" si="4"/>
        <v>60700</v>
      </c>
      <c r="F109" s="1715">
        <f t="shared" si="4"/>
        <v>19863</v>
      </c>
      <c r="G109" s="1715">
        <f t="shared" si="4"/>
        <v>87803</v>
      </c>
      <c r="H109" s="1715">
        <f t="shared" si="4"/>
        <v>71764</v>
      </c>
      <c r="I109" s="1715">
        <f t="shared" si="4"/>
        <v>8516</v>
      </c>
      <c r="J109" s="1715">
        <f t="shared" si="4"/>
        <v>54836</v>
      </c>
      <c r="K109" s="1702">
        <f t="shared" si="4"/>
        <v>8040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1463588</v>
      </c>
      <c r="D117" s="481"/>
      <c r="E117" s="466"/>
      <c r="F117" s="481">
        <v>33028</v>
      </c>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1"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1463588</v>
      </c>
      <c r="D122" s="1707">
        <f t="shared" si="5"/>
        <v>0</v>
      </c>
      <c r="E122" s="1707">
        <f t="shared" si="5"/>
        <v>0</v>
      </c>
      <c r="F122" s="1707">
        <f t="shared" si="5"/>
        <v>33028</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27892</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13861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41753</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3077</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44121</v>
      </c>
      <c r="G152" s="467"/>
      <c r="H152" s="468"/>
      <c r="I152" s="468"/>
      <c r="J152" s="468"/>
      <c r="K152" s="468"/>
    </row>
    <row r="153" spans="1:11" ht="12.75" customHeight="1" x14ac:dyDescent="0.2">
      <c r="A153" s="463" t="s">
        <v>1056</v>
      </c>
      <c r="B153" s="562">
        <v>3510</v>
      </c>
      <c r="C153" s="551"/>
      <c r="D153" s="466"/>
      <c r="E153" s="561"/>
      <c r="F153" s="466">
        <v>70331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114452</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83264</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46025</v>
      </c>
      <c r="D168" s="580"/>
      <c r="E168" s="580"/>
      <c r="F168" s="580"/>
      <c r="G168" s="581"/>
      <c r="H168" s="582"/>
      <c r="I168" s="581"/>
      <c r="J168" s="581"/>
      <c r="K168" s="582"/>
    </row>
    <row r="169" spans="1:11" ht="12.75" customHeight="1" thickTop="1" thickBot="1" x14ac:dyDescent="0.25">
      <c r="A169" s="2151" t="s">
        <v>397</v>
      </c>
      <c r="B169" s="2152"/>
      <c r="C169" s="1722">
        <f t="shared" ref="C169:K169" si="6">SUM(C132,C141,C145,C146:C150,C155,C156:C167,C168)</f>
        <v>174119</v>
      </c>
      <c r="D169" s="1722">
        <f t="shared" si="6"/>
        <v>0</v>
      </c>
      <c r="E169" s="1722">
        <f t="shared" si="6"/>
        <v>0</v>
      </c>
      <c r="F169" s="1722">
        <f t="shared" si="6"/>
        <v>114452</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1637707</v>
      </c>
      <c r="D170" s="1715">
        <f t="shared" si="7"/>
        <v>0</v>
      </c>
      <c r="E170" s="1715">
        <f t="shared" si="7"/>
        <v>0</v>
      </c>
      <c r="F170" s="1715">
        <f t="shared" si="7"/>
        <v>147480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3" t="s">
        <v>1491</v>
      </c>
      <c r="B172" s="2154"/>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7" t="s">
        <v>1664</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1663</v>
      </c>
      <c r="B176" s="2162"/>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9" t="s">
        <v>784</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1802</v>
      </c>
      <c r="B182" s="2156"/>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96418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39982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136400</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127701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127701</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7208</v>
      </c>
      <c r="D213" s="466"/>
      <c r="E213" s="468"/>
      <c r="F213" s="466"/>
      <c r="G213" s="466"/>
      <c r="H213" s="468"/>
      <c r="I213" s="468"/>
      <c r="J213" s="468"/>
      <c r="K213" s="468"/>
    </row>
    <row r="214" spans="1:11" ht="12.75" customHeight="1" x14ac:dyDescent="0.2">
      <c r="A214" s="463" t="s">
        <v>1053</v>
      </c>
      <c r="B214" s="470">
        <v>4625</v>
      </c>
      <c r="C214" s="551">
        <v>4086</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11294</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4443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1934</v>
      </c>
      <c r="B261" s="470">
        <v>4981</v>
      </c>
      <c r="C261" s="575"/>
      <c r="D261" s="576"/>
      <c r="E261" s="468"/>
      <c r="F261" s="576"/>
      <c r="G261" s="576"/>
      <c r="H261" s="468"/>
      <c r="I261" s="468"/>
      <c r="J261" s="468"/>
      <c r="K261" s="468"/>
    </row>
    <row r="262" spans="1:11" ht="12.75" customHeight="1" thickTop="1" thickBot="1" x14ac:dyDescent="0.25">
      <c r="A262" s="1932" t="s">
        <v>1935</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944</v>
      </c>
      <c r="D263" s="576"/>
      <c r="E263" s="468"/>
      <c r="F263" s="576"/>
      <c r="G263" s="576"/>
      <c r="H263" s="468"/>
      <c r="I263" s="468"/>
      <c r="J263" s="468"/>
      <c r="K263" s="468"/>
    </row>
    <row r="264" spans="1:11" ht="12.75" customHeight="1" thickTop="1" thickBot="1" x14ac:dyDescent="0.25">
      <c r="A264" s="463" t="s">
        <v>376</v>
      </c>
      <c r="B264" s="470">
        <v>4992</v>
      </c>
      <c r="C264" s="575">
        <v>12151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292933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292933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2170517</v>
      </c>
      <c r="D268" s="1715">
        <f t="shared" si="12"/>
        <v>96336</v>
      </c>
      <c r="E268" s="1715">
        <f t="shared" si="12"/>
        <v>60700</v>
      </c>
      <c r="F268" s="1715">
        <f t="shared" si="12"/>
        <v>167343</v>
      </c>
      <c r="G268" s="1715">
        <f t="shared" si="12"/>
        <v>87803</v>
      </c>
      <c r="H268" s="1715">
        <f t="shared" si="12"/>
        <v>71764</v>
      </c>
      <c r="I268" s="1715">
        <f t="shared" si="12"/>
        <v>8516</v>
      </c>
      <c r="J268" s="1715">
        <f t="shared" si="12"/>
        <v>54836</v>
      </c>
      <c r="K268" s="1702">
        <f t="shared" si="12"/>
        <v>8040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8" zoomScaleNormal="98" workbookViewId="0">
      <pane ySplit="2" topLeftCell="A315" activePane="bottomLeft" state="frozen"/>
      <selection pane="bottomLeft" activeCell="E322" sqref="E3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9" t="s">
        <v>296</v>
      </c>
      <c r="B3" s="217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665424</v>
      </c>
      <c r="D5" s="466">
        <v>75687</v>
      </c>
      <c r="E5" s="466">
        <v>51040</v>
      </c>
      <c r="F5" s="466">
        <v>33830</v>
      </c>
      <c r="G5" s="466">
        <v>33653</v>
      </c>
      <c r="H5" s="466">
        <v>15502</v>
      </c>
      <c r="I5" s="467">
        <v>779</v>
      </c>
      <c r="J5" s="467"/>
      <c r="K5" s="1671">
        <f>SUM(C5:J5)</f>
        <v>875915</v>
      </c>
      <c r="L5" s="466">
        <v>760285</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74326</v>
      </c>
      <c r="D7" s="467">
        <v>11013</v>
      </c>
      <c r="E7" s="467"/>
      <c r="F7" s="467"/>
      <c r="G7" s="467"/>
      <c r="H7" s="467"/>
      <c r="I7" s="467"/>
      <c r="J7" s="467"/>
      <c r="K7" s="1671">
        <f t="shared" ref="K7:K32" si="0">SUM(C7:J7)</f>
        <v>85339</v>
      </c>
      <c r="L7" s="466">
        <v>84590</v>
      </c>
    </row>
    <row r="8" spans="1:14" x14ac:dyDescent="0.2">
      <c r="A8" s="1504" t="s">
        <v>164</v>
      </c>
      <c r="B8" s="614">
        <v>1200</v>
      </c>
      <c r="C8" s="466">
        <v>95933</v>
      </c>
      <c r="D8" s="466">
        <v>17366</v>
      </c>
      <c r="E8" s="466">
        <v>3500</v>
      </c>
      <c r="F8" s="466"/>
      <c r="G8" s="466"/>
      <c r="H8" s="466"/>
      <c r="I8" s="467"/>
      <c r="J8" s="467"/>
      <c r="K8" s="1671">
        <f t="shared" si="0"/>
        <v>116799</v>
      </c>
      <c r="L8" s="466">
        <v>107894</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37478</v>
      </c>
      <c r="D10" s="466">
        <v>7641</v>
      </c>
      <c r="E10" s="466">
        <v>15096</v>
      </c>
      <c r="F10" s="466">
        <v>352</v>
      </c>
      <c r="G10" s="466"/>
      <c r="H10" s="466"/>
      <c r="I10" s="467"/>
      <c r="J10" s="467"/>
      <c r="K10" s="1671">
        <f t="shared" si="0"/>
        <v>60567</v>
      </c>
      <c r="L10" s="466">
        <v>54946</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c r="D13" s="466"/>
      <c r="E13" s="466"/>
      <c r="F13" s="466"/>
      <c r="G13" s="466"/>
      <c r="H13" s="466"/>
      <c r="I13" s="467"/>
      <c r="J13" s="467"/>
      <c r="K13" s="1671">
        <f t="shared" si="0"/>
        <v>0</v>
      </c>
      <c r="L13" s="466"/>
    </row>
    <row r="14" spans="1:14" x14ac:dyDescent="0.2">
      <c r="A14" s="1504" t="s">
        <v>962</v>
      </c>
      <c r="B14" s="614">
        <v>1500</v>
      </c>
      <c r="C14" s="466">
        <v>15440</v>
      </c>
      <c r="D14" s="466">
        <v>219</v>
      </c>
      <c r="E14" s="466">
        <v>2275</v>
      </c>
      <c r="F14" s="466">
        <v>362</v>
      </c>
      <c r="G14" s="466"/>
      <c r="H14" s="466"/>
      <c r="I14" s="467"/>
      <c r="J14" s="467"/>
      <c r="K14" s="1671">
        <f t="shared" si="0"/>
        <v>18296</v>
      </c>
      <c r="L14" s="466">
        <v>14808</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c r="D17" s="467"/>
      <c r="E17" s="467"/>
      <c r="F17" s="467"/>
      <c r="G17" s="467"/>
      <c r="H17" s="467"/>
      <c r="I17" s="467"/>
      <c r="J17" s="467"/>
      <c r="K17" s="1671">
        <f t="shared" si="0"/>
        <v>0</v>
      </c>
      <c r="L17" s="466"/>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888601</v>
      </c>
      <c r="D33" s="1670">
        <f t="shared" ref="D33:L33" si="1">SUM(D5:D32)</f>
        <v>111926</v>
      </c>
      <c r="E33" s="1670">
        <f t="shared" si="1"/>
        <v>71911</v>
      </c>
      <c r="F33" s="1670">
        <f t="shared" si="1"/>
        <v>34544</v>
      </c>
      <c r="G33" s="1670">
        <f t="shared" si="1"/>
        <v>33653</v>
      </c>
      <c r="H33" s="1670">
        <f t="shared" si="1"/>
        <v>15502</v>
      </c>
      <c r="I33" s="1670">
        <f t="shared" si="1"/>
        <v>779</v>
      </c>
      <c r="J33" s="1670">
        <f t="shared" si="1"/>
        <v>0</v>
      </c>
      <c r="K33" s="1670">
        <f t="shared" si="1"/>
        <v>1156916</v>
      </c>
      <c r="L33" s="1670">
        <f t="shared" si="1"/>
        <v>1022523</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51402</v>
      </c>
      <c r="D36" s="481">
        <v>6114</v>
      </c>
      <c r="E36" s="481">
        <v>31770</v>
      </c>
      <c r="F36" s="481"/>
      <c r="G36" s="481"/>
      <c r="H36" s="481"/>
      <c r="I36" s="467"/>
      <c r="J36" s="467"/>
      <c r="K36" s="1671">
        <f t="shared" ref="K36:K41" si="2">SUM(C36:J36)</f>
        <v>89286</v>
      </c>
      <c r="L36" s="466">
        <v>102246</v>
      </c>
    </row>
    <row r="37" spans="1:14" x14ac:dyDescent="0.2">
      <c r="A37" s="1504" t="s">
        <v>1089</v>
      </c>
      <c r="B37" s="614">
        <v>2120</v>
      </c>
      <c r="C37" s="466"/>
      <c r="D37" s="466"/>
      <c r="E37" s="466">
        <v>4165</v>
      </c>
      <c r="F37" s="466"/>
      <c r="G37" s="466"/>
      <c r="H37" s="466"/>
      <c r="I37" s="467"/>
      <c r="J37" s="467"/>
      <c r="K37" s="1671">
        <f t="shared" si="2"/>
        <v>4165</v>
      </c>
      <c r="L37" s="466"/>
    </row>
    <row r="38" spans="1:14" x14ac:dyDescent="0.2">
      <c r="A38" s="1504" t="s">
        <v>198</v>
      </c>
      <c r="B38" s="614">
        <v>2130</v>
      </c>
      <c r="C38" s="466">
        <v>48949</v>
      </c>
      <c r="D38" s="466">
        <v>4484</v>
      </c>
      <c r="E38" s="466"/>
      <c r="F38" s="466"/>
      <c r="G38" s="466"/>
      <c r="H38" s="466"/>
      <c r="I38" s="467"/>
      <c r="J38" s="467"/>
      <c r="K38" s="1671">
        <f t="shared" si="2"/>
        <v>53433</v>
      </c>
      <c r="L38" s="466">
        <v>35900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c r="D41" s="466"/>
      <c r="E41" s="466"/>
      <c r="F41" s="466"/>
      <c r="G41" s="466"/>
      <c r="H41" s="466"/>
      <c r="I41" s="467"/>
      <c r="J41" s="467"/>
      <c r="K41" s="1671">
        <f t="shared" si="2"/>
        <v>0</v>
      </c>
      <c r="L41" s="466"/>
    </row>
    <row r="42" spans="1:14" ht="12.75" customHeight="1" thickBot="1" x14ac:dyDescent="0.25">
      <c r="A42" s="1668" t="s">
        <v>559</v>
      </c>
      <c r="B42" s="1669" t="s">
        <v>715</v>
      </c>
      <c r="C42" s="1670">
        <f>SUM(C36:C41)</f>
        <v>100351</v>
      </c>
      <c r="D42" s="1670">
        <f t="shared" ref="D42:L42" si="3">SUM(D36:D41)</f>
        <v>10598</v>
      </c>
      <c r="E42" s="1670">
        <f t="shared" si="3"/>
        <v>35935</v>
      </c>
      <c r="F42" s="1670">
        <f t="shared" si="3"/>
        <v>0</v>
      </c>
      <c r="G42" s="1670">
        <f t="shared" si="3"/>
        <v>0</v>
      </c>
      <c r="H42" s="1670">
        <f t="shared" si="3"/>
        <v>0</v>
      </c>
      <c r="I42" s="1670">
        <f t="shared" si="3"/>
        <v>0</v>
      </c>
      <c r="J42" s="1670">
        <f t="shared" si="3"/>
        <v>0</v>
      </c>
      <c r="K42" s="1670">
        <f t="shared" si="3"/>
        <v>146884</v>
      </c>
      <c r="L42" s="1670">
        <f t="shared" si="3"/>
        <v>138146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v>6870</v>
      </c>
      <c r="F44" s="481"/>
      <c r="G44" s="481"/>
      <c r="H44" s="481">
        <v>958</v>
      </c>
      <c r="I44" s="467"/>
      <c r="J44" s="467"/>
      <c r="K44" s="1672">
        <f>SUM(C44:J44)</f>
        <v>7828</v>
      </c>
      <c r="L44" s="481">
        <v>7460</v>
      </c>
    </row>
    <row r="45" spans="1:14" x14ac:dyDescent="0.2">
      <c r="A45" s="1504" t="s">
        <v>814</v>
      </c>
      <c r="B45" s="614">
        <v>2220</v>
      </c>
      <c r="C45" s="466">
        <v>9107</v>
      </c>
      <c r="D45" s="466">
        <v>5651</v>
      </c>
      <c r="E45" s="466"/>
      <c r="F45" s="466"/>
      <c r="G45" s="466"/>
      <c r="H45" s="466"/>
      <c r="I45" s="467"/>
      <c r="J45" s="467"/>
      <c r="K45" s="1672">
        <f>SUM(C45:J45)</f>
        <v>14758</v>
      </c>
      <c r="L45" s="466">
        <v>16213</v>
      </c>
    </row>
    <row r="46" spans="1:14" x14ac:dyDescent="0.2">
      <c r="A46" s="1504" t="s">
        <v>815</v>
      </c>
      <c r="B46" s="614">
        <v>2230</v>
      </c>
      <c r="C46" s="466"/>
      <c r="D46" s="466"/>
      <c r="E46" s="466">
        <v>12647</v>
      </c>
      <c r="F46" s="466"/>
      <c r="G46" s="466"/>
      <c r="H46" s="466"/>
      <c r="I46" s="467"/>
      <c r="J46" s="467"/>
      <c r="K46" s="1672">
        <f>SUM(C46:J46)</f>
        <v>12647</v>
      </c>
      <c r="L46" s="466">
        <v>14795</v>
      </c>
    </row>
    <row r="47" spans="1:14" ht="12.75" customHeight="1" thickBot="1" x14ac:dyDescent="0.25">
      <c r="A47" s="1668" t="s">
        <v>560</v>
      </c>
      <c r="B47" s="1669" t="s">
        <v>32</v>
      </c>
      <c r="C47" s="1670">
        <f>SUM(C44:C46)</f>
        <v>9107</v>
      </c>
      <c r="D47" s="1670">
        <f t="shared" ref="D47:K47" si="4">SUM(D44:D46)</f>
        <v>5651</v>
      </c>
      <c r="E47" s="1670">
        <f t="shared" si="4"/>
        <v>19517</v>
      </c>
      <c r="F47" s="1670">
        <f t="shared" si="4"/>
        <v>0</v>
      </c>
      <c r="G47" s="1670">
        <f t="shared" si="4"/>
        <v>0</v>
      </c>
      <c r="H47" s="1670">
        <f t="shared" si="4"/>
        <v>958</v>
      </c>
      <c r="I47" s="1670">
        <f t="shared" si="4"/>
        <v>0</v>
      </c>
      <c r="J47" s="1670">
        <f t="shared" si="4"/>
        <v>0</v>
      </c>
      <c r="K47" s="1670">
        <f t="shared" si="4"/>
        <v>35233</v>
      </c>
      <c r="L47" s="1670">
        <f>SUM(L44:L46)</f>
        <v>38468</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1943</v>
      </c>
      <c r="D49" s="481"/>
      <c r="E49" s="481">
        <v>14630</v>
      </c>
      <c r="F49" s="481">
        <v>572</v>
      </c>
      <c r="G49" s="481"/>
      <c r="H49" s="481">
        <v>9095</v>
      </c>
      <c r="I49" s="467"/>
      <c r="J49" s="467"/>
      <c r="K49" s="1672">
        <f>SUM(C49:J49)</f>
        <v>26240</v>
      </c>
      <c r="L49" s="481">
        <v>21500</v>
      </c>
    </row>
    <row r="50" spans="1:14" x14ac:dyDescent="0.2">
      <c r="A50" s="1504" t="s">
        <v>817</v>
      </c>
      <c r="B50" s="614">
        <v>2320</v>
      </c>
      <c r="C50" s="466">
        <v>38000</v>
      </c>
      <c r="D50" s="466">
        <v>2704</v>
      </c>
      <c r="E50" s="466">
        <v>89</v>
      </c>
      <c r="F50" s="466"/>
      <c r="G50" s="466"/>
      <c r="H50" s="466"/>
      <c r="I50" s="467"/>
      <c r="J50" s="467"/>
      <c r="K50" s="1672">
        <f>SUM(C50:J50)</f>
        <v>40793</v>
      </c>
      <c r="L50" s="466">
        <v>42822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39943</v>
      </c>
      <c r="D53" s="1670">
        <f t="shared" ref="D53:L53" si="5">SUM(D49:D52)</f>
        <v>2704</v>
      </c>
      <c r="E53" s="1670">
        <f t="shared" si="5"/>
        <v>14719</v>
      </c>
      <c r="F53" s="1670">
        <f t="shared" si="5"/>
        <v>572</v>
      </c>
      <c r="G53" s="1670">
        <f t="shared" si="5"/>
        <v>0</v>
      </c>
      <c r="H53" s="1670">
        <f t="shared" si="5"/>
        <v>9095</v>
      </c>
      <c r="I53" s="1670">
        <f t="shared" si="5"/>
        <v>0</v>
      </c>
      <c r="J53" s="1670">
        <f t="shared" si="5"/>
        <v>0</v>
      </c>
      <c r="K53" s="1670">
        <f t="shared" si="5"/>
        <v>67033</v>
      </c>
      <c r="L53" s="1670">
        <f t="shared" si="5"/>
        <v>64322</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115300</v>
      </c>
      <c r="D55" s="481">
        <v>27145</v>
      </c>
      <c r="E55" s="481">
        <v>477</v>
      </c>
      <c r="F55" s="481"/>
      <c r="G55" s="481"/>
      <c r="H55" s="481"/>
      <c r="I55" s="467"/>
      <c r="J55" s="467"/>
      <c r="K55" s="1672">
        <f>SUM(C55:J55)</f>
        <v>142922</v>
      </c>
      <c r="L55" s="481">
        <v>141632</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115300</v>
      </c>
      <c r="D57" s="1674">
        <f t="shared" ref="D57:K57" si="6">SUM(D55:D56)</f>
        <v>27145</v>
      </c>
      <c r="E57" s="1674">
        <f t="shared" si="6"/>
        <v>477</v>
      </c>
      <c r="F57" s="1674">
        <f t="shared" si="6"/>
        <v>0</v>
      </c>
      <c r="G57" s="1674">
        <f t="shared" si="6"/>
        <v>0</v>
      </c>
      <c r="H57" s="1674">
        <f t="shared" si="6"/>
        <v>0</v>
      </c>
      <c r="I57" s="1674">
        <f t="shared" si="6"/>
        <v>0</v>
      </c>
      <c r="J57" s="1674">
        <f t="shared" si="6"/>
        <v>0</v>
      </c>
      <c r="K57" s="1674">
        <f t="shared" si="6"/>
        <v>142922</v>
      </c>
      <c r="L57" s="1670">
        <f>SUM(L55:L56)</f>
        <v>141632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v>5500</v>
      </c>
      <c r="F59" s="481"/>
      <c r="G59" s="481"/>
      <c r="H59" s="481"/>
      <c r="I59" s="467"/>
      <c r="J59" s="467"/>
      <c r="K59" s="1672">
        <f t="shared" ref="K59:K64" si="7">SUM(C59:J59)</f>
        <v>5500</v>
      </c>
      <c r="L59" s="481">
        <v>6100</v>
      </c>
      <c r="M59" s="609"/>
      <c r="N59" s="609"/>
    </row>
    <row r="60" spans="1:14" s="343" customFormat="1" x14ac:dyDescent="0.2">
      <c r="A60" s="1504" t="s">
        <v>462</v>
      </c>
      <c r="B60" s="614">
        <v>2520</v>
      </c>
      <c r="C60" s="466">
        <v>38144</v>
      </c>
      <c r="D60" s="466">
        <v>5873</v>
      </c>
      <c r="E60" s="466">
        <v>45</v>
      </c>
      <c r="F60" s="466"/>
      <c r="G60" s="466"/>
      <c r="H60" s="466"/>
      <c r="I60" s="467"/>
      <c r="J60" s="467"/>
      <c r="K60" s="1672">
        <f t="shared" si="7"/>
        <v>44062</v>
      </c>
      <c r="L60" s="466">
        <v>38936</v>
      </c>
      <c r="M60" s="609"/>
      <c r="N60" s="609"/>
    </row>
    <row r="61" spans="1:14" s="343" customFormat="1" x14ac:dyDescent="0.2">
      <c r="A61" s="1504" t="s">
        <v>197</v>
      </c>
      <c r="B61" s="614">
        <v>2540</v>
      </c>
      <c r="C61" s="466">
        <v>83739</v>
      </c>
      <c r="D61" s="466">
        <v>13214</v>
      </c>
      <c r="E61" s="466">
        <v>10542</v>
      </c>
      <c r="F61" s="466"/>
      <c r="G61" s="466"/>
      <c r="H61" s="466"/>
      <c r="I61" s="467"/>
      <c r="J61" s="467"/>
      <c r="K61" s="1672">
        <f t="shared" si="7"/>
        <v>107495</v>
      </c>
      <c r="L61" s="466">
        <v>103551</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44494</v>
      </c>
      <c r="D63" s="466">
        <v>5729</v>
      </c>
      <c r="E63" s="466">
        <v>2351</v>
      </c>
      <c r="F63" s="466">
        <v>76857</v>
      </c>
      <c r="G63" s="466"/>
      <c r="H63" s="466"/>
      <c r="I63" s="467"/>
      <c r="J63" s="467"/>
      <c r="K63" s="1672">
        <f t="shared" si="7"/>
        <v>129431</v>
      </c>
      <c r="L63" s="466">
        <v>160840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166377</v>
      </c>
      <c r="D65" s="1670">
        <f t="shared" ref="D65:L65" si="8">SUM(D59:D64)</f>
        <v>24816</v>
      </c>
      <c r="E65" s="1670">
        <f t="shared" si="8"/>
        <v>18438</v>
      </c>
      <c r="F65" s="1670">
        <f t="shared" si="8"/>
        <v>76857</v>
      </c>
      <c r="G65" s="1670">
        <f t="shared" si="8"/>
        <v>0</v>
      </c>
      <c r="H65" s="1670">
        <f t="shared" si="8"/>
        <v>0</v>
      </c>
      <c r="I65" s="1670">
        <f t="shared" si="8"/>
        <v>0</v>
      </c>
      <c r="J65" s="1670">
        <f t="shared" si="8"/>
        <v>0</v>
      </c>
      <c r="K65" s="1670">
        <f t="shared" si="8"/>
        <v>286488</v>
      </c>
      <c r="L65" s="1670">
        <f t="shared" si="8"/>
        <v>309427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431078</v>
      </c>
      <c r="D74" s="1677">
        <f t="shared" ref="D74:K74" si="10">SUM(D42,D47,D53,D57,D65,D72,D73)</f>
        <v>70914</v>
      </c>
      <c r="E74" s="1677">
        <f t="shared" si="10"/>
        <v>89086</v>
      </c>
      <c r="F74" s="1677">
        <f t="shared" si="10"/>
        <v>77429</v>
      </c>
      <c r="G74" s="1677">
        <f t="shared" si="10"/>
        <v>0</v>
      </c>
      <c r="H74" s="1677">
        <f t="shared" si="10"/>
        <v>10053</v>
      </c>
      <c r="I74" s="1677">
        <f t="shared" si="10"/>
        <v>0</v>
      </c>
      <c r="J74" s="1677">
        <f t="shared" si="10"/>
        <v>0</v>
      </c>
      <c r="K74" s="1677">
        <f t="shared" si="10"/>
        <v>678560</v>
      </c>
      <c r="L74" s="1677">
        <f>SUM(L42,L47,L53,L57,L65,L72,L73)</f>
        <v>691995</v>
      </c>
    </row>
    <row r="75" spans="1:14" s="259" customFormat="1" ht="15.75" customHeight="1" thickTop="1" thickBot="1" x14ac:dyDescent="0.25">
      <c r="A75" s="1610" t="s">
        <v>47</v>
      </c>
      <c r="B75" s="1611" t="s">
        <v>574</v>
      </c>
      <c r="C75" s="573"/>
      <c r="D75" s="573"/>
      <c r="E75" s="573"/>
      <c r="F75" s="573">
        <v>1303</v>
      </c>
      <c r="G75" s="573"/>
      <c r="H75" s="573"/>
      <c r="I75" s="531"/>
      <c r="J75" s="531"/>
      <c r="K75" s="1670">
        <f>SUM(C75:J75)</f>
        <v>1303</v>
      </c>
      <c r="L75" s="576">
        <v>1000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460469</v>
      </c>
      <c r="I86" s="477"/>
      <c r="J86" s="477"/>
      <c r="K86" s="1677">
        <f t="shared" ref="K86:K98" si="12">H86</f>
        <v>460469</v>
      </c>
      <c r="L86" s="530">
        <v>295000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460469</v>
      </c>
      <c r="I92" s="477"/>
      <c r="J92" s="477"/>
      <c r="K92" s="1677">
        <f t="shared" si="12"/>
        <v>460469</v>
      </c>
      <c r="L92" s="1670">
        <f>SUM(L85:L91)</f>
        <v>295000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460469</v>
      </c>
      <c r="I102" s="477"/>
      <c r="J102" s="477"/>
      <c r="K102" s="1677">
        <f>SUM(K84,K92,K100,K101)</f>
        <v>460469</v>
      </c>
      <c r="L102" s="1677">
        <f>SUM(L84,L92,L100,L101)</f>
        <v>295000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1319679</v>
      </c>
      <c r="D114" s="1670">
        <f t="shared" ref="D114:K114" si="13">SUM(D33,D74,D75,D102,D112,D113)</f>
        <v>182840</v>
      </c>
      <c r="E114" s="1670">
        <f t="shared" si="13"/>
        <v>160997</v>
      </c>
      <c r="F114" s="1670">
        <f t="shared" si="13"/>
        <v>113276</v>
      </c>
      <c r="G114" s="1670">
        <f t="shared" si="13"/>
        <v>33653</v>
      </c>
      <c r="H114" s="1670">
        <f>SUM(H33,H74,H75,H102,H112,H113)</f>
        <v>486024</v>
      </c>
      <c r="I114" s="1670">
        <f t="shared" si="13"/>
        <v>779</v>
      </c>
      <c r="J114" s="1670">
        <f t="shared" si="13"/>
        <v>0</v>
      </c>
      <c r="K114" s="1670">
        <f t="shared" si="13"/>
        <v>2297248</v>
      </c>
      <c r="L114" s="1670">
        <f>SUM(L33,L74,L75,L102,L112,L113)</f>
        <v>2010518</v>
      </c>
    </row>
    <row r="115" spans="1:14" ht="13.5" thickTop="1" x14ac:dyDescent="0.2">
      <c r="A115" s="2188" t="s">
        <v>995</v>
      </c>
      <c r="B115" s="2189"/>
      <c r="C115" s="618"/>
      <c r="D115" s="618"/>
      <c r="E115" s="618"/>
      <c r="F115" s="618"/>
      <c r="G115" s="618"/>
      <c r="H115" s="618"/>
      <c r="I115" s="618"/>
      <c r="J115" s="618"/>
      <c r="K115" s="1684">
        <f>'Revenues 9-14'!C268-'Expenditures 15-22'!K114</f>
        <v>-126731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295</v>
      </c>
      <c r="B117" s="216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2057</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23943</v>
      </c>
      <c r="F124" s="466">
        <v>40236</v>
      </c>
      <c r="G124" s="466">
        <v>62631</v>
      </c>
      <c r="H124" s="466"/>
      <c r="I124" s="467"/>
      <c r="J124" s="467"/>
      <c r="K124" s="1670">
        <f>SUM(C124:J124)</f>
        <v>126810</v>
      </c>
      <c r="L124" s="466">
        <v>66150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0</v>
      </c>
      <c r="D127" s="1670">
        <f t="shared" ref="D127:L127" si="14">SUM(D122:D126)</f>
        <v>0</v>
      </c>
      <c r="E127" s="1670">
        <f t="shared" si="14"/>
        <v>23943</v>
      </c>
      <c r="F127" s="1670">
        <f t="shared" si="14"/>
        <v>40236</v>
      </c>
      <c r="G127" s="1670">
        <f t="shared" si="14"/>
        <v>62631</v>
      </c>
      <c r="H127" s="1670">
        <f t="shared" si="14"/>
        <v>0</v>
      </c>
      <c r="I127" s="1670">
        <f t="shared" si="14"/>
        <v>0</v>
      </c>
      <c r="J127" s="1670">
        <f t="shared" si="14"/>
        <v>0</v>
      </c>
      <c r="K127" s="1670">
        <f t="shared" si="14"/>
        <v>126810</v>
      </c>
      <c r="L127" s="1670">
        <f t="shared" si="14"/>
        <v>66150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0</v>
      </c>
      <c r="D129" s="1677">
        <f t="shared" ref="D129:L129" si="15">SUM(D120,D127,D128)</f>
        <v>0</v>
      </c>
      <c r="E129" s="1677">
        <f t="shared" si="15"/>
        <v>23943</v>
      </c>
      <c r="F129" s="1677">
        <f t="shared" si="15"/>
        <v>40236</v>
      </c>
      <c r="G129" s="1677">
        <f t="shared" si="15"/>
        <v>62631</v>
      </c>
      <c r="H129" s="1677">
        <f t="shared" si="15"/>
        <v>0</v>
      </c>
      <c r="I129" s="1677">
        <f t="shared" si="15"/>
        <v>0</v>
      </c>
      <c r="J129" s="1677">
        <f t="shared" si="15"/>
        <v>0</v>
      </c>
      <c r="K129" s="1677">
        <f t="shared" si="15"/>
        <v>126810</v>
      </c>
      <c r="L129" s="1677">
        <f t="shared" si="15"/>
        <v>66150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1843</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v>30966</v>
      </c>
      <c r="F134" s="616"/>
      <c r="G134" s="616"/>
      <c r="H134" s="481"/>
      <c r="I134" s="477"/>
      <c r="J134" s="616"/>
      <c r="K134" s="1672">
        <f>SUM(E134,H134)</f>
        <v>30966</v>
      </c>
      <c r="L134" s="481">
        <v>30000</v>
      </c>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30966</v>
      </c>
      <c r="F137" s="616"/>
      <c r="G137" s="616"/>
      <c r="H137" s="1670">
        <f>SUM(H133:H136)</f>
        <v>0</v>
      </c>
      <c r="I137" s="477"/>
      <c r="J137" s="616"/>
      <c r="K137" s="1670">
        <f>SUM(K133:K136)</f>
        <v>30966</v>
      </c>
      <c r="L137" s="1670">
        <f>SUM(L133:L136)</f>
        <v>30000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30966</v>
      </c>
      <c r="F139" s="616"/>
      <c r="G139" s="616"/>
      <c r="H139" s="1679">
        <f>SUM(H137:H138)</f>
        <v>0</v>
      </c>
      <c r="I139" s="477"/>
      <c r="J139" s="616"/>
      <c r="K139" s="1672">
        <f>SUM(K137,K138)</f>
        <v>30966</v>
      </c>
      <c r="L139" s="1679">
        <f>SUM(L137,L138)</f>
        <v>30000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8" t="s">
        <v>619</v>
      </c>
      <c r="B151" s="2160"/>
      <c r="C151" s="1670">
        <f>SUM(C129,C130,C139,C149,C150)</f>
        <v>0</v>
      </c>
      <c r="D151" s="1670">
        <f t="shared" ref="D151:K151" si="16">SUM(D129,D130,D139,D149,D150)</f>
        <v>0</v>
      </c>
      <c r="E151" s="1670">
        <f t="shared" si="16"/>
        <v>54909</v>
      </c>
      <c r="F151" s="1670">
        <f t="shared" si="16"/>
        <v>40236</v>
      </c>
      <c r="G151" s="1670">
        <f t="shared" si="16"/>
        <v>62631</v>
      </c>
      <c r="H151" s="1670">
        <f t="shared" si="16"/>
        <v>0</v>
      </c>
      <c r="I151" s="1670">
        <f t="shared" si="16"/>
        <v>0</v>
      </c>
      <c r="J151" s="1670">
        <f t="shared" si="16"/>
        <v>0</v>
      </c>
      <c r="K151" s="1670">
        <f t="shared" si="16"/>
        <v>157776</v>
      </c>
      <c r="L151" s="1670">
        <f>SUM(L129,L130,L139,L149,L150)</f>
        <v>96150</v>
      </c>
    </row>
    <row r="152" spans="1:14" ht="12.75" customHeight="1" thickTop="1" x14ac:dyDescent="0.2">
      <c r="A152" s="2181" t="s">
        <v>1177</v>
      </c>
      <c r="B152" s="2182"/>
      <c r="C152" s="618"/>
      <c r="D152" s="618"/>
      <c r="E152" s="618"/>
      <c r="F152" s="618"/>
      <c r="G152" s="618"/>
      <c r="H152" s="618"/>
      <c r="I152" s="618"/>
      <c r="J152" s="616"/>
      <c r="K152" s="1684">
        <f>'Revenues 9-14'!D268-'Expenditures 15-22'!K151</f>
        <v>-61440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620</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1350</v>
      </c>
      <c r="I169" s="616"/>
      <c r="J169" s="616"/>
      <c r="K169" s="1671">
        <f>SUM(C169:H169)</f>
        <v>1350</v>
      </c>
      <c r="L169" s="656">
        <v>1350</v>
      </c>
    </row>
    <row r="170" spans="1:14" ht="33.75" customHeight="1" x14ac:dyDescent="0.2">
      <c r="A170" s="669" t="s">
        <v>1669</v>
      </c>
      <c r="B170" s="671" t="s">
        <v>31</v>
      </c>
      <c r="C170" s="616"/>
      <c r="D170" s="616"/>
      <c r="E170" s="616"/>
      <c r="F170" s="616"/>
      <c r="G170" s="616"/>
      <c r="H170" s="569">
        <v>60000</v>
      </c>
      <c r="I170" s="616"/>
      <c r="J170" s="616"/>
      <c r="K170" s="1671">
        <f>SUM(C170:J170)</f>
        <v>60000</v>
      </c>
      <c r="L170" s="569">
        <v>60000</v>
      </c>
    </row>
    <row r="171" spans="1:14" ht="15.75" customHeight="1" x14ac:dyDescent="0.2">
      <c r="A171" s="621" t="s">
        <v>765</v>
      </c>
      <c r="B171" s="672" t="s">
        <v>84</v>
      </c>
      <c r="C171" s="616"/>
      <c r="D171" s="616"/>
      <c r="E171" s="466"/>
      <c r="F171" s="616"/>
      <c r="G171" s="616"/>
      <c r="H171" s="569">
        <v>15424</v>
      </c>
      <c r="I171" s="477"/>
      <c r="J171" s="616"/>
      <c r="K171" s="1671">
        <f>SUM(C171:J171)</f>
        <v>15424</v>
      </c>
      <c r="L171" s="569">
        <v>500</v>
      </c>
    </row>
    <row r="172" spans="1:14" ht="12.75" customHeight="1" thickBot="1" x14ac:dyDescent="0.25">
      <c r="A172" s="1668" t="s">
        <v>637</v>
      </c>
      <c r="B172" s="1669" t="s">
        <v>491</v>
      </c>
      <c r="C172" s="616"/>
      <c r="D172" s="616"/>
      <c r="E172" s="1677">
        <f>SUM(E168,E169,E170,E171)</f>
        <v>0</v>
      </c>
      <c r="F172" s="616"/>
      <c r="G172" s="616"/>
      <c r="H172" s="1677">
        <f>SUM(H168,H169,H170,H171)</f>
        <v>76774</v>
      </c>
      <c r="I172" s="638"/>
      <c r="J172" s="616"/>
      <c r="K172" s="1677">
        <f>SUM(K168,K169,K170,K171)</f>
        <v>76774</v>
      </c>
      <c r="L172" s="1677">
        <f>SUM(L168,L169,L170,L171)</f>
        <v>61850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76774</v>
      </c>
      <c r="I174" s="638"/>
      <c r="J174" s="616"/>
      <c r="K174" s="1677">
        <f>SUM(K160,K172,K173)</f>
        <v>76774</v>
      </c>
      <c r="L174" s="1677">
        <f>SUM(L160,L172,L173)</f>
        <v>61850</v>
      </c>
    </row>
    <row r="175" spans="1:14" ht="13.5" thickTop="1" x14ac:dyDescent="0.2">
      <c r="A175" s="2188" t="s">
        <v>995</v>
      </c>
      <c r="B175" s="2189"/>
      <c r="C175" s="616"/>
      <c r="D175" s="616"/>
      <c r="E175" s="616"/>
      <c r="F175" s="616"/>
      <c r="G175" s="616"/>
      <c r="H175" s="618"/>
      <c r="I175" s="616"/>
      <c r="J175" s="616"/>
      <c r="K175" s="1684">
        <f>'Revenues 9-14'!E268-'Expenditures 15-22'!K174</f>
        <v>-16074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2057</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c r="D182" s="466"/>
      <c r="E182" s="466">
        <v>222300</v>
      </c>
      <c r="F182" s="466"/>
      <c r="G182" s="466"/>
      <c r="H182" s="466"/>
      <c r="I182" s="467"/>
      <c r="J182" s="467"/>
      <c r="K182" s="1671">
        <f>SUM(C182:J182)</f>
        <v>222300</v>
      </c>
      <c r="L182" s="466">
        <v>199700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0</v>
      </c>
      <c r="D184" s="1677">
        <f t="shared" ref="D184:J184" si="17">SUM(D180,D182,D183)</f>
        <v>0</v>
      </c>
      <c r="E184" s="1677">
        <f t="shared" si="17"/>
        <v>222300</v>
      </c>
      <c r="F184" s="1677">
        <f t="shared" si="17"/>
        <v>0</v>
      </c>
      <c r="G184" s="1677">
        <f t="shared" si="17"/>
        <v>0</v>
      </c>
      <c r="H184" s="1677">
        <f t="shared" si="17"/>
        <v>0</v>
      </c>
      <c r="I184" s="1677">
        <f t="shared" si="17"/>
        <v>0</v>
      </c>
      <c r="J184" s="1677">
        <f t="shared" si="17"/>
        <v>0</v>
      </c>
      <c r="K184" s="1677">
        <f>SUM(K180,K182,K183)</f>
        <v>222300</v>
      </c>
      <c r="L184" s="1677">
        <f>SUM(L180, L182:L183)</f>
        <v>199700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0</v>
      </c>
      <c r="D210" s="1670">
        <f>SUM(D184,D185)</f>
        <v>0</v>
      </c>
      <c r="E210" s="1670">
        <f>SUM(E184,E185,E196)</f>
        <v>222300</v>
      </c>
      <c r="F210" s="1670">
        <f>SUM(F184,F185)</f>
        <v>0</v>
      </c>
      <c r="G210" s="1670">
        <f>SUM(G184,G185)</f>
        <v>0</v>
      </c>
      <c r="H210" s="1670">
        <f>SUM(H184,H185,H196,H208,H209)</f>
        <v>0</v>
      </c>
      <c r="I210" s="1670">
        <f>SUM(I184,I185)</f>
        <v>0</v>
      </c>
      <c r="J210" s="1670">
        <f>SUM(J184,J185)</f>
        <v>0</v>
      </c>
      <c r="K210" s="1671">
        <f>SUM(K184,K185,K196,K208,K209)</f>
        <v>222300</v>
      </c>
      <c r="L210" s="1670">
        <f>SUM(L184,L185,L196,L208,L209)</f>
        <v>199700</v>
      </c>
    </row>
    <row r="211" spans="1:14" ht="13.5" thickTop="1" x14ac:dyDescent="0.2">
      <c r="A211" s="2188" t="s">
        <v>995</v>
      </c>
      <c r="B211" s="2189"/>
      <c r="C211" s="618"/>
      <c r="D211" s="618"/>
      <c r="E211" s="618"/>
      <c r="F211" s="618"/>
      <c r="G211" s="618"/>
      <c r="H211" s="618"/>
      <c r="I211" s="616"/>
      <c r="J211" s="616"/>
      <c r="K211" s="1684">
        <f>'Revenues 9-14'!F268-'Expenditures 15-22'!K210</f>
        <v>-54957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964</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10685</v>
      </c>
      <c r="E215" s="616"/>
      <c r="F215" s="616"/>
      <c r="G215" s="616"/>
      <c r="H215" s="616"/>
      <c r="I215" s="616"/>
      <c r="J215" s="616"/>
      <c r="K215" s="1671">
        <f>D215</f>
        <v>10685</v>
      </c>
      <c r="L215" s="466">
        <v>12518</v>
      </c>
    </row>
    <row r="216" spans="1:14" x14ac:dyDescent="0.2">
      <c r="A216" s="1504" t="s">
        <v>163</v>
      </c>
      <c r="B216" s="614" t="s">
        <v>966</v>
      </c>
      <c r="C216" s="616"/>
      <c r="D216" s="467">
        <v>3819</v>
      </c>
      <c r="E216" s="616"/>
      <c r="F216" s="616"/>
      <c r="G216" s="616"/>
      <c r="H216" s="616"/>
      <c r="I216" s="616"/>
      <c r="J216" s="616"/>
      <c r="K216" s="1671">
        <f t="shared" ref="K216:K228" si="19">D216</f>
        <v>3819</v>
      </c>
      <c r="L216" s="466">
        <v>3989</v>
      </c>
    </row>
    <row r="217" spans="1:14" x14ac:dyDescent="0.2">
      <c r="A217" s="1504" t="s">
        <v>164</v>
      </c>
      <c r="B217" s="614">
        <v>1200</v>
      </c>
      <c r="C217" s="616"/>
      <c r="D217" s="466">
        <v>7711</v>
      </c>
      <c r="E217" s="616"/>
      <c r="F217" s="616"/>
      <c r="G217" s="616"/>
      <c r="H217" s="616"/>
      <c r="I217" s="616"/>
      <c r="J217" s="616"/>
      <c r="K217" s="1671">
        <f t="shared" si="19"/>
        <v>7711</v>
      </c>
      <c r="L217" s="466">
        <v>5322</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4677</v>
      </c>
      <c r="E219" s="616"/>
      <c r="F219" s="616"/>
      <c r="G219" s="616"/>
      <c r="H219" s="616"/>
      <c r="I219" s="616"/>
      <c r="J219" s="616"/>
      <c r="K219" s="1671">
        <f t="shared" si="19"/>
        <v>4677</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277</v>
      </c>
      <c r="E223" s="616"/>
      <c r="F223" s="616"/>
      <c r="G223" s="616"/>
      <c r="H223" s="616"/>
      <c r="I223" s="616"/>
      <c r="J223" s="616"/>
      <c r="K223" s="1671">
        <f t="shared" si="19"/>
        <v>277</v>
      </c>
      <c r="L223" s="466">
        <v>198</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27169</v>
      </c>
      <c r="E229" s="616"/>
      <c r="F229" s="616"/>
      <c r="G229" s="616"/>
      <c r="H229" s="616"/>
      <c r="I229" s="616"/>
      <c r="J229" s="616"/>
      <c r="K229" s="1670">
        <f>SUM(K215:K228)</f>
        <v>27169</v>
      </c>
      <c r="L229" s="1670">
        <f>SUM(L215:L228)</f>
        <v>22027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10790</v>
      </c>
      <c r="E232" s="616"/>
      <c r="F232" s="616"/>
      <c r="G232" s="616"/>
      <c r="H232" s="616"/>
      <c r="I232" s="616"/>
      <c r="J232" s="616"/>
      <c r="K232" s="1671">
        <f t="shared" ref="K232:K237" si="20">D232</f>
        <v>10790</v>
      </c>
      <c r="L232" s="466">
        <v>12930</v>
      </c>
    </row>
    <row r="233" spans="1:12" x14ac:dyDescent="0.2">
      <c r="A233" s="1504" t="s">
        <v>1089</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8797</v>
      </c>
      <c r="E234" s="616"/>
      <c r="F234" s="616"/>
      <c r="G234" s="616"/>
      <c r="H234" s="616"/>
      <c r="I234" s="616"/>
      <c r="J234" s="616"/>
      <c r="K234" s="1671">
        <f t="shared" si="20"/>
        <v>8797</v>
      </c>
      <c r="L234" s="466">
        <v>6314</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19587</v>
      </c>
      <c r="E238" s="616"/>
      <c r="F238" s="616"/>
      <c r="G238" s="616"/>
      <c r="H238" s="616"/>
      <c r="I238" s="616"/>
      <c r="J238" s="616"/>
      <c r="K238" s="1670">
        <f>SUM(K232:K237)</f>
        <v>19587</v>
      </c>
      <c r="L238" s="1670">
        <f>SUM(L232:L237)</f>
        <v>19244</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1656</v>
      </c>
      <c r="E241" s="616"/>
      <c r="F241" s="616"/>
      <c r="G241" s="616"/>
      <c r="H241" s="616"/>
      <c r="I241" s="616"/>
      <c r="J241" s="616"/>
      <c r="K241" s="1672">
        <f>D241</f>
        <v>1656</v>
      </c>
      <c r="L241" s="466">
        <v>3664</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1656</v>
      </c>
      <c r="E243" s="616"/>
      <c r="F243" s="616"/>
      <c r="G243" s="616"/>
      <c r="H243" s="616"/>
      <c r="I243" s="616"/>
      <c r="J243" s="616"/>
      <c r="K243" s="1670">
        <f>SUM(K240:K242)</f>
        <v>1656</v>
      </c>
      <c r="L243" s="1670">
        <f>SUM(L240:L242)</f>
        <v>3664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149</v>
      </c>
      <c r="E245" s="616"/>
      <c r="F245" s="616"/>
      <c r="G245" s="616"/>
      <c r="H245" s="616"/>
      <c r="I245" s="616"/>
      <c r="J245" s="616"/>
      <c r="K245" s="1672">
        <f>D245</f>
        <v>149</v>
      </c>
      <c r="L245" s="481">
        <v>200</v>
      </c>
    </row>
    <row r="246" spans="1:12" x14ac:dyDescent="0.2">
      <c r="A246" s="1504" t="s">
        <v>817</v>
      </c>
      <c r="B246" s="614">
        <v>2320</v>
      </c>
      <c r="C246" s="616"/>
      <c r="D246" s="466">
        <v>424</v>
      </c>
      <c r="E246" s="616"/>
      <c r="F246" s="616"/>
      <c r="G246" s="616"/>
      <c r="H246" s="616"/>
      <c r="I246" s="616"/>
      <c r="J246" s="616"/>
      <c r="K246" s="1672">
        <f t="shared" ref="K246:K256" si="21">D246</f>
        <v>424</v>
      </c>
      <c r="L246" s="466">
        <v>1378</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573</v>
      </c>
      <c r="E257" s="616"/>
      <c r="F257" s="616"/>
      <c r="G257" s="616"/>
      <c r="H257" s="616"/>
      <c r="I257" s="616"/>
      <c r="J257" s="616"/>
      <c r="K257" s="1670">
        <f>SUM(K245:K256)</f>
        <v>573</v>
      </c>
      <c r="L257" s="1670">
        <f>SUM(L245:L256)</f>
        <v>1578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1799</v>
      </c>
      <c r="E259" s="616"/>
      <c r="F259" s="616"/>
      <c r="G259" s="616"/>
      <c r="H259" s="616"/>
      <c r="I259" s="616"/>
      <c r="J259" s="616"/>
      <c r="K259" s="1672">
        <f>D259</f>
        <v>1799</v>
      </c>
      <c r="L259" s="481">
        <v>841</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1799</v>
      </c>
      <c r="E261" s="616"/>
      <c r="F261" s="616"/>
      <c r="G261" s="616"/>
      <c r="H261" s="616"/>
      <c r="I261" s="616"/>
      <c r="J261" s="616"/>
      <c r="K261" s="1670">
        <f>SUM(K259:K260)</f>
        <v>1799</v>
      </c>
      <c r="L261" s="1670">
        <f>SUM(L259:L260)</f>
        <v>841</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6937</v>
      </c>
      <c r="E264" s="616"/>
      <c r="F264" s="616"/>
      <c r="G264" s="616"/>
      <c r="H264" s="616"/>
      <c r="I264" s="616"/>
      <c r="J264" s="616"/>
      <c r="K264" s="1672">
        <f t="shared" ref="K264:K269" si="22">D264</f>
        <v>6937</v>
      </c>
      <c r="L264" s="466">
        <v>6597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15473</v>
      </c>
      <c r="E266" s="616"/>
      <c r="F266" s="616"/>
      <c r="G266" s="616"/>
      <c r="H266" s="616"/>
      <c r="I266" s="616"/>
      <c r="J266" s="616"/>
      <c r="K266" s="1672">
        <f t="shared" si="22"/>
        <v>15473</v>
      </c>
      <c r="L266" s="466">
        <v>16088</v>
      </c>
    </row>
    <row r="267" spans="1:14" x14ac:dyDescent="0.2">
      <c r="A267" s="1504" t="s">
        <v>952</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7507</v>
      </c>
      <c r="E268" s="616"/>
      <c r="F268" s="616"/>
      <c r="G268" s="616"/>
      <c r="H268" s="616"/>
      <c r="I268" s="616"/>
      <c r="J268" s="616"/>
      <c r="K268" s="1672">
        <f t="shared" si="22"/>
        <v>7507</v>
      </c>
      <c r="L268" s="466">
        <v>10060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29917</v>
      </c>
      <c r="E270" s="616"/>
      <c r="F270" s="616"/>
      <c r="G270" s="616"/>
      <c r="H270" s="616"/>
      <c r="I270" s="616"/>
      <c r="J270" s="616"/>
      <c r="K270" s="1670">
        <f>SUM(K263:K269)</f>
        <v>29917</v>
      </c>
      <c r="L270" s="1670">
        <f>SUM(L263:L269)</f>
        <v>32745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53532</v>
      </c>
      <c r="E279" s="616"/>
      <c r="F279" s="616"/>
      <c r="G279" s="616"/>
      <c r="H279" s="616"/>
      <c r="I279" s="616"/>
      <c r="J279" s="616"/>
      <c r="K279" s="1677">
        <f>SUM(K238,K243,K257,K261,K270,K277,K278)</f>
        <v>53532</v>
      </c>
      <c r="L279" s="1677">
        <f>SUM(L238,L243,L257,L261,L270,L277,L278)</f>
        <v>58072</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1843</v>
      </c>
      <c r="C282" s="616"/>
      <c r="D282" s="467"/>
      <c r="E282" s="616"/>
      <c r="F282" s="616"/>
      <c r="G282" s="616"/>
      <c r="H282" s="616"/>
      <c r="I282" s="616"/>
      <c r="J282" s="616"/>
      <c r="K282" s="1671">
        <f>D282</f>
        <v>0</v>
      </c>
      <c r="L282" s="467"/>
    </row>
    <row r="283" spans="1:12" x14ac:dyDescent="0.2">
      <c r="A283" s="1504" t="s">
        <v>303</v>
      </c>
      <c r="B283" s="614">
        <v>4120</v>
      </c>
      <c r="C283" s="616"/>
      <c r="D283" s="466">
        <v>3258</v>
      </c>
      <c r="E283" s="616"/>
      <c r="F283" s="616"/>
      <c r="G283" s="616"/>
      <c r="H283" s="616"/>
      <c r="I283" s="616"/>
      <c r="J283" s="616"/>
      <c r="K283" s="1671">
        <f>D283</f>
        <v>3258</v>
      </c>
      <c r="L283" s="466">
        <v>3000</v>
      </c>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3258</v>
      </c>
      <c r="E285" s="616"/>
      <c r="F285" s="616"/>
      <c r="G285" s="616"/>
      <c r="H285" s="616"/>
      <c r="I285" s="616"/>
      <c r="J285" s="616"/>
      <c r="K285" s="1670">
        <f>SUM(K282:K284)</f>
        <v>3258</v>
      </c>
      <c r="L285" s="1670">
        <f>SUM(L282:L284)</f>
        <v>3000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9" t="s">
        <v>504</v>
      </c>
      <c r="B295" s="2180"/>
      <c r="C295" s="616"/>
      <c r="D295" s="1670">
        <f>SUM(D229,D279,D280,D285)</f>
        <v>83959</v>
      </c>
      <c r="E295" s="616"/>
      <c r="F295" s="616"/>
      <c r="G295" s="616"/>
      <c r="H295" s="1670">
        <f>H293</f>
        <v>0</v>
      </c>
      <c r="I295" s="616"/>
      <c r="J295" s="616"/>
      <c r="K295" s="1670">
        <f>SUM(K229,K279,K280,K285,K293,K294)</f>
        <v>83959</v>
      </c>
      <c r="L295" s="1670">
        <f>SUM(L229,L279,L280,L285,L293,L294)</f>
        <v>83099</v>
      </c>
    </row>
    <row r="296" spans="1:14" ht="13.5" thickTop="1" x14ac:dyDescent="0.2">
      <c r="A296" s="2188" t="s">
        <v>995</v>
      </c>
      <c r="B296" s="2189"/>
      <c r="C296" s="616"/>
      <c r="D296" s="618"/>
      <c r="E296" s="616"/>
      <c r="F296" s="616"/>
      <c r="G296" s="616"/>
      <c r="H296" s="687"/>
      <c r="I296" s="616"/>
      <c r="J296" s="616"/>
      <c r="K296" s="1684">
        <f>'Revenues 9-14'!G268-'Expenditures 15-22'!K295</f>
        <v>3844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12485</v>
      </c>
      <c r="F301" s="466"/>
      <c r="G301" s="466">
        <v>79163</v>
      </c>
      <c r="H301" s="466"/>
      <c r="I301" s="467"/>
      <c r="J301" s="467"/>
      <c r="K301" s="1671">
        <f>SUM(C301:J301)</f>
        <v>91648</v>
      </c>
      <c r="L301" s="467">
        <v>70000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12485</v>
      </c>
      <c r="F303" s="1677">
        <f t="shared" si="23"/>
        <v>0</v>
      </c>
      <c r="G303" s="1677">
        <f t="shared" si="23"/>
        <v>79163</v>
      </c>
      <c r="H303" s="1677">
        <f t="shared" si="23"/>
        <v>0</v>
      </c>
      <c r="I303" s="1677">
        <f t="shared" si="23"/>
        <v>0</v>
      </c>
      <c r="J303" s="1677">
        <f t="shared" si="23"/>
        <v>0</v>
      </c>
      <c r="K303" s="1677">
        <f t="shared" si="23"/>
        <v>91648</v>
      </c>
      <c r="L303" s="1677">
        <f t="shared" si="23"/>
        <v>70000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6" t="s">
        <v>276</v>
      </c>
      <c r="B312" s="2177"/>
      <c r="C312" s="1670">
        <f>SUM(C303)</f>
        <v>0</v>
      </c>
      <c r="D312" s="1670">
        <f>SUM(D303)</f>
        <v>0</v>
      </c>
      <c r="E312" s="1670">
        <f>SUM(E303,E310)</f>
        <v>12485</v>
      </c>
      <c r="F312" s="1670">
        <f>SUM(F303)</f>
        <v>0</v>
      </c>
      <c r="G312" s="1670">
        <f>SUM(G303)</f>
        <v>79163</v>
      </c>
      <c r="H312" s="1670">
        <f>SUM(H303,H310)</f>
        <v>0</v>
      </c>
      <c r="I312" s="1670">
        <f>SUM(I303)</f>
        <v>0</v>
      </c>
      <c r="J312" s="1670">
        <f>SUM(J303)</f>
        <v>0</v>
      </c>
      <c r="K312" s="1670">
        <f>SUM(K303,K310,K311)</f>
        <v>91648</v>
      </c>
      <c r="L312" s="1670">
        <f>SUM(L303,L310,L311)</f>
        <v>70000</v>
      </c>
      <c r="M312" s="665"/>
      <c r="N312" s="665"/>
    </row>
    <row r="313" spans="1:14" ht="13.5" thickTop="1" x14ac:dyDescent="0.2">
      <c r="A313" s="2172" t="s">
        <v>995</v>
      </c>
      <c r="B313" s="2173"/>
      <c r="C313" s="626"/>
      <c r="D313" s="626"/>
      <c r="E313" s="626"/>
      <c r="F313" s="626"/>
      <c r="G313" s="626"/>
      <c r="H313" s="626"/>
      <c r="I313" s="626"/>
      <c r="J313" s="626"/>
      <c r="K313" s="1685">
        <f>'Revenues 9-14'!H268-'Expenditures 15-22'!K312</f>
        <v>-19884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897</v>
      </c>
      <c r="B317" s="218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12122</v>
      </c>
      <c r="F320" s="467"/>
      <c r="G320" s="467"/>
      <c r="H320" s="467"/>
      <c r="I320" s="467"/>
      <c r="J320" s="467"/>
      <c r="K320" s="1671">
        <f t="shared" ref="K320:K327" si="24">SUM(C320:J320)</f>
        <v>12122</v>
      </c>
      <c r="L320" s="467">
        <v>11163</v>
      </c>
      <c r="M320" s="665"/>
      <c r="N320" s="665"/>
    </row>
    <row r="321" spans="1:14" s="674" customFormat="1" x14ac:dyDescent="0.2">
      <c r="A321" s="1519" t="s">
        <v>299</v>
      </c>
      <c r="B321" s="697" t="s">
        <v>282</v>
      </c>
      <c r="C321" s="467"/>
      <c r="D321" s="467"/>
      <c r="E321" s="467">
        <v>11481</v>
      </c>
      <c r="F321" s="467"/>
      <c r="G321" s="467"/>
      <c r="H321" s="467"/>
      <c r="I321" s="467"/>
      <c r="J321" s="467"/>
      <c r="K321" s="1671">
        <f t="shared" si="24"/>
        <v>11481</v>
      </c>
      <c r="L321" s="467">
        <v>10000</v>
      </c>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v>21030</v>
      </c>
      <c r="F323" s="467"/>
      <c r="G323" s="467"/>
      <c r="H323" s="467"/>
      <c r="I323" s="467"/>
      <c r="J323" s="467"/>
      <c r="K323" s="1671">
        <f t="shared" si="24"/>
        <v>21030</v>
      </c>
      <c r="L323" s="467">
        <v>21030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v>5424</v>
      </c>
      <c r="F325" s="467"/>
      <c r="G325" s="467"/>
      <c r="H325" s="467"/>
      <c r="I325" s="467"/>
      <c r="J325" s="467"/>
      <c r="K325" s="1671">
        <f t="shared" si="24"/>
        <v>5424</v>
      </c>
      <c r="L325" s="467">
        <v>27824</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2856</v>
      </c>
      <c r="F327" s="467"/>
      <c r="G327" s="467"/>
      <c r="H327" s="467"/>
      <c r="I327" s="467"/>
      <c r="J327" s="467"/>
      <c r="K327" s="1671">
        <f t="shared" si="24"/>
        <v>2856</v>
      </c>
      <c r="L327" s="467">
        <v>5500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52913</v>
      </c>
      <c r="F330" s="1670">
        <f t="shared" si="25"/>
        <v>0</v>
      </c>
      <c r="G330" s="1670">
        <f t="shared" si="25"/>
        <v>0</v>
      </c>
      <c r="H330" s="1670">
        <f t="shared" si="25"/>
        <v>0</v>
      </c>
      <c r="I330" s="1670">
        <f t="shared" si="25"/>
        <v>0</v>
      </c>
      <c r="J330" s="1670">
        <f t="shared" si="25"/>
        <v>0</v>
      </c>
      <c r="K330" s="1670">
        <f>SUM(K319:K329)</f>
        <v>52913</v>
      </c>
      <c r="L330" s="1670">
        <f>SUM(L319:L329)</f>
        <v>75517</v>
      </c>
      <c r="M330" s="665"/>
      <c r="N330" s="665"/>
    </row>
    <row r="331" spans="1:14" s="674" customFormat="1" ht="12.75" customHeight="1" thickTop="1" x14ac:dyDescent="0.2">
      <c r="A331" s="1831" t="s">
        <v>1849</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52913</v>
      </c>
      <c r="F342" s="1670">
        <f>SUM(F330)</f>
        <v>0</v>
      </c>
      <c r="G342" s="1670">
        <f>SUM(G330)</f>
        <v>0</v>
      </c>
      <c r="H342" s="1670">
        <f>SUM(H330,H334,H340)</f>
        <v>0</v>
      </c>
      <c r="I342" s="1670">
        <f>SUM(I330)</f>
        <v>0</v>
      </c>
      <c r="J342" s="1670">
        <f>SUM(J330)</f>
        <v>0</v>
      </c>
      <c r="K342" s="1670">
        <f>SUM(K330,K334,K340)</f>
        <v>52913</v>
      </c>
      <c r="L342" s="1677">
        <f>SUM(L330,L334,L340,L341)</f>
        <v>75517</v>
      </c>
    </row>
    <row r="343" spans="1:14" ht="12.75" customHeight="1" thickTop="1" x14ac:dyDescent="0.2">
      <c r="A343" s="2174" t="s">
        <v>995</v>
      </c>
      <c r="B343" s="2175"/>
      <c r="C343" s="616"/>
      <c r="D343" s="616"/>
      <c r="E343" s="616"/>
      <c r="F343" s="616"/>
      <c r="G343" s="616"/>
      <c r="H343" s="616"/>
      <c r="I343" s="616"/>
      <c r="J343" s="616"/>
      <c r="K343" s="1684">
        <f>'Revenues 9-14'!J268-'Expenditures 15-22'!K342</f>
        <v>1923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965</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1200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1200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1200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1200</v>
      </c>
    </row>
    <row r="368" spans="1:14" ht="13.5" thickTop="1" x14ac:dyDescent="0.2">
      <c r="A368" s="2188" t="s">
        <v>995</v>
      </c>
      <c r="B368" s="2189"/>
      <c r="C368" s="654"/>
      <c r="D368" s="654"/>
      <c r="E368" s="626"/>
      <c r="F368" s="626"/>
      <c r="G368" s="626"/>
      <c r="H368" s="626"/>
      <c r="I368" s="626"/>
      <c r="J368" s="623"/>
      <c r="K368" s="1671">
        <f>'Revenues 9-14'!K268-'Expenditures 15-22'!K367</f>
        <v>8040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purl.org/dc/terms/"/>
    <ds:schemaRef ds:uri="http://schemas.openxmlformats.org/package/2006/metadata/core-properties"/>
    <ds:schemaRef ds:uri="http://www.w3.org/XML/1998/namespace"/>
    <ds:schemaRef ds:uri="4d435f69-8686-490b-bd6d-b153bf22ab50"/>
    <ds:schemaRef ds:uri="http://schemas.microsoft.com/office/2006/metadata/properties"/>
    <ds:schemaRef ds:uri="http://schemas.microsoft.com/office/2006/documentManagement/types"/>
    <ds:schemaRef ds:uri="http://purl.org/dc/elements/1.1/"/>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(3)</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2019-11-05T15:39:22Z</cp:lastPrinted>
  <dcterms:created xsi:type="dcterms:W3CDTF">2003-10-29T19:06:34Z</dcterms:created>
  <dcterms:modified xsi:type="dcterms:W3CDTF">2019-12-06T15:45:46Z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