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E25D3A8-0813-4FBF-BA76-5CE0A7BA2CBD}"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Finding 2019-001" sheetId="183" r:id="rId32"/>
    <sheet name="Finding 2019-002" sheetId="184" r:id="rId33"/>
    <sheet name="Finding 2019-003" sheetId="186" r:id="rId34"/>
    <sheet name="SF&amp;QC Sec-3" sheetId="176" r:id="rId35"/>
    <sheet name="SSPAF" sheetId="177" r:id="rId36"/>
    <sheet name="CAP 2019-001" sheetId="187" r:id="rId37"/>
    <sheet name="CAP 2019-002" sheetId="188" r:id="rId38"/>
    <sheet name="CAP 2019-003" sheetId="189" r:id="rId39"/>
  </sheets>
  <externalReferences>
    <externalReference r:id="rId40"/>
    <externalReference r:id="rId41"/>
  </externalReferences>
  <definedNames>
    <definedName name="\J">#REF!</definedName>
    <definedName name="\L">#REF!</definedName>
    <definedName name="\S">#REF!</definedName>
    <definedName name="\W">#REF!</definedName>
    <definedName name="__123Graph_A" hidden="1">[1]Ed!#REF!</definedName>
    <definedName name="AA">#REF!</definedName>
    <definedName name="AB">#REF!</definedName>
    <definedName name="AG">[1]StofRev!#REF!</definedName>
    <definedName name="AH">[1]StofRev!#REF!</definedName>
    <definedName name="CAP">#REF!</definedName>
    <definedName name="CELL">'[1]CP Exp'!#REF!</definedName>
    <definedName name="COASLIPR">#REF!</definedName>
    <definedName name="combdalpr">#REF!</definedName>
    <definedName name="combdrevbpr">#REF!</definedName>
    <definedName name="combdrevbugpr">#REF!</definedName>
    <definedName name="CORXBDPR">#REF!</definedName>
    <definedName name="goof" localSheetId="37">#REF!</definedName>
    <definedName name="goof">#REF!</definedName>
    <definedName name="oops" localSheetId="37">#REF!</definedName>
    <definedName name="oops">#REF!</definedName>
    <definedName name="pass" localSheetId="38">#REF!</definedName>
    <definedName name="pass">#REF!</definedName>
    <definedName name="pass1" localSheetId="38">#REF!</definedName>
    <definedName name="pass1">#REF!</definedName>
    <definedName name="pass2" localSheetId="38">#REF!</definedName>
    <definedName name="pass2">#REF!</definedName>
    <definedName name="pass3" localSheetId="38">#REF!</definedName>
    <definedName name="pass3">#REF!</definedName>
    <definedName name="pass4" localSheetId="38">#REF!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Q">#REF!</definedName>
    <definedName name="R_">#REF!</definedName>
    <definedName name="_xlnm.Recorder">#REF!</definedName>
    <definedName name="SCHADDRS" localSheetId="27">#REF!</definedName>
    <definedName name="SCHADDRS" localSheetId="17">#REF!</definedName>
    <definedName name="SCHADDRS" localSheetId="36">#REF!</definedName>
    <definedName name="SCHADDRS" localSheetId="37">#REF!</definedName>
    <definedName name="SCHADDRS" localSheetId="38">#REF!</definedName>
    <definedName name="SCHADDRS" localSheetId="21">#REF!</definedName>
    <definedName name="SCHADDRS" localSheetId="4">#REF!</definedName>
    <definedName name="SCHADDRS" localSheetId="31">#REF!</definedName>
    <definedName name="SCHADDRS" localSheetId="32">#REF!</definedName>
    <definedName name="SCHADDRS" localSheetId="33">#REF!</definedName>
    <definedName name="SCHADDRS" localSheetId="28">#REF!</definedName>
    <definedName name="SCHADDRS" localSheetId="26">#REF!</definedName>
    <definedName name="SCHADDRS" localSheetId="29">#REF!</definedName>
    <definedName name="SCHADDRS" localSheetId="30">#REF!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17">#REF!</definedName>
    <definedName name="SCHCTY" localSheetId="36">#REF!</definedName>
    <definedName name="SCHCTY" localSheetId="37">#REF!</definedName>
    <definedName name="SCHCTY" localSheetId="38">#REF!</definedName>
    <definedName name="SCHCTY" localSheetId="21">#REF!</definedName>
    <definedName name="SCHCTY" localSheetId="4">#REF!</definedName>
    <definedName name="SCHCTY" localSheetId="31">#REF!</definedName>
    <definedName name="SCHCTY" localSheetId="32">#REF!</definedName>
    <definedName name="SCHCTY" localSheetId="33">#REF!</definedName>
    <definedName name="SCHCTY" localSheetId="28">#REF!</definedName>
    <definedName name="SCHCTY" localSheetId="26">#REF!</definedName>
    <definedName name="SCHCTY" localSheetId="29">#REF!</definedName>
    <definedName name="SCHCTY" localSheetId="30">#REF!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17">#REF!</definedName>
    <definedName name="SCHNMBR" localSheetId="36">#REF!</definedName>
    <definedName name="SCHNMBR" localSheetId="37">#REF!</definedName>
    <definedName name="SCHNMBR" localSheetId="38">#REF!</definedName>
    <definedName name="SCHNMBR" localSheetId="21">#REF!</definedName>
    <definedName name="SCHNMBR" localSheetId="4">#REF!</definedName>
    <definedName name="SCHNMBR" localSheetId="31">#REF!</definedName>
    <definedName name="SCHNMBR" localSheetId="32">#REF!</definedName>
    <definedName name="SCHNMBR" localSheetId="33">#REF!</definedName>
    <definedName name="SCHNMBR" localSheetId="28">#REF!</definedName>
    <definedName name="SCHNMBR" localSheetId="26">#REF!</definedName>
    <definedName name="SCHNMBR" localSheetId="29">#REF!</definedName>
    <definedName name="SCHNMBR" localSheetId="30">#REF!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17">#REF!</definedName>
    <definedName name="SCHNME" localSheetId="36">#REF!</definedName>
    <definedName name="SCHNME" localSheetId="37">#REF!</definedName>
    <definedName name="SCHNME" localSheetId="38">#REF!</definedName>
    <definedName name="SCHNME" localSheetId="21">#REF!</definedName>
    <definedName name="SCHNME" localSheetId="4">#REF!</definedName>
    <definedName name="SCHNME" localSheetId="31">#REF!</definedName>
    <definedName name="SCHNME" localSheetId="32">#REF!</definedName>
    <definedName name="SCHNME" localSheetId="33">#REF!</definedName>
    <definedName name="SCHNME" localSheetId="28">#REF!</definedName>
    <definedName name="SCHNME" localSheetId="26">#REF!</definedName>
    <definedName name="SCHNME" localSheetId="29">#REF!</definedName>
    <definedName name="SCHNME" localSheetId="30">#REF!</definedName>
    <definedName name="SCHNME" localSheetId="34">#REF!</definedName>
    <definedName name="SCHNME" localSheetId="25">#REF!</definedName>
    <definedName name="SCHNME" localSheetId="24">#REF!</definedName>
    <definedName name="SCHNME" localSheetId="35">#REF!</definedName>
    <definedName name="SCHNME">#REF!</definedName>
    <definedName name="ShadedAdjCash1">'[2]Adjusted Cash Balances - AJEs'!$B$6,'[2]Adjusted Cash Balances - AJEs'!$C$6,'[2]Adjusted Cash Balances - AJEs'!$D$6,'[2]Adjusted Cash Balances - AJEs'!$E$6,'[2]Adjusted Cash Balances - AJEs'!$F$6,'[2]Adjusted Cash Balances - AJEs'!$G$6,'[2]Adjusted Cash Balances - AJEs'!$H$6,'[2]Adjusted Cash Balances - AJEs'!$I$6,'[2]Adjusted Cash Balances - AJEs'!$J$6,'[2]Adjusted Cash Balances - AJEs'!$K$6,'[2]Adjusted Cash Balances - AJEs'!$L$6,'[2]Adjusted Cash Balances - AJEs'!$M$6,'[2]Adjusted Cash Balances - AJEs'!$N$6,'[2]Adjusted Cash Balances - AJEs'!$O$6,'[2]Adjusted Cash Balances - AJEs'!$P$6,'[2]Adjusted Cash Balances - AJEs'!$B$22,'[2]Adjusted Cash Balances - AJEs'!$C$22,'[2]Adjusted Cash Balances - AJEs'!$D$22,'[2]Adjusted Cash Balances - AJEs'!$E$22,'[2]Adjusted Cash Balances - AJEs'!$F$22,'[2]Adjusted Cash Balances - AJEs'!$G$22,'[2]Adjusted Cash Balances - AJEs'!$H$22,'[2]Adjusted Cash Balances - AJEs'!$I$22,'[2]Adjusted Cash Balances - AJEs'!$J$22,'[2]Adjusted Cash Balances - AJEs'!$K$22,'[2]Adjusted Cash Balances - AJEs'!$L$22,'[2]Adjusted Cash Balances - AJEs'!$M$22,'[2]Adjusted Cash Balances - AJEs'!$N$22,'[2]Adjusted Cash Balances - AJEs'!$O$22,'[2]Adjusted Cash Balances - AJEs'!$P$22,'[2]Adjusted Cash Balances - AJEs'!$B$23,'[2]Adjusted Cash Balances - AJEs'!$C$23,'[2]Adjusted Cash Balances - AJEs'!$D$23,'[2]Adjusted Cash Balances - AJEs'!$E$23,'[2]Adjusted Cash Balances - AJEs'!$F$23,'[2]Adjusted Cash Balances - AJEs'!$G$23,'[2]Adjusted Cash Balances - AJEs'!$H$23,'[2]Adjusted Cash Balances - AJEs'!$I$23,'[2]Adjusted Cash Balances - AJEs'!$J$23,'[2]Adjusted Cash Balances - AJEs'!$K$23</definedName>
    <definedName name="ShadedAdjCash2">'[2]Adjusted Cash Balances - AJEs'!$L$23,'[2]Adjusted Cash Balances - AJEs'!$M$23,'[2]Adjusted Cash Balances - AJEs'!$N$23,'[2]Adjusted Cash Balances - AJEs'!$O$23,'[2]Adjusted Cash Balances - AJEs'!$P$23,'[2]Adjusted Cash Balances - AJEs'!$Q$23,'[2]Adjusted Cash Balances - AJEs'!$P$24,'[2]Adjusted Cash Balances - AJEs'!$O$24,'[2]Adjusted Cash Balances - AJEs'!$N$24,'[2]Adjusted Cash Balances - AJEs'!$M$24,'[2]Adjusted Cash Balances - AJEs'!$L$24,'[2]Adjusted Cash Balances - AJEs'!$K$24,'[2]Adjusted Cash Balances - AJEs'!$J$24,'[2]Adjusted Cash Balances - AJEs'!$I$24,'[2]Adjusted Cash Balances - AJEs'!$H$24,'[2]Adjusted Cash Balances - AJEs'!$G$24,'[2]Adjusted Cash Balances - AJEs'!$F$24,'[2]Adjusted Cash Balances - AJEs'!$E$24,'[2]Adjusted Cash Balances - AJEs'!$D$24,'[2]Adjusted Cash Balances - AJEs'!$C$24,'[2]Adjusted Cash Balances - AJEs'!$B$24,'[2]Adjusted Cash Balances - AJEs'!$B$26,'[2]Adjusted Cash Balances - AJEs'!$C$26,'[2]Adjusted Cash Balances - AJEs'!$D$26,'[2]Adjusted Cash Balances - AJEs'!$E$26,'[2]Adjusted Cash Balances - AJEs'!$F$26,'[2]Adjusted Cash Balances - AJEs'!$G$26,'[2]Adjusted Cash Balances - AJEs'!$H$26,'[2]Adjusted Cash Balances - AJEs'!$I$26,'[2]Adjusted Cash Balances - AJEs'!$J$26,'[2]Adjusted Cash Balances - AJEs'!$K$26,'[2]Adjusted Cash Balances - AJEs'!$L$26,'[2]Adjusted Cash Balances - AJEs'!$M$26,'[2]Adjusted Cash Balances - AJEs'!$N$26,'[2]Adjusted Cash Balances - AJEs'!$O$26,'[2]Adjusted Cash Balances - AJEs'!$P$26,'[2]Adjusted Cash Balances - AJEs'!$P$28,'[2]Adjusted Cash Balances - AJEs'!$O$28</definedName>
    <definedName name="ShadedAdjCash3">'[2]Adjusted Cash Balances - AJEs'!$L$28,'[2]Adjusted Cash Balances - AJEs'!$K$28,'[2]Adjusted Cash Balances - AJEs'!$J$28,'[2]Adjusted Cash Balances - AJEs'!$I$28,'[2]Adjusted Cash Balances - AJEs'!$H$28,'[2]Adjusted Cash Balances - AJEs'!$G$28,'[2]Adjusted Cash Balances - AJEs'!$F$28,'[2]Adjusted Cash Balances - AJEs'!$E$28,'[2]Adjusted Cash Balances - AJEs'!$D$28,'[2]Adjusted Cash Balances - AJEs'!$C$28,'[2]Adjusted Cash Balances - AJEs'!$B$28</definedName>
    <definedName name="ShadedBankRec1">'[2]Bank Reconciliation'!$F$11,'[2]Bank Reconciliation'!$H$11,'[2]Bank Reconciliation'!$H$12,'[2]Bank Reconciliation'!$H$13,'[2]Bank Reconciliation'!$F$12,'[2]Bank Reconciliation'!$F$13,'[2]Bank Reconciliation'!$F$14,'[2]Bank Reconciliation'!$F$15,'[2]Bank Reconciliation'!$F$16,'[2]Bank Reconciliation'!$F$17,'[2]Bank Reconciliation'!$F$18,'[2]Bank Reconciliation'!$F$19,'[2]Bank Reconciliation'!$F$19,'[2]Bank Reconciliation'!$F$20,'[2]Bank Reconciliation'!$F$21,'[2]Bank Reconciliation'!$F$22,'[2]Bank Reconciliation'!$F$23,'[2]Bank Reconciliation'!$F$24,'[2]Bank Reconciliation'!$F$25,'[2]Bank Reconciliation'!$D$25,'[2]Bank Reconciliation'!$H$14,'[2]Bank Reconciliation'!$H$15,'[2]Bank Reconciliation'!$H$16,'[2]Bank Reconciliation'!$H$17,'[2]Bank Reconciliation'!$H$18,'[2]Bank Reconciliation'!$H$19,'[2]Bank Reconciliation'!$H$20,'[2]Bank Reconciliation'!$H$21,'[2]Bank Reconciliation'!$H$22,'[2]Bank Reconciliation'!$H$23,'[2]Bank Reconciliation'!$H$24,'[2]Bank Reconciliation'!$H$25,'[2]Bank Reconciliation'!$J$25,'[2]Bank Reconciliation'!$J$24,'[2]Bank Reconciliation'!$J$23,'[2]Bank Reconciliation'!$J$22,'[2]Bank Reconciliation'!$J$21,'[2]Bank Reconciliation'!$J$20,'[2]Bank Reconciliation'!$J$19,'[2]Bank Reconciliation'!$J$18,'[2]Bank Reconciliation'!$J$17</definedName>
    <definedName name="ShadedBankRec2">'[2]Bank Reconciliation'!$J$16,'[2]Bank Reconciliation'!$J$15,'[2]Bank Reconciliation'!$J$13,'[2]Bank Reconciliation'!$J$14,'[2]Bank Reconciliation'!$J$12,'[2]Bank Reconciliation'!$J$11,'[2]Bank Reconciliation'!$J$41,'[2]Bank Reconciliation'!$J$43,'[2]Bank Reconciliation'!$J$52,'[2]Bank Reconciliation'!$J$55</definedName>
    <definedName name="ShadedFund1">'[1]S - Adjusted Fund Balances'!$C$8,'[1]S - Adjusted Fund Balances'!$D$8,'[1]S - Adjusted Fund Balances'!$E$8,'[1]S - Adjusted Fund Balances'!$F$8,'[1]S - Adjusted Fund Balances'!$G$8,'[1]S - Adjusted Fund Balances'!$H$8,'[1]S - Adjusted Fund Balances'!$I$8,'[1]S - Adjusted Fund Balances'!$J$8,'[1]S - Adjusted Fund Balances'!$K$8,'[1]S - Adjusted Fund Balances'!$L$8,'[1]S - Adjusted Fund Balances'!$M$8,'[1]S - Adjusted Fund Balances'!$N$8,'[1]S - Adjusted Fund Balances'!$O$8,'[1]S - Adjusted Fund Balances'!$P$8,'[1]S - Adjusted Fund Balances'!$Q$8,'[1]S - Adjusted Fund Balances'!$Q$16,'[1]S - Adjusted Fund Balances'!$P$16,'[1]S - Adjusted Fund Balances'!$O$16,'[1]S - Adjusted Fund Balances'!$N$16,'[1]S - Adjusted Fund Balances'!$M$16,'[1]S - Adjusted Fund Balances'!$L$16,'[1]S - Adjusted Fund Balances'!$K$16,'[1]S - Adjusted Fund Balances'!$J$16,'[1]S - Adjusted Fund Balances'!$I$16,'[1]S - Adjusted Fund Balances'!$H$16,'[1]S - Adjusted Fund Balances'!$G$16,'[1]S - Adjusted Fund Balances'!$F$16,'[1]S - Adjusted Fund Balances'!$E$16,'[1]S - Adjusted Fund Balances'!$D$16,'[1]S - Adjusted Fund Balances'!$C$16,'[1]S - Adjusted Fund Balances'!$C$17,'[1]S - Adjusted Fund Balances'!$D$17,'[1]S - Adjusted Fund Balances'!$E$17,'[1]S - Adjusted Fund Balances'!$F$17,'[1]S - Adjusted Fund Balances'!$G$17,'[1]S - Adjusted Fund Balances'!$H$17,'[1]S - Adjusted Fund Balances'!$I$17,'[1]S - Adjusted Fund Balances'!$J$17,'[1]S - Adjusted Fund Balances'!$K$17,'[1]S - Adjusted Fund Balances'!$L$17</definedName>
    <definedName name="ShadedFund2">'[1]S - Adjusted Fund Balances'!$M$17,'[1]S - Adjusted Fund Balances'!$N$17,'[1]S - Adjusted Fund Balances'!$O$17,'[1]S - Adjusted Fund Balances'!$P$17,'[1]S - Adjusted Fund Balances'!$Q$17,'[1]S - Adjusted Fund Balances'!$Q$18,'[1]S - Adjusted Fund Balances'!$P$18,'[1]S - Adjusted Fund Balances'!$O$18,'[1]S - Adjusted Fund Balances'!$N$18,'[1]S - Adjusted Fund Balances'!$M$18,'[1]S - Adjusted Fund Balances'!$L$18,'[1]S - Adjusted Fund Balances'!$K$18,'[1]S - Adjusted Fund Balances'!$J$18,'[1]S - Adjusted Fund Balances'!$I$18,'[1]S - Adjusted Fund Balances'!$H$18,'[1]S - Adjusted Fund Balances'!$G$18,'[1]S - Adjusted Fund Balances'!$F$18,'[1]S - Adjusted Fund Balances'!$E$18,'[1]S - Adjusted Fund Balances'!$D$18,'[1]S - Adjusted Fund Balances'!$C$18,'[1]S - Adjusted Fund Balances'!$C$13,'[1]S - Adjusted Fund Balances'!$D$13,'[1]S - Adjusted Fund Balances'!$E$13,'[1]S - Adjusted Fund Balances'!$F$13,'[1]S - Adjusted Fund Balances'!$G$13,'[1]S - Adjusted Fund Balances'!$H$13,'[1]S - Adjusted Fund Balances'!$I$13,'[1]S - Adjusted Fund Balances'!$J$13,'[1]S - Adjusted Fund Balances'!$K$13,'[1]S - Adjusted Fund Balances'!$L$13,'[1]S - Adjusted Fund Balances'!$M$13,'[1]S - Adjusted Fund Balances'!$N$13,'[1]S - Adjusted Fund Balances'!$O$13,'[1]S - Adjusted Fund Balances'!$P$13,'[1]S - Adjusted Fund Balances'!$Q$13,'[1]S - Adjusted Fund Balances'!$Q$12,'[1]S - Adjusted Fund Balances'!$Q$11,'[1]S - Adjusted Fund Balances'!$Q$10</definedName>
    <definedName name="ShadedFund3">'[1]S - Adjusted Fund Balances'!$Q$20,'[1]S - Adjusted Fund Balances'!$Q$21,'[1]S - Adjusted Fund Balances'!$Q$22,'[1]S - Adjusted Fund Balances'!$Q$23,'[1]S - Adjusted Fund Balances'!$P$23,'[1]S - Adjusted Fund Balances'!$O$23,'[1]S - Adjusted Fund Balances'!$N$23,'[1]S - Adjusted Fund Balances'!$M$23,'[1]S - Adjusted Fund Balances'!$L$23,'[1]S - Adjusted Fund Balances'!$K$23,'[1]S - Adjusted Fund Balances'!$J$23,'[1]S - Adjusted Fund Balances'!$I$23,'[1]S - Adjusted Fund Balances'!$H$23,'[1]S - Adjusted Fund Balances'!$G$23,'[1]S - Adjusted Fund Balances'!$F$23,'[1]S - Adjusted Fund Balances'!$E$23,'[1]S - Adjusted Fund Balances'!$D$23,'[1]S - Adjusted Fund Balances'!$C$23,'[1]S - Adjusted Fund Balances'!$C$33,'[1]S - Adjusted Fund Balances'!$D$33,'[1]S - Adjusted Fund Balances'!$E$33,'[1]S - Adjusted Fund Balances'!$F$33,'[1]S - Adjusted Fund Balances'!$G$33,'[1]S - Adjusted Fund Balances'!$H$33,'[1]S - Adjusted Fund Balances'!$I$33,'[1]S - Adjusted Fund Balances'!$J$33,'[1]S - Adjusted Fund Balances'!$K$33,'[1]S - Adjusted Fund Balances'!$L$33,'[1]S - Adjusted Fund Balances'!$M$33,'[1]S - Adjusted Fund Balances'!$N$33,'[1]S - Adjusted Fund Balances'!$O$33,'[1]S - Adjusted Fund Balances'!$P$33,'[1]S - Adjusted Fund Balances'!$Q$33,'[1]S - Adjusted Fund Balances'!$Q$32,'[1]S - Adjusted Fund Balances'!$Q$31,'[1]S - Adjusted Fund Balances'!$Q$30</definedName>
    <definedName name="ShadedFund4">'[1]S - Adjusted Fund Balances'!$Q$35,'[1]S - Adjusted Fund Balances'!$Q$36,'[1]S - Adjusted Fund Balances'!$Q$37,'[1]S - Adjusted Fund Balances'!$Q$38,'[1]S - Adjusted Fund Balances'!$Q$60,'[1]S - Adjusted Fund Balances'!$Q$61,'[1]S - Adjusted Fund Balances'!$Q$62,'[1]S - Adjusted Fund Balances'!$Q$63,'[1]S - Adjusted Fund Balances'!$P$38,'[1]S - Adjusted Fund Balances'!$O$38,'[1]S - Adjusted Fund Balances'!$N$38,'[1]S - Adjusted Fund Balances'!$M$38,'[1]S - Adjusted Fund Balances'!$L$38,'[1]S - Adjusted Fund Balances'!$K$38,'[1]S - Adjusted Fund Balances'!$J$38,'[1]S - Adjusted Fund Balances'!$I$38,'[1]S - Adjusted Fund Balances'!$I$63,'[1]S - Adjusted Fund Balances'!$J$63,'[1]S - Adjusted Fund Balances'!$K$63,'[1]S - Adjusted Fund Balances'!$L$63,'[1]S - Adjusted Fund Balances'!$M$63,'[1]S - Adjusted Fund Balances'!$N$63,'[1]S - Adjusted Fund Balances'!$O$63,'[1]S - Adjusted Fund Balances'!$P$63,'[1]S - Adjusted Fund Balances'!$H$38,'[1]S - Adjusted Fund Balances'!$G$38,'[1]S - Adjusted Fund Balances'!$F$38,'[1]S - Adjusted Fund Balances'!$E$38,'[1]S - Adjusted Fund Balances'!$D$38,'[1]S - Adjusted Fund Balances'!$C$38,'[1]S - Adjusted Fund Balances'!$C$63,'[1]S - Adjusted Fund Balances'!$D$63,'[1]S - Adjusted Fund Balances'!$E$63,'[1]S - Adjusted Fund Balances'!$F$63,'[1]S - Adjusted Fund Balances'!$G$63,'[1]S - Adjusted Fund Balances'!$H$63</definedName>
    <definedName name="ShadedFund5">'[1]S - Adjusted Fund Balances'!$C$68,'[1]S - Adjusted Fund Balances'!$C$85,'[1]S - Adjusted Fund Balances'!$D$85,'[1]S - Adjusted Fund Balances'!$E$85,'[1]S - Adjusted Fund Balances'!$F$85,'[1]S - Adjusted Fund Balances'!$G$85,'[1]S - Adjusted Fund Balances'!$H$85,'[1]S - Adjusted Fund Balances'!$I$85,'[1]S - Adjusted Fund Balances'!$J$85,'[1]S - Adjusted Fund Balances'!$J$68,'[1]S - Adjusted Fund Balances'!$I$68,'[1]S - Adjusted Fund Balances'!$H$68,'[1]S - Adjusted Fund Balances'!$G$68,'[1]S - Adjusted Fund Balances'!$F$68,'[1]S - Adjusted Fund Balances'!$E$68,'[1]S - Adjusted Fund Balances'!$D$68,'[1]S - Adjusted Fund Balances'!$K$68,'[1]S - Adjusted Fund Balances'!$L$68,'[1]S - Adjusted Fund Balances'!$M$68,'[1]S - Adjusted Fund Balances'!$N$68,'[1]S - Adjusted Fund Balances'!$O$68,'[1]S - Adjusted Fund Balances'!$P$68,'[1]S - Adjusted Fund Balances'!$Q$68,'[1]S - Adjusted Fund Balances'!$Q$85,'[1]S - Adjusted Fund Balances'!$P$85,'[1]S - Adjusted Fund Balances'!$O$85,'[1]S - Adjusted Fund Balances'!$N$85,'[1]S - Adjusted Fund Balances'!$M$85,'[1]S - Adjusted Fund Balances'!$L$85,'[1]S - Adjusted Fund Balances'!$K$85,'[1]S - Adjusted Fund Balances'!$Q$67,'[1]S - Adjusted Fund Balances'!$Q$66,'[1]S - Adjusted Fund Balances'!$Q$65</definedName>
    <definedName name="speclcombgpr">#REF!</definedName>
    <definedName name="SPECPR">#REF!</definedName>
    <definedName name="SUPT" localSheetId="27">#REF!</definedName>
    <definedName name="SUPT" localSheetId="17">#REF!</definedName>
    <definedName name="SUPT" localSheetId="36">#REF!</definedName>
    <definedName name="SUPT" localSheetId="37">#REF!</definedName>
    <definedName name="SUPT" localSheetId="38">#REF!</definedName>
    <definedName name="SUPT" localSheetId="21">#REF!</definedName>
    <definedName name="SUPT" localSheetId="4">#REF!</definedName>
    <definedName name="SUPT" localSheetId="31">#REF!</definedName>
    <definedName name="SUPT" localSheetId="32">#REF!</definedName>
    <definedName name="SUPT" localSheetId="33">#REF!</definedName>
    <definedName name="SUPT" localSheetId="28">#REF!</definedName>
    <definedName name="SUPT" localSheetId="26">#REF!</definedName>
    <definedName name="SUPT" localSheetId="29">#REF!</definedName>
    <definedName name="SUPT" localSheetId="30">#REF!</definedName>
    <definedName name="SUPT" localSheetId="34">#REF!</definedName>
    <definedName name="SUPT" localSheetId="25">#REF!</definedName>
    <definedName name="SUPT" localSheetId="24">#REF!</definedName>
    <definedName name="SUPT" localSheetId="35">#REF!</definedName>
    <definedName name="SUPT">#REF!</definedName>
    <definedName name="V">'[1]CP Exp'!#REF!</definedName>
    <definedName name="wcpr">#REF!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8" i="12" l="1"/>
  <c r="B1" i="189" l="1"/>
  <c r="B11" i="188" l="1"/>
  <c r="B1" i="188" s="1"/>
  <c r="B1" i="187" l="1"/>
  <c r="B4" i="184" l="1"/>
  <c r="B4"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83"/>
  <c r="B1" i="184"/>
  <c r="B1" i="183"/>
  <c r="B2" i="177"/>
  <c r="A2" i="170"/>
  <c r="B2" i="174"/>
  <c r="A2" i="173"/>
  <c r="A1" i="171"/>
  <c r="B1" i="179"/>
  <c r="B2" i="176"/>
  <c r="B1" i="175"/>
  <c r="B1" i="177"/>
  <c r="A1" i="170"/>
  <c r="A2" i="171"/>
  <c r="A1" i="173"/>
  <c r="B1" i="174"/>
  <c r="B2" i="175"/>
  <c r="B1" i="176"/>
  <c r="B2" i="189" l="1"/>
  <c r="B13" i="188"/>
  <c r="B2" i="187"/>
  <c r="B7773" i="106"/>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B7719" i="106" s="1"/>
  <c r="D7719" i="106" s="1"/>
  <c r="K23" i="12"/>
  <c r="J12" i="12"/>
  <c r="B7718" i="106" s="1"/>
  <c r="D7718" i="106" s="1"/>
  <c r="J21" i="12"/>
  <c r="B7727" i="106" s="1"/>
  <c r="D7727" i="106" s="1"/>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B5304" i="106" s="1"/>
  <c r="D5304" i="106" s="1"/>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J32" i="8" s="1"/>
  <c r="I33" i="8"/>
  <c r="J33" i="8" s="1"/>
  <c r="I34" i="8"/>
  <c r="J34" i="8" s="1"/>
  <c r="J49" i="8" s="1"/>
  <c r="B4172" i="106" s="1"/>
  <c r="D4172" i="106" s="1"/>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F26" i="108"/>
  <c r="E27" i="108"/>
  <c r="G27" i="108"/>
  <c r="F31" i="108"/>
  <c r="G28"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D22" i="37"/>
  <c r="D24" i="37"/>
  <c r="B4270" i="106" s="1"/>
  <c r="D4270" i="106" s="1"/>
  <c r="H33" i="118" l="1"/>
  <c r="G14" i="4"/>
  <c r="B2609" i="106" s="1"/>
  <c r="D2609" i="106" s="1"/>
  <c r="F72" i="34"/>
  <c r="H28" i="118"/>
  <c r="L15" i="11"/>
  <c r="B3459" i="106" s="1"/>
  <c r="D3459" i="106" s="1"/>
  <c r="D69" i="36"/>
  <c r="F46" i="34"/>
  <c r="F42" i="34"/>
  <c r="B1126" i="106"/>
  <c r="D1126" i="106" s="1"/>
  <c r="B1124" i="106"/>
  <c r="D1124" i="106" s="1"/>
  <c r="G30" i="108"/>
  <c r="H76" i="4"/>
  <c r="B3298" i="106" s="1"/>
  <c r="D3298" i="106" s="1"/>
  <c r="E30" i="108"/>
  <c r="B6289" i="106"/>
  <c r="D6289" i="106" s="1"/>
  <c r="F67" i="34"/>
  <c r="I210" i="29"/>
  <c r="B7071" i="106" s="1"/>
  <c r="D7071" i="106" s="1"/>
  <c r="F36" i="34"/>
  <c r="G33" i="108"/>
  <c r="D54" i="36"/>
  <c r="L5" i="11"/>
  <c r="B2056" i="106" s="1"/>
  <c r="D2056" i="106" s="1"/>
  <c r="F69" i="34"/>
  <c r="F64" i="34"/>
  <c r="J210" i="29"/>
  <c r="B7072" i="106" s="1"/>
  <c r="D7072" i="106" s="1"/>
  <c r="J22" i="37"/>
  <c r="B2724" i="106"/>
  <c r="D2724" i="106" s="1"/>
  <c r="F36" i="108"/>
  <c r="F49" i="34"/>
  <c r="L367" i="29"/>
  <c r="H365" i="29"/>
  <c r="B7242" i="106" s="1"/>
  <c r="D7242" i="106" s="1"/>
  <c r="J352" i="29"/>
  <c r="J367" i="29" s="1"/>
  <c r="B7245" i="106" s="1"/>
  <c r="D7245" i="106" s="1"/>
  <c r="C352" i="29"/>
  <c r="C367" i="29" s="1"/>
  <c r="B3622" i="106" s="1"/>
  <c r="D3622"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J16" i="4" l="1"/>
  <c r="B6226" i="106" s="1"/>
  <c r="D6226" i="106" s="1"/>
  <c r="D7254" i="106"/>
  <c r="D7256" i="106"/>
  <c r="D7252" i="106"/>
  <c r="F66" i="34"/>
  <c r="I7" i="4"/>
  <c r="B4444" i="106" s="1"/>
  <c r="D4444" i="106" s="1"/>
  <c r="B3621" i="106"/>
  <c r="D3621"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<sst xmlns="http://schemas.openxmlformats.org/spreadsheetml/2006/main" count="5253" uniqueCount="2180">
  <si>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</si>
  <si>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</si>
  <si>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</si>
  <si>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</si>
  <si>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</si>
  <si>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</si>
  <si>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</si>
  <si>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</si>
  <si>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</si>
  <si>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</si>
  <si>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</si>
  <si>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</si>
  <si>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</si>
  <si>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</si>
  <si>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</si>
  <si>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</si>
  <si>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</si>
  <si>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</si>
  <si>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</si>
  <si>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</si>
  <si>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</si>
  <si>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</si>
  <si>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</si>
  <si>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</si>
  <si>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</si>
  <si>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</si>
  <si>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</si>
  <si>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</si>
  <si>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</si>
  <si>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</si>
  <si>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</si>
  <si>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</si>
  <si>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</si>
  <si>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</si>
  <si>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</si>
  <si>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</si>
  <si>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</si>
  <si>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</si>
  <si>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</si>
  <si>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</si>
  <si>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</si>
  <si>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</si>
  <si>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</si>
  <si>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</si>
  <si>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</si>
  <si>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</si>
  <si>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</si>
  <si>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</si>
  <si>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</si>
  <si>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</si>
  <si>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</si>
  <si>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</si>
  <si>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</si>
  <si>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</si>
  <si>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</si>
  <si>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</si>
  <si>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</si>
  <si>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</si>
  <si>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</si>
  <si>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</si>
  <si>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</si>
  <si>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</si>
  <si>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</si>
  <si>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</si>
  <si>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</si>
  <si>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</si>
  <si>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</si>
  <si>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</si>
  <si>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</si>
  <si>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</si>
  <si>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</si>
  <si>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</si>
  <si>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</si>
  <si>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</si>
  <si>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</si>
  <si>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</si>
  <si>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</si>
  <si>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</si>
  <si>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</si>
  <si>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</si>
  <si>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</si>
  <si>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</si>
  <si>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</si>
  <si>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</si>
  <si>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</si>
  <si>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</si>
  <si>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</si>
  <si>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</si>
  <si>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</si>
  <si>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</si>
  <si>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</si>
  <si>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</si>
  <si>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</si>
  <si>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</si>
  <si>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</si>
  <si>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</si>
  <si>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</si>
  <si>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</si>
  <si>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</si>
  <si>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</si>
  <si>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</si>
  <si>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</si>
  <si>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</si>
  <si>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</si>
  <si>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</si>
  <si>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</si>
  <si>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</si>
  <si>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</si>
  <si>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</si>
  <si>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</si>
  <si>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</si>
  <si>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</si>
  <si>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</si>
  <si>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</si>
  <si>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</si>
  <si>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</si>
  <si>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</si>
  <si>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</si>
  <si>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</si>
  <si>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</si>
  <si>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</si>
  <si>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</si>
  <si>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</si>
  <si>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</si>
  <si>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</si>
  <si>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</si>
  <si>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</si>
  <si>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</si>
  <si>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</si>
  <si>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</si>
  <si>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</si>
  <si>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</si>
  <si>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</si>
  <si>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</si>
  <si>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</si>
  <si>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</si>
  <si>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</si>
  <si>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</si>
  <si>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</si>
  <si>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</si>
  <si>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</si>
  <si>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</si>
  <si>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</si>
  <si>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</si>
  <si>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</si>
  <si>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</si>
  <si>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</si>
  <si>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</si>
  <si>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</si>
  <si>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</si>
  <si>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</si>
  <si>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</si>
  <si>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</si>
  <si>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</si>
  <si>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</si>
  <si>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</si>
  <si>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</si>
  <si>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</si>
  <si>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</si>
  <si>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</si>
  <si>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</si>
  <si>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</si>
  <si>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</si>
  <si>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</si>
  <si>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</si>
  <si>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</si>
  <si>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</si>
  <si>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</si>
  <si>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</si>
  <si>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</si>
  <si>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</si>
  <si>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</si>
  <si>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</si>
  <si>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</si>
  <si>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</si>
  <si>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</si>
  <si>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</si>
  <si>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</si>
  <si>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</si>
  <si>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</si>
  <si>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</si>
  <si>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</si>
  <si>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</si>
  <si>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</si>
  <si>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</si>
  <si>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</si>
  <si>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</si>
  <si>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</si>
  <si>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</si>
  <si>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</si>
  <si>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</si>
  <si>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</si>
  <si>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</si>
  <si>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</si>
  <si>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</si>
  <si>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</si>
  <si>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</si>
  <si>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</si>
  <si>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</si>
  <si>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</si>
  <si>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</si>
  <si>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</si>
  <si>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</si>
  <si>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</si>
  <si>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</si>
  <si>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</si>
  <si>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</si>
  <si>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</si>
  <si>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</si>
  <si>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</si>
  <si>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</si>
  <si>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</si>
  <si>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</si>
  <si>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</si>
  <si>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</si>
  <si>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</si>
  <si>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</si>
  <si>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</si>
  <si>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</si>
  <si>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</si>
  <si>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</si>
  <si>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</si>
  <si>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</si>
  <si>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</si>
  <si>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</si>
  <si>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</si>
  <si>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</si>
  <si>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</si>
  <si>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</si>
  <si>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</si>
  <si>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</si>
  <si>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</si>
  <si>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</si>
  <si>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</si>
  <si>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</si>
  <si>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</si>
  <si>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</si>
  <si>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</si>
  <si>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</si>
  <si>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</si>
  <si>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</si>
  <si>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</si>
  <si>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</si>
  <si>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</si>
  <si>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</si>
  <si>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</si>
  <si>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</si>
  <si>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</si>
  <si>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</si>
  <si>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</si>
  <si>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</si>
  <si>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</si>
  <si>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</si>
  <si>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</si>
  <si>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</si>
  <si>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</si>
  <si>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</si>
  <si>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</si>
  <si>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</si>
  <si>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</si>
  <si>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</si>
  <si>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</si>
  <si>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</si>
  <si>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</si>
  <si>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</si>
  <si>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</si>
  <si>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</si>
  <si>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</si>
  <si>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</si>
  <si>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</si>
  <si>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</si>
  <si>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</si>
  <si>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</si>
  <si>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</si>
  <si>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</si>
  <si>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</si>
  <si>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</si>
  <si>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</si>
  <si>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</si>
  <si>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</si>
  <si>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</si>
  <si>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</si>
  <si>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</si>
  <si>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</si>
  <si>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</si>
  <si>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</si>
  <si>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</si>
  <si>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</si>
  <si>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</si>
  <si>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</si>
  <si>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</si>
  <si>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</si>
  <si>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</si>
  <si>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</si>
  <si>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</si>
  <si>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</si>
  <si>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</si>
  <si>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</si>
  <si>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</si>
  <si>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</si>
  <si>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</si>
  <si>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</si>
  <si>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</si>
  <si>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</si>
  <si>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</si>
  <si>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</si>
  <si>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</si>
  <si>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</si>
  <si>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</si>
  <si>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</si>
  <si>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</si>
  <si>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</si>
  <si>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</si>
  <si>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</si>
  <si>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</si>
  <si>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</si>
  <si>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</si>
  <si>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</si>
  <si>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</si>
  <si>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</si>
  <si>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</si>
  <si>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</si>
  <si>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</si>
  <si>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</si>
  <si>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</si>
  <si>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</si>
  <si>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</si>
  <si>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</si>
  <si>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</si>
  <si>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</si>
  <si>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</si>
  <si>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</si>
  <si>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</si>
  <si>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</si>
  <si>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</si>
  <si>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</si>
  <si>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</si>
  <si>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</si>
  <si>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</si>
  <si>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</si>
  <si>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</si>
  <si>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</si>
  <si>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</si>
  <si>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</si>
  <si>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</si>
  <si>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</si>
  <si>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</si>
  <si>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</si>
  <si>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</si>
  <si>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</si>
  <si>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</si>
  <si>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</si>
  <si>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</si>
  <si>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</si>
  <si>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</si>
  <si>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</si>
  <si>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</si>
  <si>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</si>
  <si>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</si>
  <si>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</si>
  <si>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</si>
  <si>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</si>
  <si>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</si>
  <si>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</si>
  <si>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</si>
  <si>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</si>
  <si>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</si>
  <si>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</si>
  <si>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</si>
  <si>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</si>
  <si>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</si>
  <si>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</si>
  <si>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</si>
  <si>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</si>
  <si>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</si>
  <si>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</si>
  <si>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</si>
  <si>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</si>
  <si>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</si>
  <si>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</si>
  <si>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</si>
  <si>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</si>
  <si>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</si>
  <si>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</si>
  <si>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</si>
  <si>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</si>
  <si>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</si>
  <si>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</si>
  <si>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</si>
  <si>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</si>
  <si>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</si>
  <si>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</si>
  <si>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</si>
  <si>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</si>
  <si>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</si>
  <si>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</si>
  <si>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</si>
  <si>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</si>
  <si>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</si>
  <si>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</si>
  <si>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</si>
  <si>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</si>
  <si>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</si>
  <si>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</si>
  <si>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</si>
  <si>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</si>
  <si>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</si>
  <si>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</si>
  <si>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</si>
  <si>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</si>
  <si>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</si>
  <si>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</si>
  <si>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</si>
  <si>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</si>
  <si>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</si>
  <si>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</si>
  <si>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</si>
  <si>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</si>
  <si>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</si>
  <si>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</si>
  <si>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</si>
  <si>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</si>
  <si>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</si>
  <si>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</si>
  <si>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</si>
  <si>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</si>
  <si>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</si>
  <si>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</si>
  <si>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</si>
  <si>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</si>
  <si>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</si>
  <si>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</si>
  <si>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</si>
  <si>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</si>
  <si>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</si>
  <si>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</si>
  <si>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</si>
  <si>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</si>
  <si>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</si>
  <si>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</si>
  <si>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</si>
  <si>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</si>
  <si>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</si>
  <si>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</si>
  <si>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</si>
  <si>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</si>
  <si>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</si>
  <si>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</si>
  <si>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</si>
  <si>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</si>
  <si>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</si>
  <si>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</si>
  <si>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</si>
  <si>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</si>
  <si>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</si>
  <si>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</si>
  <si>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</si>
  <si>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</si>
  <si>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</si>
  <si>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</si>
  <si>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</si>
  <si>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</si>
  <si>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</si>
  <si>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</si>
  <si>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</si>
  <si>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</si>
  <si>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</si>
  <si>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</si>
  <si>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</si>
  <si>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</si>
  <si>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</si>
  <si>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</si>
  <si>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</si>
  <si>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</si>
  <si>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</si>
  <si>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</si>
  <si>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</si>
  <si>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</si>
  <si>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</si>
  <si>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</si>
  <si>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</si>
  <si>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</si>
  <si>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</si>
  <si>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</si>
  <si>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</si>
  <si>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</si>
  <si>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</si>
  <si>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</si>
  <si>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</si>
  <si>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</si>
  <si>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</si>
  <si>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</si>
  <si>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</si>
  <si>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</si>
  <si>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</si>
  <si>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</si>
  <si>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</si>
  <si>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</si>
  <si>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</si>
  <si>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</si>
  <si>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</si>
  <si>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</si>
  <si>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</si>
  <si>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</si>
  <si>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</si>
  <si>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</si>
  <si>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</si>
  <si>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</si>
  <si>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</si>
  <si>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</si>
  <si>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</si>
  <si>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</si>
  <si>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</si>
  <si>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</si>
  <si>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</si>
  <si>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</si>
  <si>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</si>
  <si>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</si>
  <si>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</si>
  <si>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</si>
  <si>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</si>
  <si>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</si>
  <si>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</si>
  <si>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</si>
  <si>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</si>
  <si>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</si>
  <si>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</si>
  <si>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</si>
  <si>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</si>
  <si>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</si>
  <si>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</si>
  <si>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</si>
  <si>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</si>
  <si>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</si>
  <si>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</si>
  <si>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</si>
  <si>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</si>
  <si>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</si>
  <si>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</si>
  <si>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</si>
  <si>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</si>
  <si>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</si>
  <si>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</si>
  <si>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</si>
  <si>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</si>
  <si>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</si>
  <si>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</si>
  <si>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</si>
  <si>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</si>
  <si>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</si>
  <si>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</si>
  <si>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</si>
  <si>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</si>
  <si>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</si>
  <si>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</si>
  <si>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</si>
  <si>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</si>
  <si>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</si>
  <si>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</si>
  <si>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</si>
  <si>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</si>
  <si>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</si>
  <si>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</si>
  <si>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</si>
  <si>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</si>
  <si>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</si>
  <si>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</si>
  <si>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</si>
  <si>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</si>
  <si>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</si>
  <si>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</si>
  <si>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</si>
  <si>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</si>
  <si>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</si>
  <si>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</si>
  <si>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</si>
  <si>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</si>
  <si>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</si>
  <si>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</si>
  <si>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</si>
  <si>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</si>
  <si>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</si>
  <si>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</si>
  <si>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</si>
  <si>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</si>
  <si>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</si>
  <si>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</si>
  <si>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</si>
  <si>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</si>
  <si>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</si>
  <si>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</si>
  <si>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</si>
  <si>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</si>
  <si>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</si>
  <si>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</si>
  <si>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</si>
  <si>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</si>
  <si>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</si>
  <si>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</si>
  <si>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</si>
  <si>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</si>
  <si>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</si>
  <si>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</si>
  <si>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</si>
  <si>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</si>
  <si>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</si>
  <si>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</si>
  <si>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</si>
  <si>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</si>
  <si>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</si>
  <si>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</si>
  <si>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</si>
  <si>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</si>
  <si>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</si>
  <si>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</si>
  <si>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</si>
  <si>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</si>
  <si>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</si>
  <si>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</si>
  <si>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</si>
  <si>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</si>
  <si>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</si>
  <si>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</si>
  <si>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</si>
  <si>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</si>
  <si>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</si>
  <si>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</si>
  <si>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</si>
  <si>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</si>
  <si>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</si>
  <si>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</si>
  <si>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</si>
  <si>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</si>
  <si>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</si>
  <si>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</si>
  <si>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</si>
  <si>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</si>
  <si>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</si>
  <si>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</si>
  <si>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</si>
  <si>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</si>
  <si>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</si>
  <si>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</si>
  <si>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</si>
  <si>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</si>
  <si>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</si>
  <si>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</si>
  <si>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</si>
  <si>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</si>
  <si>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</si>
  <si>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</si>
  <si>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</si>
  <si>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</si>
  <si>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</si>
  <si>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</si>
  <si>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</si>
  <si>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</si>
  <si>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</si>
  <si>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</si>
  <si>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</si>
  <si>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</si>
  <si>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</si>
  <si>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</si>
  <si>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</si>
  <si>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</si>
  <si>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</si>
  <si>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</si>
  <si>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</si>
  <si>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</si>
  <si>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</si>
  <si>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</si>
  <si>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</si>
  <si>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</si>
  <si>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</si>
  <si>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</si>
  <si>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</si>
  <si>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</si>
  <si>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</si>
  <si>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</si>
  <si>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</si>
  <si>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</si>
  <si>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</si>
  <si>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</si>
  <si>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</si>
  <si>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</si>
  <si>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</si>
  <si>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</si>
  <si>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</si>
  <si>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</si>
  <si>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</si>
  <si>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</si>
  <si>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</si>
  <si>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</si>
  <si>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</si>
  <si>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</si>
  <si>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</si>
  <si>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</si>
  <si>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</si>
  <si>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</si>
  <si>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</si>
  <si>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</si>
  <si>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</si>
  <si>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</si>
  <si>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</si>
  <si>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</si>
  <si>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</si>
  <si>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</si>
  <si>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</si>
  <si>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</si>
  <si>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</si>
  <si>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</si>
  <si>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</si>
  <si>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</si>
  <si>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</si>
  <si>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</si>
  <si>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</si>
  <si>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</si>
  <si>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</si>
  <si>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</si>
  <si>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</si>
  <si>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</si>
  <si>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</si>
  <si>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</si>
  <si>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</si>
  <si>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</si>
  <si>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</si>
  <si>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</si>
  <si>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</si>
  <si>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</si>
  <si>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</si>
  <si>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</si>
  <si>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</si>
  <si>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</si>
  <si>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</si>
  <si>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</si>
  <si>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</si>
  <si>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</si>
  <si>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</si>
  <si>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</si>
  <si>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</si>
  <si>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</si>
  <si>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</si>
  <si>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</si>
  <si>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</si>
  <si>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</si>
  <si>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</si>
  <si>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</si>
  <si>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</si>
  <si>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</si>
  <si>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</si>
  <si>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</si>
  <si>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</si>
  <si>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</si>
  <si>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</si>
  <si>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</si>
  <si>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</si>
  <si>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</si>
  <si>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</si>
  <si>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</si>
  <si>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</si>
  <si>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</si>
  <si>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</si>
  <si>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</si>
  <si>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</si>
  <si>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</si>
  <si>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</si>
  <si>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</si>
  <si>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</si>
  <si>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</si>
  <si>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</si>
  <si>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</si>
  <si>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</si>
  <si>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</si>
  <si>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</si>
  <si>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</si>
  <si>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</si>
  <si>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</si>
  <si>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</si>
  <si>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</si>
  <si>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</si>
  <si>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</si>
  <si>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</si>
  <si>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</si>
  <si>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</si>
  <si>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</si>
  <si>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</si>
  <si>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</si>
  <si>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</si>
  <si>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</si>
  <si>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</si>
  <si>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</si>
  <si>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</si>
  <si>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</si>
  <si>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</si>
  <si>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</si>
  <si>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</si>
  <si>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</si>
  <si>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</si>
  <si>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</si>
  <si>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</si>
  <si>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</si>
  <si>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</si>
  <si>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</si>
  <si>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</si>
  <si>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</si>
  <si>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</si>
  <si>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</si>
  <si>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</si>
  <si>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</si>
  <si>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</si>
  <si>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</si>
  <si>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</si>
  <si>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</si>
  <si>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</si>
  <si>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</si>
  <si>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</si>
  <si>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</si>
  <si>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</si>
  <si>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</si>
  <si>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</si>
  <si>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</si>
  <si>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</si>
  <si>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</si>
  <si>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</si>
  <si>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</si>
  <si>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</si>
  <si>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</si>
  <si>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</si>
  <si>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</si>
  <si>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</si>
  <si>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</si>
  <si>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</si>
  <si>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</si>
  <si>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</si>
  <si>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</si>
  <si>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</si>
  <si>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</si>
  <si>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</si>
  <si>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</si>
  <si>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</si>
  <si>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</si>
  <si>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</si>
  <si>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</si>
  <si>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</si>
  <si>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</si>
  <si>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</si>
  <si>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</si>
  <si>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</si>
  <si>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</si>
  <si>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</si>
  <si>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</si>
  <si>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</si>
  <si>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</si>
  <si>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</si>
  <si>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</si>
  <si>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</si>
  <si>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</si>
  <si>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</si>
  <si>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</si>
  <si>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</si>
  <si>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</si>
  <si>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</si>
  <si>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</si>
  <si>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</si>
  <si>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</si>
  <si>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</si>
  <si>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</si>
  <si>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</si>
  <si>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</si>
  <si>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</si>
  <si>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</si>
  <si>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</si>
  <si>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</si>
  <si>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</si>
  <si>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</si>
  <si>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</si>
  <si>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</si>
  <si>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</si>
  <si>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</si>
  <si>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</si>
  <si>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</si>
  <si>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</si>
  <si>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</si>
  <si>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</si>
  <si>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</si>
  <si>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</si>
  <si>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</si>
  <si>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</si>
  <si>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</si>
  <si>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</si>
  <si>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</si>
  <si>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</si>
  <si>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</si>
  <si>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</si>
  <si>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</si>
  <si>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</si>
  <si>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</si>
  <si>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</si>
  <si>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</si>
  <si>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</si>
  <si>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</si>
  <si>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</si>
  <si>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</si>
  <si>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</si>
  <si>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</si>
  <si>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</si>
  <si>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</si>
  <si>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</si>
  <si>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</si>
  <si>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</si>
  <si>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</si>
  <si>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</si>
  <si>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</si>
  <si>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</si>
  <si>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</si>
  <si>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</si>
  <si>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</si>
  <si>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</si>
  <si>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</si>
  <si>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</si>
  <si>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</si>
  <si>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</si>
  <si>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</si>
  <si>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</si>
  <si>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</si>
  <si>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</si>
  <si>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</si>
  <si>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</si>
  <si>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</si>
  <si>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</si>
  <si>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</si>
  <si>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</si>
  <si>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</si>
  <si>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</si>
  <si>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</si>
  <si>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</si>
  <si>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</si>
  <si>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</si>
  <si>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</si>
  <si>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</si>
  <si>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</si>
  <si>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</si>
  <si>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</si>
  <si>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</si>
  <si>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</si>
  <si>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</si>
  <si>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</si>
  <si>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</si>
  <si>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</si>
  <si>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</si>
  <si>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</si>
  <si>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</si>
  <si>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</si>
  <si>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</si>
  <si>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</si>
  <si>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</si>
  <si>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</si>
  <si>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</si>
  <si>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</si>
  <si>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</si>
  <si>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</si>
  <si>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</si>
  <si>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</si>
  <si>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</si>
  <si>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</si>
  <si>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</si>
  <si>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</si>
  <si>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</si>
  <si>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</si>
  <si>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</si>
  <si>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</si>
  <si>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</si>
  <si>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</si>
  <si>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</si>
  <si>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</si>
  <si>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</si>
  <si>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</si>
  <si>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</si>
  <si>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</si>
  <si>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</si>
  <si>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</si>
  <si>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</si>
  <si>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</si>
  <si>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</si>
  <si>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</si>
  <si>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</si>
  <si>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</si>
  <si>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</si>
  <si>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</si>
  <si>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</si>
  <si>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</si>
  <si>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</si>
  <si>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</si>
  <si>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</si>
  <si>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</si>
  <si>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</si>
  <si>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</si>
  <si>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</si>
  <si>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</si>
  <si>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</si>
  <si>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</si>
  <si>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</si>
  <si>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</si>
  <si>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</si>
  <si>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</si>
  <si>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</si>
  <si>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</si>
  <si>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</si>
  <si>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</si>
  <si>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</si>
  <si>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</si>
  <si>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</si>
  <si>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</si>
  <si>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</si>
  <si>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</si>
  <si>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</si>
  <si>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</si>
  <si>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</si>
  <si>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</si>
  <si>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</si>
  <si>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</si>
  <si>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</si>
  <si>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</si>
  <si>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</si>
  <si>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</si>
  <si>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</si>
  <si>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</si>
  <si>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</si>
  <si>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</si>
  <si>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</si>
  <si>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</si>
  <si>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</si>
  <si>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</si>
  <si>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</si>
  <si>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</si>
  <si>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</si>
  <si>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</si>
  <si>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</si>
  <si>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</si>
  <si>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</si>
  <si>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</si>
  <si>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</si>
  <si>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</si>
  <si>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</si>
  <si>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</si>
  <si>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</si>
  <si>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</si>
  <si>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</si>
  <si>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</si>
  <si>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</si>
  <si>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</si>
  <si>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</si>
  <si>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</si>
  <si>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</si>
  <si>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</si>
  <si>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</si>
  <si>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</si>
  <si>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</si>
  <si>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</si>
  <si>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</si>
  <si>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</si>
  <si>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</si>
  <si>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</si>
  <si>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</si>
  <si>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</si>
  <si>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</si>
  <si>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</si>
  <si>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</si>
  <si>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</si>
  <si>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</si>
  <si>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</si>
  <si>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</si>
  <si>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</si>
  <si>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</si>
  <si>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</si>
  <si>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</si>
  <si>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</si>
  <si>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</si>
  <si>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</si>
  <si>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</si>
  <si>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</si>
  <si>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</si>
  <si>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</si>
  <si>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</si>
  <si>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</si>
  <si>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</si>
  <si>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</si>
  <si>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</si>
  <si>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</si>
  <si>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</si>
  <si>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</si>
  <si>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</si>
  <si>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</si>
  <si>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</si>
  <si>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</si>
  <si>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</si>
  <si>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</si>
  <si>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</si>
  <si>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</si>
  <si>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</si>
  <si>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</si>
  <si>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</si>
  <si>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</si>
  <si>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</si>
  <si>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</si>
  <si>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</si>
  <si>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</si>
  <si>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</si>
  <si>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</si>
  <si>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</si>
  <si>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</si>
  <si>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</si>
  <si>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</si>
  <si>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</si>
  <si>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</si>
  <si>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</si>
  <si>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</si>
  <si>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</si>
  <si>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</si>
  <si>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</si>
  <si>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</si>
  <si>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</si>
  <si>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</si>
  <si>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</si>
  <si>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</si>
  <si>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</si>
  <si>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</si>
  <si>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</si>
  <si>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</si>
  <si>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</si>
  <si>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</si>
  <si>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</si>
  <si>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</si>
  <si>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</si>
  <si>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</si>
  <si>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</si>
  <si>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</si>
  <si>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</si>
  <si>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</si>
  <si>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</si>
  <si>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</si>
  <si>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</si>
  <si>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</si>
  <si>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</si>
  <si>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</si>
  <si>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</si>
  <si>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</si>
  <si>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</si>
  <si>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</si>
  <si>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</si>
  <si>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</si>
  <si>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</si>
  <si>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</si>
  <si>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</si>
  <si>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</si>
  <si>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</si>
  <si>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</si>
  <si>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</si>
  <si>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</si>
  <si>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</si>
  <si>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</si>
  <si>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</si>
  <si>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</si>
  <si>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</si>
  <si>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</si>
  <si>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</si>
  <si>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</si>
  <si>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</si>
  <si>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</si>
  <si>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</si>
  <si>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</si>
  <si>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</si>
  <si>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</si>
  <si>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</si>
  <si>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</si>
  <si>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</si>
  <si>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</si>
  <si>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</si>
  <si>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</si>
  <si>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</si>
  <si>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</si>
  <si>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</si>
  <si>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</si>
  <si>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</si>
  <si>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</si>
  <si>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</si>
  <si>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</si>
  <si>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</si>
  <si>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</si>
  <si>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</si>
  <si>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</si>
  <si>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</si>
  <si>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</si>
  <si>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</si>
  <si>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</si>
  <si>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</si>
  <si>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</si>
  <si>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</si>
  <si>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</si>
  <si>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</si>
  <si>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</si>
  <si>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</si>
  <si>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</si>
  <si>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</si>
  <si>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</si>
  <si>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</si>
  <si>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</si>
  <si>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</si>
  <si>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</si>
  <si>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</si>
  <si>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</si>
  <si>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</si>
  <si>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</si>
  <si>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</si>
  <si>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</si>
  <si>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</si>
  <si>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</si>
  <si>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</si>
  <si>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</si>
  <si>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</si>
  <si>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</si>
  <si>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</si>
  <si>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</si>
  <si>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</si>
  <si>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</si>
  <si>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</si>
  <si>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</si>
  <si>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</si>
  <si>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</si>
  <si>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</si>
  <si>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</si>
  <si>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</si>
  <si>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</si>
  <si>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</si>
  <si>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</si>
  <si>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</si>
  <si>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</si>
  <si>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</si>
  <si>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</si>
  <si>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</si>
  <si>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</si>
  <si>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</si>
  <si>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</si>
  <si>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</si>
  <si>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</si>
  <si>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</si>
  <si>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</si>
  <si>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</si>
  <si>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</si>
  <si>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</si>
  <si>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</si>
  <si>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</si>
  <si>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</si>
  <si>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</si>
  <si>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</si>
  <si>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</si>
  <si>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</si>
  <si>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</si>
  <si>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</si>
  <si>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</si>
  <si>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</si>
  <si>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</si>
  <si>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</si>
  <si>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</si>
  <si>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</si>
  <si>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</si>
  <si>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</si>
  <si>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</si>
  <si>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</si>
  <si>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</si>
  <si>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</si>
  <si>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</si>
  <si>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</si>
  <si>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</si>
  <si>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</si>
  <si>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</si>
  <si>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</si>
  <si>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</si>
  <si>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</si>
  <si>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</si>
  <si>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</si>
  <si>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</si>
  <si>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</si>
  <si>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</si>
  <si>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</si>
  <si>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</si>
  <si>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</si>
  <si>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</si>
  <si>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</si>
  <si>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</si>
  <si>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</si>
  <si>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</si>
  <si>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</si>
  <si>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</si>
  <si>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</si>
  <si>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</si>
  <si>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</si>
  <si>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</si>
  <si>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</si>
  <si>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</si>
  <si>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</si>
  <si>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</si>
  <si>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</si>
  <si>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</si>
  <si>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</si>
  <si>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</si>
  <si>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</si>
  <si>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</si>
  <si>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</si>
  <si>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</si>
  <si>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</si>
  <si>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</si>
  <si>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</si>
  <si>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</si>
  <si>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</si>
  <si>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</si>
  <si>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</si>
  <si>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</si>
  <si>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</si>
  <si>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</si>
  <si>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</si>
  <si>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</si>
  <si>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</si>
  <si>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</si>
  <si>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</si>
  <si>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</si>
  <si>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</si>
  <si>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</si>
  <si>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</si>
  <si>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</si>
  <si>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</si>
  <si>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</si>
  <si>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</si>
  <si>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</si>
  <si>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</si>
  <si>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</si>
  <si>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</si>
  <si>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</si>
  <si>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</si>
  <si>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</si>
  <si>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</si>
  <si>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</si>
  <si>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</si>
  <si>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</si>
  <si>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</si>
  <si>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</si>
  <si>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</si>
  <si>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</si>
  <si>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</si>
  <si>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</si>
  <si>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</si>
  <si>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</si>
  <si>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</si>
  <si>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</si>
  <si>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</si>
  <si>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</si>
  <si>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</si>
  <si>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</si>
  <si>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</si>
  <si>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</si>
  <si>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</si>
  <si>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</si>
  <si>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</si>
  <si>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</si>
  <si>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</si>
  <si>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</si>
  <si>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</si>
  <si>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</si>
  <si>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</si>
  <si>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</si>
  <si>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</si>
  <si>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</si>
  <si>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</si>
  <si>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</si>
  <si>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</si>
  <si>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</si>
  <si>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</si>
  <si>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</si>
  <si>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</si>
  <si>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</si>
  <si>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</si>
  <si>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</si>
  <si>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</si>
  <si>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</si>
  <si>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</si>
  <si>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</si>
  <si>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</si>
  <si>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</si>
  <si>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</si>
  <si>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</si>
  <si>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</si>
  <si>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</si>
  <si>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</si>
  <si>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</si>
  <si>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</si>
  <si>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</si>
  <si>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</si>
  <si>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</si>
  <si>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</si>
  <si>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</si>
  <si>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</si>
  <si>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</si>
  <si>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</si>
  <si>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</si>
  <si>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</si>
  <si>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</si>
  <si>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</si>
  <si>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</si>
  <si>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</si>
  <si>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</si>
  <si>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</si>
  <si>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</si>
  <si>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</si>
  <si>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</si>
  <si>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</si>
  <si>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</si>
  <si>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</si>
  <si>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</si>
  <si>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</si>
  <si>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</si>
  <si>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</si>
  <si>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</si>
  <si>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</si>
  <si>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</si>
  <si>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</si>
  <si>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</si>
  <si>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</si>
  <si>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</si>
  <si>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</si>
  <si>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</si>
  <si>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</si>
  <si>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</si>
  <si>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</si>
  <si>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</si>
  <si>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</si>
  <si>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</si>
  <si>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</si>
  <si>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</si>
  <si>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</si>
  <si>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</si>
  <si>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</si>
  <si>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</si>
  <si>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</si>
  <si>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</si>
  <si>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</si>
  <si>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</si>
  <si>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</si>
  <si>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</si>
  <si>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</si>
  <si>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</si>
  <si>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</si>
  <si>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</si>
  <si>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</si>
  <si>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</si>
  <si>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</si>
  <si>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</si>
  <si>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</si>
  <si>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</si>
  <si>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</si>
  <si>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</si>
  <si>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</si>
  <si>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</si>
  <si>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</si>
  <si>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</si>
  <si>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</si>
  <si>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</si>
  <si>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</si>
  <si>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</si>
  <si>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</si>
  <si>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</si>
  <si>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</si>
  <si>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</si>
  <si>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</si>
  <si>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</si>
  <si>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</si>
  <si>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</si>
  <si>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</si>
  <si>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</si>
  <si>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</si>
  <si>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</si>
  <si>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</si>
  <si>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</si>
  <si>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</si>
  <si>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</si>
  <si>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</si>
  <si>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</si>
  <si>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</si>
  <si>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</si>
  <si>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</si>
  <si>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</si>
  <si>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</si>
  <si>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</si>
  <si>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</si>
  <si>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</si>
  <si>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</si>
  <si>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</si>
  <si>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</si>
  <si>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</si>
  <si>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</si>
  <si>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</si>
  <si>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</si>
  <si>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</si>
  <si>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</si>
  <si>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</si>
  <si>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</si>
  <si>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</si>
  <si>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</si>
  <si>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</si>
  <si>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</si>
  <si>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</si>
  <si>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</si>
  <si>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</si>
  <si>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</si>
  <si>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</si>
  <si>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</si>
  <si>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</si>
  <si>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</si>
  <si>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</si>
  <si>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</si>
  <si>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</si>
  <si>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</si>
  <si>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</si>
  <si>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</si>
  <si>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</si>
  <si>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</si>
  <si>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</si>
  <si>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</si>
  <si>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</si>
  <si>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</si>
  <si>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</si>
  <si>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</si>
  <si>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</si>
  <si>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</si>
  <si>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</si>
  <si>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</si>
  <si>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</si>
  <si>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</si>
  <si>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</si>
  <si>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</si>
  <si>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</si>
  <si>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</si>
  <si>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</si>
  <si>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</si>
  <si>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</si>
  <si>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</si>
  <si>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</si>
  <si>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</si>
  <si>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</si>
  <si>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</si>
  <si>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</si>
  <si>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</si>
  <si>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</si>
  <si>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</si>
  <si>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</si>
  <si>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</si>
  <si>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</si>
  <si>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</si>
  <si>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</si>
  <si>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</si>
  <si>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</si>
  <si>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</si>
  <si>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</si>
  <si>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</si>
  <si>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</si>
  <si>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</si>
  <si>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</si>
  <si>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</si>
  <si>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</si>
  <si>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</si>
  <si>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</si>
  <si>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</si>
  <si>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</si>
  <si>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</si>
  <si>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</si>
  <si>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</si>
  <si>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</si>
  <si>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</si>
  <si>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</si>
  <si>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</si>
  <si>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</si>
  <si>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</si>
  <si>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</si>
  <si>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</si>
  <si>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</si>
  <si>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</si>
  <si>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</si>
  <si>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</si>
  <si>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</si>
  <si>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</si>
  <si>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</si>
  <si>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</si>
  <si>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</si>
  <si>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</si>
  <si>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</si>
  <si>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</si>
  <si>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</si>
  <si>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</si>
  <si>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</si>
  <si>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</si>
  <si>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</si>
  <si>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</si>
  <si>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</si>
  <si>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</si>
  <si>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</si>
  <si>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</si>
  <si>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</si>
  <si>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</si>
  <si>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</si>
  <si>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</si>
  <si>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</si>
  <si>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</si>
  <si>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</si>
  <si>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</si>
  <si>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</si>
  <si>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</si>
  <si>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</si>
  <si>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</si>
  <si>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</si>
  <si>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</si>
  <si>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</si>
  <si>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</si>
  <si>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</si>
  <si>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</si>
  <si>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</si>
  <si>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</si>
  <si>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</si>
  <si>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</si>
  <si>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</si>
  <si>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</si>
  <si>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</si>
  <si>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</si>
  <si>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</si>
  <si>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</si>
  <si>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</si>
  <si>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</si>
  <si>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</si>
  <si>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</si>
  <si>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</si>
  <si>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</si>
  <si>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</si>
  <si>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</si>
  <si>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</si>
  <si>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</si>
  <si>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</si>
  <si>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</si>
  <si>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</si>
  <si>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</si>
  <si>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</si>
  <si>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</si>
  <si>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</si>
  <si>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</si>
  <si>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</si>
  <si>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</si>
  <si>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</si>
  <si>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</si>
  <si>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</si>
  <si>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</si>
  <si>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</si>
  <si>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</si>
  <si>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</si>
  <si>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</si>
  <si>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</si>
  <si>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</si>
  <si>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</si>
  <si>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</si>
  <si>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</si>
  <si>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</si>
  <si>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</si>
  <si>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</si>
  <si>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</si>
  <si>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</si>
  <si>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</si>
  <si>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</si>
  <si>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</si>
  <si>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</si>
  <si>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</si>
  <si>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</si>
  <si>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</si>
  <si>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</si>
  <si>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</si>
  <si>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</si>
  <si>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</si>
  <si>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</si>
  <si>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</si>
  <si>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</si>
  <si>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</si>
  <si>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</si>
  <si>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</si>
  <si>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</si>
  <si>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</si>
  <si>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</si>
  <si>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</si>
  <si>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</si>
  <si>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</si>
  <si>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</si>
  <si>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</si>
  <si>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</si>
  <si>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</si>
  <si>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</si>
  <si>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</si>
  <si>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</si>
  <si>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</si>
  <si>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</si>
  <si>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</si>
  <si>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</si>
  <si>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</si>
  <si>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</si>
  <si>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</si>
  <si>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</si>
  <si>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</si>
  <si>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</si>
  <si>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</si>
  <si>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</si>
  <si>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</si>
  <si>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</si>
  <si>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</si>
  <si>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</si>
  <si>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</si>
  <si>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</si>
  <si>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</si>
  <si>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</si>
  <si>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</si>
  <si>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</si>
  <si>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</si>
  <si>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</si>
  <si>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</si>
  <si>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</si>
  <si>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</si>
  <si>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</si>
  <si>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</si>
  <si>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</si>
  <si>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</si>
  <si>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</si>
  <si>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</si>
  <si>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</si>
  <si>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</si>
  <si>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</si>
  <si>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</si>
  <si>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</si>
  <si>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</si>
  <si>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</si>
  <si>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</si>
  <si>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</si>
  <si>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</si>
  <si>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</si>
  <si>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</si>
  <si>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</si>
  <si>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</si>
  <si>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</si>
  <si>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</si>
  <si>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</si>
  <si>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</si>
  <si>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</si>
  <si>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</si>
  <si>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</si>
  <si>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</si>
  <si>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</si>
  <si>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</si>
  <si>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</si>
  <si>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</si>
  <si>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</si>
  <si>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</si>
  <si>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</si>
  <si>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</si>
  <si>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</si>
  <si>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</si>
  <si>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</si>
  <si>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</si>
  <si>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</si>
  <si>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</si>
  <si>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</si>
  <si>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</si>
  <si>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</si>
  <si>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</si>
  <si>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</si>
  <si>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</si>
  <si>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</si>
  <si>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</si>
  <si>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</si>
  <si>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</si>
  <si>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</si>
  <si>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</si>
  <si>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</si>
  <si>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</si>
  <si>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</si>
  <si>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</si>
  <si>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</si>
  <si>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</si>
  <si>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</si>
  <si>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</si>
  <si>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</si>
  <si>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</si>
  <si>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</si>
  <si>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</si>
  <si>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</si>
  <si>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</si>
  <si>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</si>
  <si>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</si>
  <si>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</si>
  <si>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</si>
  <si>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</si>
  <si>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</si>
  <si>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</si>
  <si>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</si>
  <si>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</si>
  <si>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</si>
  <si>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</si>
  <si>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</si>
  <si>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</si>
  <si>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</si>
  <si>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</si>
  <si>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</si>
  <si>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</si>
  <si>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</si>
  <si>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</si>
  <si>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</si>
  <si>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</si>
  <si>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</si>
  <si>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</si>
  <si>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</si>
  <si>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</si>
  <si>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</si>
  <si>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</si>
  <si>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</si>
  <si>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</si>
  <si>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</si>
  <si>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</si>
  <si>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</si>
  <si>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</si>
  <si>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</si>
  <si>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</si>
  <si>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</si>
  <si>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</si>
  <si>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</si>
  <si>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</si>
  <si>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</si>
  <si>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</si>
  <si>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</si>
  <si>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</si>
  <si>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</si>
  <si>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</si>
  <si>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</si>
  <si>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</si>
  <si>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</si>
  <si>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</si>
  <si>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</si>
  <si>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</si>
  <si>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</si>
  <si>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</si>
  <si>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</si>
  <si>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</si>
  <si>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</si>
  <si>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</si>
  <si>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</si>
  <si>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</si>
  <si>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</si>
  <si>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</si>
  <si>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</si>
  <si>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</si>
  <si>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</si>
  <si>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</si>
  <si>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</si>
  <si>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</si>
  <si>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</si>
  <si>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</si>
  <si>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</si>
  <si>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</si>
  <si>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</si>
  <si>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</si>
  <si>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</si>
  <si>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</si>
  <si>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</si>
  <si>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</si>
  <si>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</si>
  <si>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</si>
  <si>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</si>
  <si>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</si>
  <si>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</si>
  <si>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</si>
  <si>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</si>
  <si>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</si>
  <si>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</si>
  <si>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</si>
  <si>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</si>
  <si>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</si>
  <si>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</si>
  <si>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</si>
  <si>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</si>
  <si>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</si>
  <si>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</si>
  <si>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</si>
  <si>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</si>
  <si>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</si>
  <si>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</si>
  <si>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</si>
  <si>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</si>
  <si>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</si>
  <si>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</si>
  <si>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</si>
  <si>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</si>
  <si>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</si>
  <si>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</si>
  <si>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</si>
  <si>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</si>
  <si>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</si>
  <si>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</si>
  <si>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</si>
  <si>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</si>
  <si>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</si>
  <si>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</si>
  <si>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</si>
  <si>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</si>
  <si>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</si>
  <si>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</si>
  <si>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</si>
  <si>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</si>
  <si>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</si>
  <si>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</si>
  <si>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</si>
  <si>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</si>
  <si>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</si>
  <si>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</si>
  <si>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</si>
  <si>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</si>
  <si>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</si>
  <si>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</si>
  <si>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</si>
  <si>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</si>
  <si>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</si>
  <si>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</si>
  <si>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</si>
  <si>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</si>
  <si>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</si>
  <si>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</si>
  <si>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</si>
  <si>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</si>
  <si>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</si>
  <si>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</si>
  <si>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</si>
  <si>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</si>
  <si>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</si>
  <si>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</si>
  <si>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</si>
  <si>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</si>
  <si>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</si>
  <si>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</si>
  <si>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</si>
  <si>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</si>
  <si>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</si>
  <si>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</si>
  <si>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</si>
  <si>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</si>
  <si>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</si>
  <si>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</si>
  <si>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</si>
  <si>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</si>
  <si>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</si>
  <si>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</si>
  <si>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</si>
  <si>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</si>
  <si>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</si>
  <si>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</si>
  <si>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</si>
  <si>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</si>
  <si>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</si>
  <si>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</si>
  <si>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</si>
  <si>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</si>
  <si>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</si>
  <si>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</si>
  <si>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</si>
  <si>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</si>
  <si>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</si>
  <si>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</si>
  <si>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</si>
  <si>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</si>
  <si>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</si>
  <si>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</si>
  <si>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</si>
  <si>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</si>
  <si>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</si>
  <si>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</si>
  <si>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</si>
  <si>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</si>
  <si>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</si>
  <si>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</si>
  <si>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</si>
  <si>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</si>
  <si>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</si>
  <si>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</si>
  <si>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</si>
  <si>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</si>
  <si>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</si>
  <si>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</si>
  <si>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</si>
  <si>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</si>
  <si>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</si>
  <si>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</si>
  <si>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</si>
  <si>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</si>
  <si>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</si>
  <si>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</si>
  <si>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</si>
  <si>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</si>
  <si>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</si>
  <si>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</si>
  <si>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</si>
  <si>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</si>
  <si>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</si>
  <si>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</si>
  <si>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</si>
  <si>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</si>
  <si>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</si>
  <si>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</si>
  <si>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</si>
  <si>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</si>
  <si>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</si>
  <si>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</si>
  <si>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</si>
  <si>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</si>
  <si>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</si>
  <si>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</si>
  <si>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</si>
  <si>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</si>
  <si>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</si>
  <si>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</si>
  <si>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</si>
  <si>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</si>
  <si>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</si>
  <si>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</si>
  <si>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</si>
  <si>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</si>
  <si>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</si>
  <si>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</si>
  <si>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</si>
  <si>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</si>
  <si>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</si>
  <si>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</si>
  <si>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</si>
  <si>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</si>
  <si>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</si>
  <si>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</si>
  <si>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</si>
  <si>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</si>
  <si>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</si>
  <si>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</si>
  <si>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</si>
  <si>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</si>
  <si>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</si>
  <si>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</si>
  <si>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</si>
  <si>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</si>
  <si>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</si>
  <si>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</si>
  <si>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</si>
  <si>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</si>
  <si>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</si>
  <si>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</si>
  <si>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</si>
  <si>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</si>
  <si>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</si>
  <si>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</si>
  <si>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</si>
  <si>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</si>
  <si>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</si>
  <si>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</si>
  <si>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</si>
  <si>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</si>
  <si>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</si>
  <si>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</si>
  <si>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</si>
  <si>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</si>
  <si>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</si>
  <si>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47-098-0060-26</t>
  </si>
  <si>
    <t>Whiteside</t>
  </si>
  <si>
    <t>Morrison Community Unit School District No. 6</t>
  </si>
  <si>
    <t>643 Genesee Avenue</t>
  </si>
  <si>
    <t>Morrison</t>
  </si>
  <si>
    <t>scott.vance@morrisonschools.org</t>
  </si>
  <si>
    <t>61270-2999</t>
  </si>
  <si>
    <t>x</t>
  </si>
  <si>
    <t>Scott Vance</t>
  </si>
  <si>
    <t>815-772-2064</t>
  </si>
  <si>
    <t>815-772-3152</t>
  </si>
  <si>
    <t>Russell J. Rumbold II, CPA</t>
  </si>
  <si>
    <t>rrumbold@gorenzcpa.com</t>
  </si>
  <si>
    <t>General Obligation Working Cash/Refunding Bonds 2013</t>
  </si>
  <si>
    <t>General Obligation Working Cash Bonds, Series 2017A</t>
  </si>
  <si>
    <t>General Obligation Working Cash Bonds, Series 2017B</t>
  </si>
  <si>
    <t>1&amp;3</t>
  </si>
  <si>
    <t>Bi-County Special Education Cooperative</t>
  </si>
  <si>
    <t>Sterling Community Unit School District No. 5</t>
  </si>
  <si>
    <t>Pupil Transportation - Trans Fund - Purchased Service</t>
  </si>
  <si>
    <t>40-2550-300</t>
  </si>
  <si>
    <t>RC Smith Transportation</t>
  </si>
  <si>
    <t>Bus Fuel Cost - Trans Fund - Supplies</t>
  </si>
  <si>
    <t>40-2550-400</t>
  </si>
  <si>
    <t>2018-001</t>
  </si>
  <si>
    <t>2018-002</t>
  </si>
  <si>
    <t>2018-003</t>
  </si>
  <si>
    <t>2018-004</t>
  </si>
  <si>
    <t>2018-005</t>
  </si>
  <si>
    <t>2018-006</t>
  </si>
  <si>
    <t>Expenditures and transfers in excess of budget</t>
  </si>
  <si>
    <t>Unresolved - See Finding 2019-001</t>
  </si>
  <si>
    <t>Unresolved - See Finding 2019-002</t>
  </si>
  <si>
    <t>Unresolved - See Finding 2019-003</t>
  </si>
  <si>
    <t>Resolved</t>
  </si>
  <si>
    <t>Internal controls are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</si>
  <si>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 reconciling, and reporting cash transactions.  The treasurer of the District is also employed by the District as Director of Fiscal Management and Personnel.</t>
  </si>
  <si>
    <t>All District accounting and financial records are primarily maintained by two individuals.</t>
  </si>
  <si>
    <t>Certain individuals have the ability to complete and record accounting functions which ideally would be segregated.</t>
  </si>
  <si>
    <t>The District is a small governmental entity which makes segregation of duties difficult.</t>
  </si>
  <si>
    <t>Segregation of duties is normally difficult to accomplish within a small governmental entity.  Management should be ever mindful of areas that could be improved including, but not limited to, hiring additional personnel.</t>
  </si>
  <si>
    <t>In accordance with prescribed definitions in AU-C 265, it is a strong indication of a material weakness in internal control if an entity lacks sufficient controls over the period-end financial reporting process.  The standard provides guidance regarding the extent to which the auditor may be involved in drafting an entity's financial statements.</t>
  </si>
  <si>
    <t>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</si>
  <si>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</si>
  <si>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t>
  </si>
  <si>
    <t xml:space="preserve">The District has historically not retained an individual to specifically monitor standards promulgated by the American Institute of Certified Public Accountants as they relate to full disclosure financial reporting.  The District did hire a new bookkeeper during the year with the skills and expertise to review the financial statements. </t>
  </si>
  <si>
    <t>The District should review the additional cost it would incur to prepare the financial statements internally with the corresponding reduction of risk associated with material misstatement of the District's financial statements.</t>
  </si>
  <si>
    <t>2018-</t>
  </si>
  <si>
    <t>The Illinois Compiled Statutes, Chapter 105, Section 5, Paragraph 17-1, contains the budgetary requirements for Illinois School Districts.  These statutes required a district to  adopted an annual balanced budget  which it deems necessary to defray all necessary expense and liabilities of the district.</t>
  </si>
  <si>
    <t>Expenditures and/or transfers exceeded amounts budgeted for the following funds:</t>
  </si>
  <si>
    <t>Actual Expenditures</t>
  </si>
  <si>
    <t xml:space="preserve">Educational </t>
  </si>
  <si>
    <t xml:space="preserve">Working Cash </t>
  </si>
  <si>
    <t>Fire Safety</t>
  </si>
  <si>
    <t>The approved budget did not defray all necessary expenses and liabilities of the district.</t>
  </si>
  <si>
    <t xml:space="preserve">Actual expenditures exceeded amounts  budgeted. </t>
  </si>
  <si>
    <t xml:space="preserve">The District incurred and paid for expenditures in excess of the approved budget. </t>
  </si>
  <si>
    <t>In the future the Board of Education and management should review actual versus budgeted expenditures comparisons on a monthly basis.  The Board of Education should consider adopting amended budgets when necessary.</t>
  </si>
  <si>
    <r>
      <t>CORRECTIVE ACTION PLAN FOR CURRENT YEAR AUDIT FINDINGS</t>
    </r>
    <r>
      <rPr>
        <b/>
        <vertAlign val="superscript"/>
        <sz val="9"/>
        <rFont val="Arial"/>
        <family val="2"/>
      </rPr>
      <t>21</t>
    </r>
  </si>
  <si>
    <t>Corrective Action Plan</t>
  </si>
  <si>
    <t>Finding No.:</t>
  </si>
  <si>
    <t>Condition:</t>
  </si>
  <si>
    <t>Two individuals have the primary responsibility for performing most of the accounting and financial duties, which significantly reduces certain aspects of the internal control structure which rely on adequate segregation of duties.</t>
  </si>
  <si>
    <t>Plan:</t>
  </si>
  <si>
    <t>The District relies on management oversight and budgetary controls to help mitigate the affects of a limited number of accounting personnel. The District will review the internal control system annually and when the benefits of hiring additional personnel can be realized on a cost effective basis, the District will pursue this option.</t>
  </si>
  <si>
    <t>Anticipated Date of Completion:</t>
  </si>
  <si>
    <t>July, 2020</t>
  </si>
  <si>
    <t>Name of Contact Person:</t>
  </si>
  <si>
    <t>Management Response:</t>
  </si>
  <si>
    <t>The Board of Education currently believes the cost of additional staff</t>
  </si>
  <si>
    <t>outweighs any benefits that may be realized.</t>
  </si>
  <si>
    <r>
      <t>21</t>
    </r>
    <r>
      <rPr>
        <sz val="8"/>
        <rFont val="Arial"/>
        <family val="2"/>
      </rPr>
      <t xml:space="preserve">  Must address </t>
    </r>
    <r>
      <rPr>
        <b/>
        <sz val="8"/>
        <rFont val="Arial"/>
        <family val="2"/>
      </rPr>
      <t>each</t>
    </r>
    <r>
      <rPr>
        <sz val="8"/>
        <rFont val="Arial"/>
        <family val="2"/>
      </rPr>
      <t xml:space="preserve"> audit finding  - §200.511 ( c)</t>
    </r>
  </si>
  <si>
    <t>Scott Vance, Superintendent</t>
  </si>
  <si>
    <t>CORRECTIVE ACTION PLAN FOR CURRENT YEAR AUDIT FINDINGS</t>
  </si>
  <si>
    <t>The District does not have an internal control policy in place over annual financial reporting that would enable management to prepare its annual financial statements and ensure related footnote disclosures are complete and presented in accordance with the regulatory cash basis of accounting.</t>
  </si>
  <si>
    <t>The District will continue to record all financial data in the most accurate way possible; while continuing to investigate their financial ability to hire personnel with the education and skills to prepare annual financial statements and related footnote disclosures in accordance with the regulatory cash basis of accounting.</t>
  </si>
  <si>
    <t>The District will continue to review the financial statements and required footnotes</t>
  </si>
  <si>
    <t>prepared by the external auditors. The District believes this process to be the most</t>
  </si>
  <si>
    <t>economical and appropriate to help ensure complete and proper financial reporting.</t>
  </si>
  <si>
    <t xml:space="preserve">The Board will use budget variances and current year estimates to prepare more informed budgets in the future. </t>
  </si>
  <si>
    <t xml:space="preserve">The District will monitor actual expenditures compared to budget and file budget </t>
  </si>
  <si>
    <t xml:space="preserve">amendments when warranted. </t>
  </si>
  <si>
    <t xml:space="preserve">Management has allowed expenditures and/or transfers to exceed amounts budgeted in the following funds: Educational, Transportation, Capital Projects, Working Cash, Tort, and Fire Prevention and Safety. See finding 2019-003 for a breakdown of actual expenditures compared to Budgeted.                    </t>
  </si>
  <si>
    <t>The Board of Education currently believes the cost of additional staff outweighs any benefits that may be realized.</t>
  </si>
  <si>
    <t>The District will continue to review the financial statements and required footnotes prepared by the external auditors. The District believes this process to be the most economical and appropriate to help ensure complete and proper financial reporting.</t>
  </si>
  <si>
    <t xml:space="preserve">The District will monitor actual expenditures compared to budget and file budget amendments when warranted. </t>
  </si>
  <si>
    <t>Part C - 20 - See Findings 2019-001, 2019-002, 2019-003</t>
  </si>
  <si>
    <t>General Obligation Alternate Revenue Bonds, Series 2019</t>
  </si>
  <si>
    <t>Alternate Revenue Bonds</t>
  </si>
  <si>
    <t>Page 9, Line 17 - Waste Management settlement in lieu of taxes</t>
  </si>
  <si>
    <t>Page 10, Line 74 - Schwan rebates</t>
  </si>
  <si>
    <t>Page 10, Line 81 - Extra curricular participation fees, chromebook incurance,music cleaning fees</t>
  </si>
  <si>
    <t>Page 11, Line 140 - Carreer Grant: $1,076, IL Biodiversity Field Trip Grant - $295, and Forward Funding - $13,710</t>
  </si>
  <si>
    <t>Page 12, Line 168 - PSAT Grant - $1,343 and Library Grant - $750</t>
  </si>
  <si>
    <t>Page 15, Line 41 - Study Hall Noon Supervisor Slary</t>
  </si>
  <si>
    <t>Page 19, Line 237 - Study Hall Noon Supervisor Benefits</t>
  </si>
  <si>
    <t xml:space="preserve">Page 16, Line 73 - Title I Homeless purchases </t>
  </si>
  <si>
    <t>Page 16, Line 83 - Title II Consultant SIP fee</t>
  </si>
  <si>
    <t>Page 18, Line 171 - Bond Fees</t>
  </si>
  <si>
    <t>Page 11, Line 107 - Booster reimbursemens, retiree insurance reimbursements, misc refunds, rebates, and reimbursements</t>
  </si>
  <si>
    <t>Segregation of Duties</t>
  </si>
  <si>
    <t>Expertise to Prepare Financial Statements</t>
  </si>
  <si>
    <t>Bank Reconciliations</t>
  </si>
  <si>
    <t>Interfund Loans</t>
  </si>
  <si>
    <t>Treasurer's Bond coverage</t>
  </si>
  <si>
    <t>See PDF version</t>
  </si>
  <si>
    <t>Morrison CUSD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</si>
</sst>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0" fillId="0" borderId="0" applyFont="0" applyFill="0" applyBorder="0" applyAlignment="0" applyProtection="0"/>
    <xf numFmtId="0" fontId="10" fillId="0" borderId="0"/>
  </cellStyleXfs>
  <cellXfs count="257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17" applyFont="1" applyBorder="1" applyAlignment="1" applyProtection="1">
      <alignment vertical="top"/>
      <protection locked="0"/>
    </xf>
    <xf numFmtId="0" fontId="54" fillId="0" borderId="0" xfId="3" applyFont="1" applyAlignment="1">
      <alignment horizontal="center" vertical="center"/>
    </xf>
    <xf numFmtId="0" fontId="54" fillId="0" borderId="0" xfId="3" applyFont="1" applyAlignment="1" applyProtection="1">
      <alignment horizontal="center" vertical="center"/>
    </xf>
    <xf numFmtId="49" fontId="65" fillId="0" borderId="0" xfId="3" applyNumberFormat="1" applyFont="1" applyAlignment="1">
      <alignment horizontal="center" vertical="top"/>
    </xf>
    <xf numFmtId="165" fontId="54" fillId="0" borderId="0" xfId="3" applyNumberFormat="1" applyFont="1" applyAlignment="1">
      <alignment horizontal="center" vertical="center"/>
    </xf>
    <xf numFmtId="166" fontId="65" fillId="0" borderId="0" xfId="3" applyNumberFormat="1" applyFont="1" applyAlignment="1">
      <alignment horizontal="center" vertical="top"/>
    </xf>
    <xf numFmtId="0" fontId="65" fillId="0" borderId="0" xfId="3" applyFont="1"/>
    <xf numFmtId="0" fontId="57" fillId="0" borderId="0" xfId="3" applyFont="1" applyAlignment="1">
      <alignment horizontal="center"/>
    </xf>
    <xf numFmtId="0" fontId="65" fillId="0" borderId="144" xfId="3" applyFont="1" applyBorder="1"/>
    <xf numFmtId="0" fontId="57" fillId="0" borderId="144" xfId="3" applyFont="1" applyBorder="1"/>
    <xf numFmtId="0" fontId="57" fillId="0" borderId="144" xfId="3" applyFont="1" applyBorder="1" applyAlignment="1">
      <alignment horizontal="center"/>
    </xf>
    <xf numFmtId="0" fontId="65" fillId="0" borderId="0" xfId="3" applyFont="1" applyAlignment="1">
      <alignment horizontal="centerContinuous"/>
    </xf>
    <xf numFmtId="0" fontId="65" fillId="0" borderId="0" xfId="3" applyFont="1" applyAlignment="1">
      <alignment horizontal="right"/>
    </xf>
    <xf numFmtId="0" fontId="57" fillId="0" borderId="0" xfId="3" applyFont="1" applyAlignment="1">
      <alignment horizontal="left" indent="1"/>
    </xf>
    <xf numFmtId="0" fontId="64" fillId="0" borderId="0" xfId="3" applyFont="1" applyAlignment="1">
      <alignment horizontal="left" indent="1"/>
    </xf>
    <xf numFmtId="0" fontId="64" fillId="0" borderId="0" xfId="3" applyFont="1" applyAlignment="1">
      <alignment horizontal="left"/>
    </xf>
    <xf numFmtId="0" fontId="64" fillId="0" borderId="144" xfId="3" quotePrefix="1" applyFont="1" applyBorder="1" applyAlignment="1">
      <alignment horizontal="left"/>
    </xf>
    <xf numFmtId="0" fontId="55" fillId="0" borderId="144" xfId="3" applyFont="1" applyBorder="1"/>
    <xf numFmtId="0" fontId="55" fillId="0" borderId="144" xfId="3" applyFont="1" applyBorder="1" applyAlignment="1">
      <alignment horizontal="center"/>
    </xf>
    <xf numFmtId="0" fontId="10" fillId="0" borderId="0" xfId="3" quotePrefix="1" applyAlignment="1">
      <alignment horizontal="left"/>
    </xf>
    <xf numFmtId="0" fontId="10" fillId="0" borderId="0" xfId="3"/>
    <xf numFmtId="0" fontId="10" fillId="0" borderId="0" xfId="3" applyAlignment="1">
      <alignment horizontal="center"/>
    </xf>
    <xf numFmtId="0" fontId="36" fillId="0" borderId="0" xfId="3" applyFont="1" applyAlignment="1">
      <alignment horizontal="center"/>
    </xf>
    <xf numFmtId="42" fontId="10" fillId="0" borderId="0" xfId="19" applyNumberFormat="1" applyAlignment="1">
      <alignment horizontal="center"/>
    </xf>
    <xf numFmtId="181" fontId="10" fillId="0" borderId="0" xfId="19" applyNumberFormat="1"/>
    <xf numFmtId="182" fontId="10" fillId="0" borderId="0" xfId="1" applyNumberFormat="1" applyAlignment="1">
      <alignment horizontal="center"/>
    </xf>
    <xf numFmtId="182" fontId="10" fillId="0" borderId="0" xfId="1" applyNumberFormat="1"/>
    <xf numFmtId="0" fontId="10" fillId="0" borderId="0" xfId="3" applyAlignment="1" applyProtection="1">
      <alignment vertical="top"/>
      <protection locked="0"/>
    </xf>
    <xf numFmtId="182" fontId="10" fillId="0" borderId="0" xfId="1" applyNumberFormat="1" applyAlignment="1" applyProtection="1">
      <alignment horizontal="center" vertical="top"/>
      <protection locked="0"/>
    </xf>
    <xf numFmtId="182" fontId="10" fillId="0" borderId="0" xfId="1" applyNumberFormat="1" applyAlignment="1" applyProtection="1">
      <alignment vertical="top"/>
      <protection locked="0"/>
    </xf>
    <xf numFmtId="8" fontId="57" fillId="0" borderId="0" xfId="3" applyNumberFormat="1" applyFont="1" applyAlignment="1">
      <alignment horizontal="left"/>
    </xf>
    <xf numFmtId="0" fontId="64" fillId="0" borderId="144" xfId="3" applyFont="1" applyBorder="1"/>
    <xf numFmtId="0" fontId="64" fillId="0" borderId="144" xfId="3" applyFont="1" applyBorder="1" applyAlignment="1">
      <alignment horizontal="left"/>
    </xf>
    <xf numFmtId="0" fontId="57" fillId="0" borderId="78" xfId="3" applyFont="1" applyBorder="1"/>
    <xf numFmtId="0" fontId="57" fillId="0" borderId="78" xfId="3" applyFont="1" applyBorder="1" applyAlignment="1">
      <alignment horizontal="center"/>
    </xf>
    <xf numFmtId="0" fontId="119" fillId="0" borderId="0" xfId="3" applyFont="1"/>
    <xf numFmtId="0" fontId="64" fillId="0" borderId="0" xfId="3" applyFont="1" applyAlignment="1">
      <alignment horizontal="center" vertical="top" textRotation="180"/>
    </xf>
    <xf numFmtId="49" fontId="13" fillId="0" borderId="0" xfId="3" applyNumberFormat="1" applyFont="1" applyAlignment="1">
      <alignment horizontal="center" vertical="center"/>
    </xf>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39"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0" fillId="0" borderId="0" xfId="3" applyFont="1" applyAlignment="1">
      <alignment horizontal="left"/>
    </xf>
    <xf numFmtId="14" fontId="10" fillId="0" borderId="0" xfId="3"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1" fillId="0" borderId="0" xfId="3" applyFont="1" applyAlignment="1">
      <alignment horizontal="left"/>
    </xf>
    <xf numFmtId="0" fontId="11" fillId="0" borderId="0" xfId="3" applyFont="1" applyAlignment="1">
      <alignment horizontal="left"/>
    </xf>
    <xf numFmtId="0" fontId="36" fillId="0" borderId="0" xfId="3" applyFont="1"/>
    <xf numFmtId="0" fontId="141" fillId="0" borderId="0" xfId="3" applyFont="1"/>
    <xf numFmtId="14" fontId="10" fillId="0" borderId="0" xfId="3" quotePrefix="1" applyNumberFormat="1" applyAlignment="1" applyProtection="1">
      <alignment horizontal="left" indent="2"/>
      <protection locked="0"/>
    </xf>
    <xf numFmtId="49" fontId="13" fillId="0" borderId="0" xfId="20" applyNumberFormat="1" applyFont="1" applyAlignment="1">
      <alignment horizontal="center" vertical="center"/>
    </xf>
    <xf numFmtId="0" fontId="10" fillId="0" borderId="0" xfId="20"/>
    <xf numFmtId="166" fontId="13" fillId="0" borderId="0" xfId="20" applyNumberFormat="1" applyFont="1" applyAlignment="1">
      <alignment horizontal="center" vertical="center"/>
    </xf>
    <xf numFmtId="0" fontId="13" fillId="0" borderId="0" xfId="20" applyFont="1" applyAlignment="1">
      <alignment horizontal="center" vertical="center"/>
    </xf>
    <xf numFmtId="171" fontId="13" fillId="0" borderId="0" xfId="20" applyNumberFormat="1" applyFont="1" applyAlignment="1">
      <alignment horizontal="center" vertical="center"/>
    </xf>
    <xf numFmtId="0" fontId="139" fillId="0" borderId="0" xfId="20" applyFont="1" applyAlignment="1">
      <alignment horizontal="left"/>
    </xf>
    <xf numFmtId="0" fontId="34" fillId="0" borderId="0" xfId="20" applyFont="1" applyAlignment="1">
      <alignment horizontal="left"/>
    </xf>
    <xf numFmtId="0" fontId="34" fillId="0" borderId="0" xfId="20" applyFont="1"/>
    <xf numFmtId="0" fontId="13" fillId="0" borderId="0" xfId="20" applyFont="1" applyAlignment="1">
      <alignment horizontal="left"/>
    </xf>
    <xf numFmtId="0" fontId="11" fillId="0" borderId="0" xfId="20" applyFont="1"/>
    <xf numFmtId="0" fontId="13" fillId="0" borderId="0" xfId="20" applyFont="1" applyAlignment="1">
      <alignment horizontal="center"/>
    </xf>
    <xf numFmtId="178" fontId="13" fillId="0" borderId="9" xfId="20" applyNumberFormat="1" applyFont="1" applyBorder="1" applyAlignment="1" applyProtection="1">
      <alignment horizontal="center"/>
      <protection locked="0"/>
    </xf>
    <xf numFmtId="0" fontId="140" fillId="0" borderId="0" xfId="20" applyFont="1" applyAlignment="1">
      <alignment horizontal="left"/>
    </xf>
    <xf numFmtId="14" fontId="10" fillId="0" borderId="0" xfId="20" applyNumberFormat="1" applyAlignment="1" applyProtection="1">
      <alignment horizontal="left" indent="2"/>
      <protection locked="0"/>
    </xf>
    <xf numFmtId="0" fontId="10" fillId="0" borderId="0" xfId="20" applyProtection="1">
      <protection locked="0"/>
    </xf>
    <xf numFmtId="0" fontId="12" fillId="0" borderId="0" xfId="20" applyFont="1"/>
    <xf numFmtId="0" fontId="10" fillId="0" borderId="0" xfId="20" applyAlignment="1">
      <alignment horizontal="left"/>
    </xf>
    <xf numFmtId="0" fontId="10" fillId="0" borderId="78" xfId="20" applyBorder="1"/>
    <xf numFmtId="0" fontId="141" fillId="0" borderId="0" xfId="20" applyFont="1" applyAlignment="1">
      <alignment horizontal="left"/>
    </xf>
    <xf numFmtId="0" fontId="11" fillId="0" borderId="0" xfId="20" applyFont="1" applyAlignment="1">
      <alignment horizontal="left"/>
    </xf>
    <xf numFmtId="0" fontId="36" fillId="0" borderId="0" xfId="20" applyFont="1"/>
    <xf numFmtId="0" fontId="141" fillId="0" borderId="0" xfId="20" applyFont="1"/>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0" xfId="3" applyFont="1" applyAlignment="1">
      <alignment horizontal="center" vertical="center" wrapText="1"/>
    </xf>
    <xf numFmtId="165" fontId="65" fillId="0" borderId="0" xfId="3" applyNumberFormat="1" applyFont="1" applyAlignment="1">
      <alignment horizontal="center" vertical="center" wrapText="1"/>
    </xf>
    <xf numFmtId="0" fontId="54" fillId="0" borderId="0" xfId="3" applyFont="1" applyAlignment="1">
      <alignment horizontal="center" vertical="center" wrapText="1"/>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xf numFmtId="165" fontId="20" fillId="0" borderId="0" xfId="3" applyNumberFormat="1" applyFont="1" applyAlignment="1">
      <alignment horizontal="center" vertical="center" wrapText="1"/>
    </xf>
    <xf numFmtId="0" fontId="10" fillId="0" borderId="0" xfId="3" quotePrefix="1" applyAlignment="1" applyProtection="1">
      <alignment horizontal="left" vertical="top" wrapText="1"/>
      <protection locked="0"/>
    </xf>
    <xf numFmtId="0" fontId="10" fillId="0" borderId="0" xfId="20" applyAlignment="1" applyProtection="1">
      <alignment horizontal="left" vertical="top" wrapText="1"/>
      <protection locked="0"/>
    </xf>
    <xf numFmtId="0" fontId="13" fillId="0" borderId="0" xfId="20" applyFont="1" applyAlignment="1">
      <alignment horizontal="center" vertical="center" wrapText="1"/>
    </xf>
    <xf numFmtId="165" fontId="13" fillId="0" borderId="0" xfId="20" applyNumberFormat="1" applyFont="1" applyAlignment="1">
      <alignment horizontal="center" vertical="center" wrapText="1"/>
    </xf>
    <xf numFmtId="0" fontId="20" fillId="0" borderId="0" xfId="20" applyFont="1" applyAlignment="1">
      <alignment horizontal="center" vertical="center" wrapText="1"/>
    </xf>
    <xf numFmtId="171" fontId="20" fillId="0" borderId="0" xfId="20" applyNumberFormat="1" applyFont="1" applyAlignment="1">
      <alignment horizontal="center" vertical="center" wrapText="1"/>
    </xf>
  </cellXfs>
  <cellStyles count="21">
    <cellStyle name="Comma" xfId="1" builtinId="3"/>
    <cellStyle name="Currency 2" xfId="19" xr:uid="{00000000-0005-0000-0000-000001000000}"/>
    <cellStyle name="Hyperlink" xfId="2" builtinId="8"/>
    <cellStyle name="Hyperlink 2" xfId="15" xr:uid="{00000000-0005-0000-0000-000003000000}"/>
    <cellStyle name="Normal" xfId="0" builtinId="0"/>
    <cellStyle name="Normal 2" xfId="3" xr:uid="{00000000-0005-0000-0000-000005000000}"/>
    <cellStyle name="Normal 2 2" xfId="20" xr:uid="{00000000-0005-0000-0000-000006000000}"/>
    <cellStyle name="Normal 3" xfId="4" xr:uid="{00000000-0005-0000-0000-000007000000}"/>
    <cellStyle name="Normal 3 2" xfId="14" xr:uid="{00000000-0005-0000-0000-000008000000}"/>
    <cellStyle name="Normal 3 2 2" xfId="18" xr:uid="{00000000-0005-0000-0000-000009000000}"/>
    <cellStyle name="Normal 4" xfId="16" xr:uid="{00000000-0005-0000-0000-00000A000000}"/>
    <cellStyle name="Normal 5" xfId="17"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1985" name="Object 1" hidden="1">
              <a:extLst>
                <a:ext uri="{63B3BB69-23CF-44E3-9099-C40C66FF867C}">
                  <a14:compatExt spid="_x0000_s41985"/>
                </a:ext>
                <a:ext uri="{FF2B5EF4-FFF2-40B4-BE49-F238E27FC236}">
                  <a16:creationId xmlns:a16="http://schemas.microsoft.com/office/drawing/2014/main" id="{00000000-0008-0000-1400-000001A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1030432</xdr:colOff>
          <xdr:row>1</xdr:row>
          <xdr:rowOff>0</xdr:rowOff>
        </xdr:from>
        <xdr:to>
          <xdr:col>1</xdr:col>
          <xdr:colOff>1941368</xdr:colOff>
          <xdr:row>5</xdr:row>
          <xdr:rowOff>38100</xdr:rowOff>
        </xdr:to>
        <xdr:sp macro="" textlink="">
          <xdr:nvSpPr>
            <xdr:cNvPr id="41986" name="Object 2" hidden="1">
              <a:extLst>
                <a:ext uri="{63B3BB69-23CF-44E3-9099-C40C66FF867C}">
                  <a14:compatExt spid="_x0000_s41986"/>
                </a:ext>
                <a:ext uri="{FF2B5EF4-FFF2-40B4-BE49-F238E27FC236}">
                  <a16:creationId xmlns:a16="http://schemas.microsoft.com/office/drawing/2014/main" id="{00000000-0008-0000-1400-000002A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77AA3DEE-0D3A-446D-AE3A-26F5CCEB10A9}"/>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1D408456-B47D-4F1C-B869-3D45100AA7F7}"/>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262F02CC-B4B2-4DAA-BC68-81D505AC7CD4}"/>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ABB9FFFB-EC0E-48ED-AF4E-B31131109FEB}"/>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D6B8F191-D2B3-4059-B65E-329A2686DC27}"/>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48880197-2FEC-466C-97CA-386427AAF97E}"/>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17A664B1-98DC-4D7C-BC39-2D11AB936CC6}"/>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99D97027-EA8A-496A-A6E6-B9FDEB06763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85725</xdr:colOff>
      <xdr:row>43</xdr:row>
      <xdr:rowOff>45894</xdr:rowOff>
    </xdr:to>
    <xdr:sp macro="" textlink="">
      <xdr:nvSpPr>
        <xdr:cNvPr id="2" name="Text 1">
          <a:extLst>
            <a:ext uri="{FF2B5EF4-FFF2-40B4-BE49-F238E27FC236}">
              <a16:creationId xmlns:a16="http://schemas.microsoft.com/office/drawing/2014/main" id="{0F644EC3-C87D-4F33-B4CF-34294820E4A7}"/>
            </a:ext>
          </a:extLst>
        </xdr:cNvPr>
        <xdr:cNvSpPr txBox="1">
          <a:spLocks noChangeArrowheads="1"/>
        </xdr:cNvSpPr>
      </xdr:nvSpPr>
      <xdr:spPr bwMode="auto">
        <a:xfrm>
          <a:off x="1647825" y="7162800"/>
          <a:ext cx="85725" cy="198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42</xdr:row>
      <xdr:rowOff>0</xdr:rowOff>
    </xdr:from>
    <xdr:to>
      <xdr:col>3</xdr:col>
      <xdr:colOff>0</xdr:colOff>
      <xdr:row>42</xdr:row>
      <xdr:rowOff>0</xdr:rowOff>
    </xdr:to>
    <xdr:sp macro="" textlink="">
      <xdr:nvSpPr>
        <xdr:cNvPr id="3" name="Rectangle 2">
          <a:extLst>
            <a:ext uri="{FF2B5EF4-FFF2-40B4-BE49-F238E27FC236}">
              <a16:creationId xmlns:a16="http://schemas.microsoft.com/office/drawing/2014/main" id="{8718F401-0FD0-4922-8241-0B5B12B5E3BA}"/>
            </a:ext>
          </a:extLst>
        </xdr:cNvPr>
        <xdr:cNvSpPr>
          <a:spLocks noChangeArrowheads="1"/>
        </xdr:cNvSpPr>
      </xdr:nvSpPr>
      <xdr:spPr bwMode="auto">
        <a:xfrm>
          <a:off x="1285875" y="71628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C6A4F730-BFCE-4266-8600-5AC722931ED9}"/>
            </a:ext>
          </a:extLst>
        </xdr:cNvPr>
        <xdr:cNvSpPr txBox="1">
          <a:spLocks noChangeArrowheads="1"/>
        </xdr:cNvSpPr>
      </xdr:nvSpPr>
      <xdr:spPr bwMode="auto">
        <a:xfrm>
          <a:off x="1647825" y="85344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CEF70F36-DBA8-41E6-9CF2-3023FE89D33C}"/>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2%20-%20Schools\Clients\Elmwood\01%20FY%2006-30-19\Master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chools\Clients\AlWood\14%20Current%20Year%20Files\01%20Working%20Files%20(Word-Excel)\Workpapers\112%20-%20Cas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
      <sheetName val="O&amp;M"/>
      <sheetName val="DS"/>
      <sheetName val="Trans"/>
      <sheetName val="IMRF"/>
      <sheetName val="CP"/>
      <sheetName val="WC"/>
      <sheetName val="Tort"/>
      <sheetName val="FS"/>
      <sheetName val="StA&amp;L"/>
      <sheetName val="RevExpFB"/>
      <sheetName val="StofRev"/>
      <sheetName val="Ed Exp"/>
      <sheetName val="O&amp;M Exp"/>
      <sheetName val="DS Exp"/>
      <sheetName val="Trans Exp"/>
      <sheetName val="Imrf Exp"/>
      <sheetName val="CP Exp"/>
      <sheetName val="Tort Exp"/>
      <sheetName val="FireSaf Exp"/>
      <sheetName val="AdvTaxes"/>
      <sheetName val="G.7 - Diagnostics"/>
      <sheetName val="5000 - Payroll Analytical"/>
      <sheetName val="General Analytical"/>
      <sheetName val="SE MOE"/>
      <sheetName val="Investment Income"/>
      <sheetName val="T - Itemization Accounts"/>
      <sheetName val="Zl - AdminCosts-Budget"/>
      <sheetName val="Zl - AdminCosts-Actual"/>
      <sheetName val="Worksheets"/>
      <sheetName val="AuditPages"/>
      <sheetName val="S - Adjusted Fund Balances"/>
    </sheetNames>
    <sheetDataSet>
      <sheetData sheetId="0">
        <row r="14">
          <cell r="J14">
            <v>0</v>
          </cell>
        </row>
      </sheetData>
      <sheetData sheetId="1">
        <row r="14">
          <cell r="J14">
            <v>0</v>
          </cell>
        </row>
      </sheetData>
      <sheetData sheetId="2">
        <row r="14">
          <cell r="J14">
            <v>0</v>
          </cell>
        </row>
      </sheetData>
      <sheetData sheetId="3">
        <row r="14">
          <cell r="J14">
            <v>0</v>
          </cell>
        </row>
      </sheetData>
      <sheetData sheetId="4">
        <row r="14">
          <cell r="J14">
            <v>0</v>
          </cell>
        </row>
      </sheetData>
      <sheetData sheetId="5">
        <row r="14">
          <cell r="J14">
            <v>0</v>
          </cell>
        </row>
      </sheetData>
      <sheetData sheetId="6">
        <row r="14">
          <cell r="J14">
            <v>0</v>
          </cell>
        </row>
      </sheetData>
      <sheetData sheetId="7">
        <row r="14">
          <cell r="J14">
            <v>0</v>
          </cell>
        </row>
      </sheetData>
      <sheetData sheetId="8">
        <row r="14">
          <cell r="J14">
            <v>0</v>
          </cell>
        </row>
      </sheetData>
      <sheetData sheetId="9">
        <row r="19">
          <cell r="K19">
            <v>143657</v>
          </cell>
        </row>
      </sheetData>
      <sheetData sheetId="10">
        <row r="81">
          <cell r="B81">
            <v>2268089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ow r="8">
          <cell r="C8" t="str">
            <v>ED</v>
          </cell>
          <cell r="D8" t="str">
            <v>O &amp; M</v>
          </cell>
          <cell r="E8" t="str">
            <v>DS</v>
          </cell>
          <cell r="F8" t="str">
            <v>TRANSP</v>
          </cell>
          <cell r="G8" t="str">
            <v>IMRF/SS</v>
          </cell>
          <cell r="H8" t="str">
            <v>CP</v>
          </cell>
          <cell r="I8" t="str">
            <v>W/C</v>
          </cell>
          <cell r="J8" t="str">
            <v>TORT</v>
          </cell>
          <cell r="K8" t="str">
            <v>F/S</v>
          </cell>
          <cell r="L8" t="str">
            <v>Other</v>
          </cell>
          <cell r="M8" t="str">
            <v>Other</v>
          </cell>
          <cell r="N8" t="str">
            <v>Other</v>
          </cell>
          <cell r="O8" t="str">
            <v>Other</v>
          </cell>
          <cell r="P8" t="str">
            <v>Other</v>
          </cell>
          <cell r="Q8" t="str">
            <v>TOTAL</v>
          </cell>
        </row>
        <row r="11">
          <cell r="Q11">
            <v>0</v>
          </cell>
        </row>
        <row r="12">
          <cell r="Q12">
            <v>0</v>
          </cell>
        </row>
        <row r="13">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row>
        <row r="16">
          <cell r="C16">
            <v>2491403.41</v>
          </cell>
          <cell r="D16">
            <v>429241.97</v>
          </cell>
          <cell r="E16">
            <v>6000.85</v>
          </cell>
          <cell r="F16">
            <v>256905.09</v>
          </cell>
          <cell r="G16">
            <v>317710.17</v>
          </cell>
          <cell r="H16">
            <v>18311.84</v>
          </cell>
          <cell r="I16">
            <v>638336.91</v>
          </cell>
          <cell r="J16">
            <v>51900.9</v>
          </cell>
          <cell r="K16">
            <v>128199.03</v>
          </cell>
          <cell r="Q16">
            <v>4338010.17</v>
          </cell>
        </row>
        <row r="17">
          <cell r="C17">
            <v>-5662.59</v>
          </cell>
          <cell r="D17">
            <v>12258.34</v>
          </cell>
          <cell r="E17">
            <v>0</v>
          </cell>
          <cell r="F17">
            <v>0</v>
          </cell>
          <cell r="G17">
            <v>1450</v>
          </cell>
          <cell r="H17">
            <v>0</v>
          </cell>
          <cell r="I17">
            <v>0</v>
          </cell>
          <cell r="J17">
            <v>0</v>
          </cell>
          <cell r="K17">
            <v>-12258.34</v>
          </cell>
          <cell r="Q17">
            <v>-4212.59</v>
          </cell>
        </row>
        <row r="18">
          <cell r="C18">
            <v>2485740.8200000003</v>
          </cell>
          <cell r="D18">
            <v>441500.31</v>
          </cell>
          <cell r="E18">
            <v>6000.85</v>
          </cell>
          <cell r="F18">
            <v>256905.09</v>
          </cell>
          <cell r="G18">
            <v>319160.17</v>
          </cell>
          <cell r="H18">
            <v>18311.84</v>
          </cell>
          <cell r="I18">
            <v>638336.91</v>
          </cell>
          <cell r="J18">
            <v>51900.9</v>
          </cell>
          <cell r="K18">
            <v>115940.69</v>
          </cell>
          <cell r="L18">
            <v>0</v>
          </cell>
          <cell r="M18">
            <v>0</v>
          </cell>
          <cell r="N18">
            <v>0</v>
          </cell>
          <cell r="O18">
            <v>0</v>
          </cell>
          <cell r="P18">
            <v>0</v>
          </cell>
          <cell r="Q18">
            <v>4333797.58</v>
          </cell>
        </row>
        <row r="21">
          <cell r="Q21">
            <v>0</v>
          </cell>
        </row>
        <row r="22">
          <cell r="Q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31">
          <cell r="Q31">
            <v>0</v>
          </cell>
        </row>
        <row r="32">
          <cell r="Q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6">
          <cell r="Q36">
            <v>4831.43</v>
          </cell>
        </row>
        <row r="37">
          <cell r="Q37">
            <v>0</v>
          </cell>
        </row>
        <row r="38">
          <cell r="C38">
            <v>0</v>
          </cell>
          <cell r="D38">
            <v>0</v>
          </cell>
          <cell r="E38">
            <v>0</v>
          </cell>
          <cell r="F38">
            <v>0</v>
          </cell>
          <cell r="G38">
            <v>0</v>
          </cell>
          <cell r="H38">
            <v>0</v>
          </cell>
          <cell r="I38">
            <v>4831.43</v>
          </cell>
          <cell r="J38">
            <v>0</v>
          </cell>
          <cell r="K38">
            <v>0</v>
          </cell>
          <cell r="L38">
            <v>0</v>
          </cell>
          <cell r="M38">
            <v>0</v>
          </cell>
          <cell r="N38">
            <v>0</v>
          </cell>
          <cell r="O38">
            <v>0</v>
          </cell>
          <cell r="P38">
            <v>0</v>
          </cell>
          <cell r="Q38">
            <v>4831.43</v>
          </cell>
        </row>
        <row r="61">
          <cell r="Q61">
            <v>0</v>
          </cell>
        </row>
        <row r="62">
          <cell r="Q62">
            <v>0</v>
          </cell>
        </row>
        <row r="63">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row>
        <row r="66">
          <cell r="Q66">
            <v>0</v>
          </cell>
        </row>
        <row r="67">
          <cell r="Q67">
            <v>0</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row>
        <row r="85">
          <cell r="C85">
            <v>2485740.8200000003</v>
          </cell>
          <cell r="D85">
            <v>441500.31</v>
          </cell>
          <cell r="E85">
            <v>1169.42</v>
          </cell>
          <cell r="F85">
            <v>256905.09</v>
          </cell>
          <cell r="G85">
            <v>319160.17</v>
          </cell>
          <cell r="H85">
            <v>18311.84</v>
          </cell>
          <cell r="I85">
            <v>643168.34000000008</v>
          </cell>
          <cell r="J85">
            <v>51900.9</v>
          </cell>
          <cell r="K85">
            <v>115940.69</v>
          </cell>
          <cell r="L85">
            <v>0</v>
          </cell>
          <cell r="M85">
            <v>0</v>
          </cell>
          <cell r="N85">
            <v>0</v>
          </cell>
          <cell r="O85">
            <v>0</v>
          </cell>
          <cell r="P85">
            <v>0</v>
          </cell>
          <cell r="Q85">
            <v>4333797.58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Reconciliation"/>
      <sheetName val="Procedures"/>
      <sheetName val="Adjusted Cash Balances - AJEs"/>
      <sheetName val="Adjusted Fund Balances"/>
    </sheetNames>
    <sheetDataSet>
      <sheetData sheetId="0">
        <row r="1">
          <cell r="A1" t="str">
            <v>ALWOOD No. 225</v>
          </cell>
        </row>
        <row r="11">
          <cell r="F11">
            <v>0</v>
          </cell>
          <cell r="H11">
            <v>0</v>
          </cell>
          <cell r="J11">
            <v>0</v>
          </cell>
        </row>
        <row r="12">
          <cell r="F12">
            <v>0</v>
          </cell>
          <cell r="H12">
            <v>0</v>
          </cell>
          <cell r="J12">
            <v>0</v>
          </cell>
        </row>
        <row r="13">
          <cell r="F13">
            <v>0</v>
          </cell>
          <cell r="H13">
            <v>0</v>
          </cell>
          <cell r="J13">
            <v>0</v>
          </cell>
        </row>
        <row r="14">
          <cell r="F14">
            <v>0</v>
          </cell>
          <cell r="H14">
            <v>0</v>
          </cell>
          <cell r="J14">
            <v>0</v>
          </cell>
        </row>
        <row r="15">
          <cell r="F15">
            <v>0</v>
          </cell>
          <cell r="H15">
            <v>0</v>
          </cell>
          <cell r="J15">
            <v>0</v>
          </cell>
        </row>
        <row r="16">
          <cell r="F16">
            <v>0</v>
          </cell>
          <cell r="H16">
            <v>0</v>
          </cell>
          <cell r="J16">
            <v>0</v>
          </cell>
        </row>
        <row r="17">
          <cell r="F17">
            <v>0</v>
          </cell>
          <cell r="H17">
            <v>0</v>
          </cell>
          <cell r="J17">
            <v>0</v>
          </cell>
        </row>
        <row r="18">
          <cell r="F18">
            <v>0</v>
          </cell>
          <cell r="H18">
            <v>0</v>
          </cell>
          <cell r="J18">
            <v>0</v>
          </cell>
        </row>
        <row r="19">
          <cell r="F19">
            <v>0</v>
          </cell>
          <cell r="H19">
            <v>0</v>
          </cell>
          <cell r="J19">
            <v>0</v>
          </cell>
        </row>
        <row r="20">
          <cell r="F20">
            <v>0</v>
          </cell>
          <cell r="H20">
            <v>0</v>
          </cell>
          <cell r="J20">
            <v>0</v>
          </cell>
        </row>
        <row r="21">
          <cell r="F21">
            <v>0</v>
          </cell>
          <cell r="H21">
            <v>0</v>
          </cell>
          <cell r="J21">
            <v>0</v>
          </cell>
        </row>
        <row r="22">
          <cell r="F22">
            <v>0</v>
          </cell>
          <cell r="H22">
            <v>0</v>
          </cell>
          <cell r="J22">
            <v>0</v>
          </cell>
        </row>
        <row r="23">
          <cell r="F23">
            <v>0</v>
          </cell>
          <cell r="H23">
            <v>0</v>
          </cell>
          <cell r="J23">
            <v>0</v>
          </cell>
        </row>
        <row r="24">
          <cell r="F24">
            <v>0</v>
          </cell>
          <cell r="H24">
            <v>0</v>
          </cell>
          <cell r="J24">
            <v>0</v>
          </cell>
        </row>
        <row r="25">
          <cell r="D25">
            <v>0</v>
          </cell>
          <cell r="F25">
            <v>0</v>
          </cell>
          <cell r="H25">
            <v>0</v>
          </cell>
          <cell r="J25">
            <v>0</v>
          </cell>
        </row>
        <row r="41">
          <cell r="J41">
            <v>0</v>
          </cell>
        </row>
        <row r="43">
          <cell r="J43">
            <v>0</v>
          </cell>
        </row>
        <row r="52">
          <cell r="J52">
            <v>0</v>
          </cell>
        </row>
        <row r="55">
          <cell r="J55" t="e">
            <v>#DIV/0!</v>
          </cell>
        </row>
      </sheetData>
      <sheetData sheetId="1"/>
      <sheetData sheetId="2">
        <row r="6">
          <cell r="B6" t="str">
            <v>ED</v>
          </cell>
          <cell r="C6" t="str">
            <v>O &amp; M</v>
          </cell>
          <cell r="D6" t="str">
            <v>DS</v>
          </cell>
          <cell r="E6" t="str">
            <v>TRANSP</v>
          </cell>
          <cell r="F6" t="str">
            <v>IMRF/SS</v>
          </cell>
          <cell r="G6" t="str">
            <v>CP</v>
          </cell>
          <cell r="H6" t="str">
            <v>W/C</v>
          </cell>
          <cell r="I6" t="str">
            <v>TORT</v>
          </cell>
          <cell r="J6" t="str">
            <v>F/S</v>
          </cell>
          <cell r="K6" t="str">
            <v>LEASING/RENT</v>
          </cell>
          <cell r="L6" t="str">
            <v>INHERITANCE</v>
          </cell>
          <cell r="M6" t="str">
            <v>OTHER</v>
          </cell>
          <cell r="N6" t="str">
            <v>OTHER</v>
          </cell>
          <cell r="O6" t="str">
            <v>OTHER</v>
          </cell>
          <cell r="P6" t="str">
            <v>TOTAL</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8">
          <cell r="B28">
            <v>0</v>
          </cell>
          <cell r="C28">
            <v>0</v>
          </cell>
          <cell r="D28">
            <v>0</v>
          </cell>
          <cell r="E28">
            <v>0</v>
          </cell>
          <cell r="F28">
            <v>0</v>
          </cell>
          <cell r="G28">
            <v>0</v>
          </cell>
          <cell r="H28">
            <v>0</v>
          </cell>
          <cell r="I28">
            <v>0</v>
          </cell>
          <cell r="J28">
            <v>0</v>
          </cell>
          <cell r="K28">
            <v>0</v>
          </cell>
          <cell r="L28">
            <v>0</v>
          </cell>
          <cell r="O28">
            <v>0</v>
          </cell>
          <cell r="P28">
            <v>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60" t="s">
        <v>405</v>
      </c>
      <c r="J1" s="2061"/>
      <c r="K1" s="2061"/>
      <c r="L1" s="2061"/>
      <c r="M1" s="2061"/>
      <c r="N1" s="2061"/>
      <c r="O1" s="2061"/>
      <c r="P1" s="2061"/>
      <c r="Q1" s="2061"/>
      <c r="R1" s="2061"/>
      <c r="S1" s="2061"/>
    </row>
    <row r="2" spans="1:28" ht="12" customHeight="1" x14ac:dyDescent="0.2">
      <c r="A2" s="47" t="s">
        <v>1993</v>
      </c>
      <c r="D2" s="48"/>
      <c r="I2" s="2062" t="s">
        <v>979</v>
      </c>
      <c r="J2" s="2061"/>
      <c r="K2" s="2061"/>
      <c r="L2" s="2061"/>
      <c r="M2" s="2061"/>
      <c r="N2" s="2061"/>
      <c r="O2" s="2061"/>
      <c r="P2" s="2061"/>
      <c r="Q2" s="2061"/>
      <c r="R2" s="2061"/>
      <c r="S2" s="2061"/>
    </row>
    <row r="3" spans="1:28" ht="12" customHeight="1" x14ac:dyDescent="0.2">
      <c r="A3" s="155" t="s">
        <v>1945</v>
      </c>
      <c r="B3" s="156"/>
      <c r="C3" s="156"/>
      <c r="D3" s="157"/>
      <c r="I3" s="2062" t="s">
        <v>52</v>
      </c>
      <c r="J3" s="2061"/>
      <c r="K3" s="2061"/>
      <c r="L3" s="2061"/>
      <c r="M3" s="2061"/>
      <c r="N3" s="2061"/>
      <c r="O3" s="2061"/>
      <c r="P3" s="2061"/>
      <c r="Q3" s="2061"/>
      <c r="R3" s="2061"/>
      <c r="S3" s="2061"/>
    </row>
    <row r="4" spans="1:28" ht="12" customHeight="1" x14ac:dyDescent="0.2">
      <c r="A4" s="37"/>
      <c r="I4" s="2062" t="s">
        <v>524</v>
      </c>
      <c r="J4" s="2061"/>
      <c r="K4" s="2061"/>
      <c r="L4" s="2061"/>
      <c r="M4" s="2061"/>
      <c r="N4" s="2061"/>
      <c r="O4" s="2061"/>
      <c r="P4" s="2061"/>
      <c r="Q4" s="2061"/>
      <c r="R4" s="2061"/>
      <c r="S4" s="2061"/>
    </row>
    <row r="5" spans="1:28" ht="14.1" customHeight="1" x14ac:dyDescent="0.2">
      <c r="B5" s="104" t="s">
        <v>2070</v>
      </c>
      <c r="C5" s="26" t="s">
        <v>910</v>
      </c>
      <c r="D5" s="84"/>
      <c r="E5" s="84"/>
      <c r="H5" s="38"/>
      <c r="I5" s="2070" t="s">
        <v>680</v>
      </c>
      <c r="J5" s="2069"/>
      <c r="K5" s="2069"/>
      <c r="L5" s="2069"/>
      <c r="M5" s="2069"/>
      <c r="N5" s="2069"/>
      <c r="O5" s="2069"/>
      <c r="P5" s="2069"/>
      <c r="Q5" s="2069"/>
      <c r="R5" s="2069"/>
      <c r="S5" s="2069"/>
    </row>
    <row r="6" spans="1:28" ht="14.1" customHeight="1" x14ac:dyDescent="0.2">
      <c r="B6" s="104"/>
      <c r="C6" s="26" t="s">
        <v>911</v>
      </c>
      <c r="D6" s="84"/>
      <c r="E6" s="84"/>
      <c r="I6" s="2068" t="s">
        <v>883</v>
      </c>
      <c r="J6" s="2069"/>
      <c r="K6" s="2069"/>
      <c r="L6" s="2069"/>
      <c r="M6" s="2069"/>
      <c r="N6" s="2069"/>
      <c r="O6" s="2069"/>
      <c r="P6" s="2069"/>
      <c r="Q6" s="2069"/>
      <c r="R6" s="2069"/>
      <c r="S6" s="2069"/>
    </row>
    <row r="7" spans="1:28" ht="12.2" customHeight="1" x14ac:dyDescent="0.2">
      <c r="I7" s="2063">
        <v>43646</v>
      </c>
      <c r="J7" s="2064"/>
      <c r="K7" s="2064"/>
      <c r="L7" s="2064"/>
      <c r="M7" s="2064"/>
      <c r="N7" s="2064"/>
      <c r="O7" s="2064"/>
      <c r="P7" s="2064"/>
      <c r="Q7" s="2064"/>
      <c r="R7" s="2064"/>
      <c r="S7" s="206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5" t="s">
        <v>674</v>
      </c>
      <c r="J9" s="2066"/>
      <c r="K9" s="2066"/>
      <c r="L9" s="2066"/>
      <c r="M9" s="2066"/>
      <c r="N9" s="2066"/>
      <c r="O9" s="2066"/>
      <c r="P9" s="2066"/>
      <c r="Q9" s="2066"/>
      <c r="R9" s="2066"/>
      <c r="S9" s="2067"/>
      <c r="T9" s="2081" t="s">
        <v>533</v>
      </c>
      <c r="U9" s="2082"/>
      <c r="V9" s="2082"/>
      <c r="W9" s="2082"/>
      <c r="X9" s="2082"/>
      <c r="Y9" s="2082"/>
      <c r="Z9" s="2082"/>
      <c r="AA9" s="2083"/>
    </row>
    <row r="10" spans="1:28" ht="13.5" customHeight="1" x14ac:dyDescent="0.2">
      <c r="A10" s="2088" t="s">
        <v>675</v>
      </c>
      <c r="B10" s="2089"/>
      <c r="C10" s="2089"/>
      <c r="D10" s="2089"/>
      <c r="E10" s="2089"/>
      <c r="F10" s="2089"/>
      <c r="G10" s="2089"/>
      <c r="H10" s="2090"/>
      <c r="I10" s="29"/>
      <c r="J10" s="30"/>
      <c r="K10" s="28"/>
      <c r="R10" s="30"/>
      <c r="S10" s="30"/>
      <c r="T10" s="2084"/>
      <c r="U10" s="2069"/>
      <c r="V10" s="2069"/>
      <c r="W10" s="2069"/>
      <c r="X10" s="2069"/>
      <c r="Y10" s="2069"/>
      <c r="Z10" s="2069"/>
      <c r="AA10" s="2075"/>
    </row>
    <row r="11" spans="1:28" ht="14.25" customHeight="1" x14ac:dyDescent="0.2">
      <c r="A11" s="2091" t="s">
        <v>955</v>
      </c>
      <c r="B11" s="2092"/>
      <c r="C11" s="2092"/>
      <c r="D11" s="2092"/>
      <c r="E11" s="2092"/>
      <c r="F11" s="2092"/>
      <c r="G11" s="2092"/>
      <c r="H11" s="2093"/>
      <c r="I11" s="27"/>
      <c r="J11" s="74"/>
      <c r="K11" s="27"/>
      <c r="O11" s="148" t="s">
        <v>2070</v>
      </c>
      <c r="P11" s="100" t="s">
        <v>201</v>
      </c>
      <c r="Q11" s="30"/>
      <c r="R11" s="28"/>
      <c r="S11" s="27"/>
      <c r="T11" s="2085"/>
      <c r="U11" s="2086"/>
      <c r="V11" s="2086"/>
      <c r="W11" s="2086"/>
      <c r="X11" s="2086"/>
      <c r="Y11" s="2086"/>
      <c r="Z11" s="2086"/>
      <c r="AA11" s="208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95">
        <v>47098006026</v>
      </c>
      <c r="B13" s="2096"/>
      <c r="C13" s="2096"/>
      <c r="D13" s="2096"/>
      <c r="E13" s="2096"/>
      <c r="F13" s="2096"/>
      <c r="G13" s="2096"/>
      <c r="H13" s="2097"/>
      <c r="I13" s="31"/>
      <c r="J13" s="30"/>
      <c r="K13" s="28"/>
      <c r="L13" s="30"/>
      <c r="M13" s="30"/>
      <c r="N13" s="30"/>
      <c r="O13" s="30"/>
      <c r="P13" s="30"/>
      <c r="Q13" s="30"/>
      <c r="R13" s="30"/>
      <c r="S13" s="30"/>
      <c r="T13" s="2100" t="s">
        <v>2072</v>
      </c>
      <c r="U13" s="2101"/>
      <c r="V13" s="2101"/>
      <c r="W13" s="2101"/>
      <c r="X13" s="2101"/>
      <c r="Y13" s="2102"/>
      <c r="Z13" s="2102"/>
      <c r="AA13" s="210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94" t="s">
        <v>2074</v>
      </c>
      <c r="B15" s="2098"/>
      <c r="C15" s="2098"/>
      <c r="D15" s="2098"/>
      <c r="E15" s="2098"/>
      <c r="F15" s="2098"/>
      <c r="G15" s="2098"/>
      <c r="H15" s="2099"/>
      <c r="T15" s="2104" t="s">
        <v>2084</v>
      </c>
      <c r="U15" s="2048"/>
      <c r="V15" s="2048"/>
      <c r="W15" s="2048"/>
      <c r="X15" s="2048"/>
      <c r="Y15" s="2105"/>
      <c r="Z15" s="2105"/>
      <c r="AA15" s="210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54" t="s">
        <v>2179</v>
      </c>
      <c r="B17" s="2055"/>
      <c r="C17" s="2055"/>
      <c r="D17" s="2055"/>
      <c r="E17" s="2055"/>
      <c r="F17" s="2055"/>
      <c r="G17" s="2055"/>
      <c r="H17" s="2080"/>
      <c r="T17" s="2111" t="s">
        <v>2064</v>
      </c>
      <c r="U17" s="2112"/>
      <c r="V17" s="2112"/>
      <c r="W17" s="2112"/>
      <c r="X17" s="2112"/>
      <c r="Y17" s="2112"/>
      <c r="Z17" s="2112"/>
      <c r="AA17" s="2113"/>
    </row>
    <row r="18" spans="1:27" ht="13.5" customHeight="1" x14ac:dyDescent="0.2">
      <c r="A18" s="85" t="s">
        <v>530</v>
      </c>
      <c r="B18" s="76"/>
      <c r="C18" s="72"/>
      <c r="D18" s="76"/>
      <c r="E18" s="76"/>
      <c r="F18" s="76"/>
      <c r="G18" s="76"/>
      <c r="H18" s="56"/>
      <c r="I18" s="2079" t="s">
        <v>676</v>
      </c>
      <c r="J18" s="2030"/>
      <c r="K18" s="2030"/>
      <c r="L18" s="2030"/>
      <c r="M18" s="2030"/>
      <c r="N18" s="2030"/>
      <c r="O18" s="2030"/>
      <c r="P18" s="2030"/>
      <c r="Q18" s="2030"/>
      <c r="R18" s="2030"/>
      <c r="S18" s="2031"/>
      <c r="T18" s="85" t="s">
        <v>711</v>
      </c>
      <c r="U18" s="51"/>
      <c r="V18" s="72"/>
      <c r="W18" s="50"/>
      <c r="X18" s="85" t="s">
        <v>266</v>
      </c>
      <c r="Y18" s="81"/>
      <c r="Z18" s="159" t="s">
        <v>677</v>
      </c>
      <c r="AA18" s="46"/>
    </row>
    <row r="19" spans="1:27" ht="13.5" customHeight="1" x14ac:dyDescent="0.2">
      <c r="A19" s="2094" t="s">
        <v>2076</v>
      </c>
      <c r="B19" s="2040"/>
      <c r="C19" s="2040"/>
      <c r="D19" s="2040"/>
      <c r="E19" s="2040"/>
      <c r="F19" s="2040"/>
      <c r="G19" s="2040"/>
      <c r="H19" s="2020"/>
      <c r="I19" s="30"/>
      <c r="J19" s="99"/>
      <c r="K19" s="40"/>
      <c r="L19" s="38"/>
      <c r="M19" s="112" t="s">
        <v>315</v>
      </c>
      <c r="P19" s="27"/>
      <c r="Q19" s="27"/>
      <c r="R19" s="27"/>
      <c r="S19" s="31"/>
      <c r="T19" s="2094" t="s">
        <v>2065</v>
      </c>
      <c r="U19" s="2019"/>
      <c r="V19" s="2019"/>
      <c r="W19" s="2020"/>
      <c r="X19" s="2109" t="s">
        <v>2066</v>
      </c>
      <c r="Y19" s="2110"/>
      <c r="Z19" s="2107">
        <v>61614</v>
      </c>
      <c r="AA19" s="210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18" t="s">
        <v>2077</v>
      </c>
      <c r="B21" s="2019"/>
      <c r="C21" s="2019"/>
      <c r="D21" s="2019"/>
      <c r="E21" s="2019"/>
      <c r="F21" s="2019"/>
      <c r="G21" s="2019"/>
      <c r="H21" s="2020"/>
      <c r="I21" s="2074" t="s">
        <v>678</v>
      </c>
      <c r="J21" s="2069"/>
      <c r="K21" s="2069"/>
      <c r="L21" s="2069"/>
      <c r="M21" s="2069"/>
      <c r="N21" s="2069"/>
      <c r="O21" s="2069"/>
      <c r="P21" s="2069"/>
      <c r="Q21" s="2069"/>
      <c r="R21" s="2069"/>
      <c r="S21" s="2075"/>
      <c r="T21" s="2118" t="s">
        <v>2067</v>
      </c>
      <c r="U21" s="2119"/>
      <c r="V21" s="2119"/>
      <c r="W21" s="2119"/>
      <c r="X21" s="2124" t="s">
        <v>2068</v>
      </c>
      <c r="Y21" s="2125"/>
      <c r="Z21" s="2125"/>
      <c r="AA21" s="2126"/>
    </row>
    <row r="22" spans="1:27" ht="13.5" customHeight="1" x14ac:dyDescent="0.2">
      <c r="A22" s="87" t="s">
        <v>531</v>
      </c>
      <c r="B22" s="59"/>
      <c r="C22" s="59"/>
      <c r="D22" s="59"/>
      <c r="E22" s="59"/>
      <c r="F22" s="59"/>
      <c r="G22" s="59"/>
      <c r="H22" s="60"/>
      <c r="I22" s="2076" t="s">
        <v>1429</v>
      </c>
      <c r="J22" s="2077"/>
      <c r="K22" s="2077"/>
      <c r="L22" s="2077"/>
      <c r="M22" s="2077"/>
      <c r="N22" s="2077"/>
      <c r="O22" s="2077"/>
      <c r="P22" s="2077"/>
      <c r="Q22" s="2077"/>
      <c r="R22" s="2077"/>
      <c r="S22" s="2078"/>
      <c r="T22" s="85" t="s">
        <v>1516</v>
      </c>
      <c r="U22" s="51"/>
      <c r="V22" s="72"/>
      <c r="W22" s="51"/>
      <c r="X22" s="160" t="s">
        <v>1318</v>
      </c>
      <c r="Z22" s="45"/>
      <c r="AA22" s="46"/>
    </row>
    <row r="23" spans="1:27" ht="13.5" customHeight="1" x14ac:dyDescent="0.2">
      <c r="A23" s="2071" t="s">
        <v>2078</v>
      </c>
      <c r="B23" s="2072"/>
      <c r="C23" s="2072"/>
      <c r="D23" s="2072"/>
      <c r="E23" s="2072"/>
      <c r="F23" s="2072"/>
      <c r="G23" s="2072"/>
      <c r="H23" s="2073"/>
      <c r="T23" s="2054" t="s">
        <v>2069</v>
      </c>
      <c r="U23" s="2117"/>
      <c r="V23" s="2117"/>
      <c r="W23" s="2117"/>
      <c r="X23" s="2121">
        <v>44501</v>
      </c>
      <c r="Y23" s="2122"/>
      <c r="Z23" s="2122"/>
      <c r="AA23" s="2123"/>
    </row>
    <row r="24" spans="1:27" ht="14.1" customHeight="1" x14ac:dyDescent="0.2">
      <c r="A24" s="88" t="s">
        <v>677</v>
      </c>
      <c r="B24" s="49"/>
      <c r="C24" s="49"/>
      <c r="D24" s="49"/>
      <c r="E24" s="49"/>
      <c r="F24" s="49"/>
      <c r="G24" s="49"/>
      <c r="H24" s="61"/>
      <c r="J24" s="2041">
        <f>IF(B5="x",IF(AUDITCHECK!D29="AFR form Incomplete.","",IF(AUDITCHECK!D29="Deficit reduction plan is required.","School District must complete a deficit reduction plan in the 2019-2020 Budget",)),"")</f>
        <v>0</v>
      </c>
      <c r="K24" s="2041"/>
      <c r="L24" s="2041"/>
      <c r="M24" s="2041"/>
      <c r="N24" s="2041"/>
      <c r="O24" s="2041"/>
      <c r="P24" s="2041"/>
      <c r="Q24" s="2041"/>
      <c r="R24" s="2041"/>
      <c r="S24" s="2042"/>
      <c r="T24" s="105" t="s">
        <v>531</v>
      </c>
      <c r="U24" s="106"/>
      <c r="V24" s="106"/>
      <c r="W24" s="106"/>
      <c r="X24" s="107"/>
      <c r="Y24" s="107"/>
      <c r="Z24" s="107"/>
      <c r="AA24" s="108"/>
    </row>
    <row r="25" spans="1:27" ht="14.1" customHeight="1" x14ac:dyDescent="0.2">
      <c r="A25" s="2018" t="s">
        <v>2079</v>
      </c>
      <c r="B25" s="2019"/>
      <c r="C25" s="2019"/>
      <c r="D25" s="2019"/>
      <c r="E25" s="2019"/>
      <c r="F25" s="2019"/>
      <c r="G25" s="2019"/>
      <c r="H25" s="2020"/>
      <c r="I25" s="113"/>
      <c r="J25" s="2043"/>
      <c r="K25" s="2043"/>
      <c r="L25" s="2043"/>
      <c r="M25" s="2043"/>
      <c r="N25" s="2043"/>
      <c r="O25" s="2043"/>
      <c r="P25" s="2043"/>
      <c r="Q25" s="2043"/>
      <c r="R25" s="2043"/>
      <c r="S25" s="2044"/>
      <c r="T25" s="2114" t="s">
        <v>2085</v>
      </c>
      <c r="U25" s="2115"/>
      <c r="V25" s="2115"/>
      <c r="W25" s="2115"/>
      <c r="X25" s="2115"/>
      <c r="Y25" s="2115"/>
      <c r="Z25" s="2115"/>
      <c r="AA25" s="211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29" t="s">
        <v>1511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2080</v>
      </c>
      <c r="M29" s="40" t="s">
        <v>99</v>
      </c>
      <c r="N29" s="32" t="s">
        <v>1523</v>
      </c>
      <c r="O29" s="32"/>
      <c r="P29" s="32"/>
      <c r="Q29" s="32"/>
      <c r="R29" s="32"/>
      <c r="S29" s="123"/>
      <c r="T29" s="6"/>
      <c r="U29" s="6"/>
      <c r="V29" s="6"/>
      <c r="W29" s="6"/>
      <c r="X29" s="6"/>
      <c r="Y29" s="6"/>
      <c r="Z29" s="6"/>
      <c r="AA29" s="132"/>
    </row>
    <row r="30" spans="1:27" ht="13.5" customHeight="1" x14ac:dyDescent="0.2">
      <c r="A30" s="153"/>
      <c r="B30" s="136" t="s">
        <v>2080</v>
      </c>
      <c r="C30" s="124" t="s">
        <v>1164</v>
      </c>
      <c r="D30" s="28"/>
      <c r="E30" s="28"/>
      <c r="F30" s="140"/>
      <c r="G30" s="114"/>
      <c r="H30" s="114"/>
      <c r="I30" s="54"/>
      <c r="J30" s="102"/>
      <c r="K30" s="28" t="s">
        <v>576</v>
      </c>
      <c r="L30" s="148" t="s">
        <v>2080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2080</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40"/>
      <c r="Q35" s="2019"/>
      <c r="R35" s="201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54" t="s">
        <v>2081</v>
      </c>
      <c r="B38" s="2055"/>
      <c r="C38" s="2055"/>
      <c r="D38" s="2055"/>
      <c r="E38" s="2055"/>
      <c r="F38" s="2019"/>
      <c r="G38" s="2019"/>
      <c r="H38" s="2020"/>
      <c r="I38" s="2047"/>
      <c r="J38" s="2048"/>
      <c r="K38" s="2048"/>
      <c r="L38" s="2048"/>
      <c r="M38" s="2048"/>
      <c r="N38" s="2048"/>
      <c r="O38" s="2048"/>
      <c r="P38" s="2049"/>
      <c r="Q38" s="2049"/>
      <c r="R38" s="2049"/>
      <c r="S38" s="2050"/>
      <c r="T38" s="2104"/>
      <c r="U38" s="2048"/>
      <c r="V38" s="2048"/>
      <c r="W38" s="2048"/>
      <c r="X38" s="2049"/>
      <c r="Y38" s="2049"/>
      <c r="Z38" s="2049"/>
      <c r="AA38" s="2050"/>
    </row>
    <row r="39" spans="1:27" ht="12" customHeight="1" x14ac:dyDescent="0.2">
      <c r="A39" s="2024" t="s">
        <v>531</v>
      </c>
      <c r="B39" s="2025"/>
      <c r="C39" s="72"/>
      <c r="D39" s="69"/>
      <c r="E39" s="69"/>
      <c r="F39" s="79"/>
      <c r="G39" s="69"/>
      <c r="H39" s="56"/>
      <c r="I39" s="2024" t="s">
        <v>531</v>
      </c>
      <c r="J39" s="2025"/>
      <c r="K39" s="2025"/>
      <c r="L39" s="2025"/>
      <c r="M39" s="2025"/>
      <c r="N39" s="67"/>
      <c r="O39" s="72"/>
      <c r="P39" s="72"/>
      <c r="Q39" s="78"/>
      <c r="R39" s="72"/>
      <c r="S39" s="56"/>
      <c r="T39" s="72" t="s">
        <v>531</v>
      </c>
      <c r="U39" s="51"/>
      <c r="V39" s="72"/>
      <c r="W39" s="50"/>
      <c r="X39" s="78"/>
      <c r="Y39" s="45"/>
      <c r="Z39" s="45"/>
      <c r="AA39" s="46"/>
    </row>
    <row r="40" spans="1:27" ht="13.5" customHeight="1" x14ac:dyDescent="0.2">
      <c r="A40" s="2032" t="s">
        <v>2078</v>
      </c>
      <c r="B40" s="2033"/>
      <c r="C40" s="2034"/>
      <c r="D40" s="2034"/>
      <c r="E40" s="2034"/>
      <c r="F40" s="2035"/>
      <c r="G40" s="2035"/>
      <c r="H40" s="2036"/>
      <c r="I40" s="2057"/>
      <c r="J40" s="2058"/>
      <c r="K40" s="2058"/>
      <c r="L40" s="2058"/>
      <c r="M40" s="2058"/>
      <c r="N40" s="2058"/>
      <c r="O40" s="2058"/>
      <c r="P40" s="2058"/>
      <c r="Q40" s="2058"/>
      <c r="R40" s="2058"/>
      <c r="S40" s="2059"/>
      <c r="T40" s="2057"/>
      <c r="U40" s="2120"/>
      <c r="V40" s="2058"/>
      <c r="W40" s="2058"/>
      <c r="X40" s="2058"/>
      <c r="Y40" s="2058"/>
      <c r="Z40" s="2058"/>
      <c r="AA40" s="205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6" t="s">
        <v>2082</v>
      </c>
      <c r="B42" s="2038"/>
      <c r="C42" s="2039"/>
      <c r="D42" s="2037" t="s">
        <v>2083</v>
      </c>
      <c r="E42" s="2038"/>
      <c r="F42" s="2038"/>
      <c r="G42" s="2038"/>
      <c r="H42" s="2039"/>
      <c r="I42" s="2021"/>
      <c r="J42" s="2022"/>
      <c r="K42" s="2022"/>
      <c r="L42" s="2022"/>
      <c r="M42" s="2022"/>
      <c r="N42" s="2022"/>
      <c r="O42" s="2023"/>
      <c r="P42" s="2056"/>
      <c r="Q42" s="2022"/>
      <c r="R42" s="2022"/>
      <c r="S42" s="2023"/>
      <c r="T42" s="2021"/>
      <c r="U42" s="2022"/>
      <c r="V42" s="2022"/>
      <c r="W42" s="2023"/>
      <c r="X42" s="2056"/>
      <c r="Y42" s="2022"/>
      <c r="Z42" s="2022"/>
      <c r="AA42" s="202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1"/>
      <c r="B44" s="2052"/>
      <c r="C44" s="2052"/>
      <c r="D44" s="2052"/>
      <c r="E44" s="2052"/>
      <c r="F44" s="2052"/>
      <c r="G44" s="2052"/>
      <c r="H44" s="2053"/>
      <c r="I44" s="2026"/>
      <c r="J44" s="2027"/>
      <c r="K44" s="2027"/>
      <c r="L44" s="2027"/>
      <c r="M44" s="2027"/>
      <c r="N44" s="2027"/>
      <c r="O44" s="2027"/>
      <c r="P44" s="2027"/>
      <c r="Q44" s="2027"/>
      <c r="R44" s="2027"/>
      <c r="S44" s="2028"/>
      <c r="T44" s="2026"/>
      <c r="U44" s="2045"/>
      <c r="V44" s="2045"/>
      <c r="W44" s="2045"/>
      <c r="X44" s="2045"/>
      <c r="Y44" s="2045"/>
      <c r="Z44" s="2027"/>
      <c r="AA44" s="202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30" t="s">
        <v>1065</v>
      </c>
      <c r="B35" s="2130"/>
      <c r="C35" s="2130"/>
      <c r="D35" s="2130"/>
      <c r="E35" s="213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7" t="s">
        <v>691</v>
      </c>
      <c r="B40" s="2127"/>
      <c r="C40" s="2127"/>
      <c r="D40" s="2127"/>
      <c r="E40" s="2127"/>
    </row>
    <row r="41" spans="1:5" x14ac:dyDescent="0.2">
      <c r="A41" s="2128" t="s">
        <v>1608</v>
      </c>
      <c r="B41" s="2128"/>
      <c r="C41" s="2128"/>
      <c r="D41" s="2128"/>
      <c r="E41" s="2128"/>
    </row>
    <row r="42" spans="1:5" ht="12.75" customHeight="1" x14ac:dyDescent="0.2">
      <c r="A42" s="2129" t="s">
        <v>1022</v>
      </c>
      <c r="B42" s="2129"/>
      <c r="C42" s="2129"/>
      <c r="D42" s="2129"/>
      <c r="E42" s="2129"/>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31" t="s">
        <v>1168</v>
      </c>
      <c r="B2" s="2131"/>
      <c r="C2" s="2131"/>
      <c r="D2" s="2131"/>
      <c r="E2" s="2131"/>
      <c r="F2" s="2131"/>
      <c r="G2" s="2131"/>
      <c r="H2" s="2131"/>
      <c r="I2" s="2131"/>
      <c r="J2" s="213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45" t="s">
        <v>1633</v>
      </c>
      <c r="B35" s="2146"/>
      <c r="C35" s="2146"/>
      <c r="D35" s="2146"/>
      <c r="E35" s="2147"/>
      <c r="F35" s="2147"/>
      <c r="G35" s="2147"/>
      <c r="H35" s="2147"/>
      <c r="I35" s="214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45" t="s">
        <v>313</v>
      </c>
      <c r="B47" s="2148"/>
      <c r="C47" s="2148"/>
      <c r="D47" s="2148"/>
      <c r="E47" s="2149"/>
      <c r="F47" s="2149"/>
      <c r="G47" s="2149"/>
      <c r="H47" s="2149"/>
      <c r="I47" s="214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2070</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52"/>
      <c r="C57" s="2153"/>
      <c r="D57" s="2153"/>
      <c r="E57" s="2153"/>
      <c r="F57" s="2153"/>
      <c r="G57" s="2153"/>
      <c r="H57" s="2153"/>
      <c r="I57" s="2153"/>
      <c r="J57" s="2154"/>
    </row>
    <row r="58" spans="1:10" s="181" customFormat="1" x14ac:dyDescent="0.2">
      <c r="A58" s="253"/>
      <c r="B58" s="2155"/>
      <c r="C58" s="2156"/>
      <c r="D58" s="2156"/>
      <c r="E58" s="2156"/>
      <c r="F58" s="2156"/>
      <c r="G58" s="2156"/>
      <c r="H58" s="2156"/>
      <c r="I58" s="2156"/>
      <c r="J58" s="2157"/>
    </row>
    <row r="59" spans="1:10" s="181" customFormat="1" x14ac:dyDescent="0.2">
      <c r="A59" s="253"/>
      <c r="B59" s="2155"/>
      <c r="C59" s="2156"/>
      <c r="D59" s="2156"/>
      <c r="E59" s="2156"/>
      <c r="F59" s="2156"/>
      <c r="G59" s="2156"/>
      <c r="H59" s="2156"/>
      <c r="I59" s="2156"/>
      <c r="J59" s="2157"/>
    </row>
    <row r="60" spans="1:10" s="181" customFormat="1" x14ac:dyDescent="0.2">
      <c r="A60" s="253"/>
      <c r="B60" s="2155"/>
      <c r="C60" s="2156"/>
      <c r="D60" s="2156"/>
      <c r="E60" s="2156"/>
      <c r="F60" s="2156"/>
      <c r="G60" s="2156"/>
      <c r="H60" s="2156"/>
      <c r="I60" s="2156"/>
      <c r="J60" s="2157"/>
    </row>
    <row r="61" spans="1:10" s="181" customFormat="1" x14ac:dyDescent="0.2">
      <c r="A61" s="253"/>
      <c r="B61" s="2155"/>
      <c r="C61" s="2156"/>
      <c r="D61" s="2156"/>
      <c r="E61" s="2156"/>
      <c r="F61" s="2156"/>
      <c r="G61" s="2156"/>
      <c r="H61" s="2156"/>
      <c r="I61" s="2156"/>
      <c r="J61" s="2157"/>
    </row>
    <row r="62" spans="1:10" s="181" customFormat="1" x14ac:dyDescent="0.2">
      <c r="A62" s="253"/>
      <c r="B62" s="2155"/>
      <c r="C62" s="2156"/>
      <c r="D62" s="2156"/>
      <c r="E62" s="2156"/>
      <c r="F62" s="2156"/>
      <c r="G62" s="2156"/>
      <c r="H62" s="2156"/>
      <c r="I62" s="2156"/>
      <c r="J62" s="2157"/>
    </row>
    <row r="63" spans="1:10" s="181" customFormat="1" x14ac:dyDescent="0.2">
      <c r="A63" s="253"/>
      <c r="B63" s="2155"/>
      <c r="C63" s="2156"/>
      <c r="D63" s="2156"/>
      <c r="E63" s="2156"/>
      <c r="F63" s="2156"/>
      <c r="G63" s="2156"/>
      <c r="H63" s="2156"/>
      <c r="I63" s="2156"/>
      <c r="J63" s="2157"/>
    </row>
    <row r="64" spans="1:10" s="181" customFormat="1" x14ac:dyDescent="0.2">
      <c r="A64" s="253"/>
      <c r="B64" s="2155"/>
      <c r="C64" s="2156"/>
      <c r="D64" s="2156"/>
      <c r="E64" s="2156"/>
      <c r="F64" s="2156"/>
      <c r="G64" s="2156"/>
      <c r="H64" s="2156"/>
      <c r="I64" s="2156"/>
      <c r="J64" s="2157"/>
    </row>
    <row r="65" spans="1:10" s="181" customFormat="1" x14ac:dyDescent="0.2">
      <c r="A65" s="253"/>
      <c r="B65" s="2155"/>
      <c r="C65" s="2156"/>
      <c r="D65" s="2156"/>
      <c r="E65" s="2156"/>
      <c r="F65" s="2156"/>
      <c r="G65" s="2156"/>
      <c r="H65" s="2156"/>
      <c r="I65" s="2156"/>
      <c r="J65" s="2157"/>
    </row>
    <row r="66" spans="1:10" s="181" customFormat="1" x14ac:dyDescent="0.2">
      <c r="A66" s="253"/>
      <c r="B66" s="2155"/>
      <c r="C66" s="2156"/>
      <c r="D66" s="2156"/>
      <c r="E66" s="2156"/>
      <c r="F66" s="2156"/>
      <c r="G66" s="2156"/>
      <c r="H66" s="2156"/>
      <c r="I66" s="2156"/>
      <c r="J66" s="2157"/>
    </row>
    <row r="67" spans="1:10" s="181" customFormat="1" ht="9" customHeight="1" x14ac:dyDescent="0.2">
      <c r="A67" s="254"/>
      <c r="B67" s="2158"/>
      <c r="C67" s="2159"/>
      <c r="D67" s="2159"/>
      <c r="E67" s="2159"/>
      <c r="F67" s="2159"/>
      <c r="G67" s="2159"/>
      <c r="H67" s="2159"/>
      <c r="I67" s="2159"/>
      <c r="J67" s="216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45" t="s">
        <v>1323</v>
      </c>
      <c r="B70" s="2148"/>
      <c r="C70" s="2148"/>
      <c r="D70" s="2148"/>
      <c r="E70" s="2149"/>
      <c r="F70" s="2149"/>
      <c r="G70" s="2149"/>
      <c r="H70" s="2149"/>
      <c r="I70" s="214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50" t="s">
        <v>1320</v>
      </c>
      <c r="B83" s="2150"/>
      <c r="C83" s="2150"/>
      <c r="D83" s="215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32" t="s">
        <v>2159</v>
      </c>
      <c r="C102" s="2133"/>
      <c r="D102" s="2133"/>
      <c r="E102" s="2133"/>
      <c r="F102" s="2133"/>
      <c r="G102" s="2133"/>
      <c r="H102" s="2133"/>
      <c r="I102" s="2134"/>
    </row>
    <row r="103" spans="1:9" s="181" customFormat="1" ht="11.25" customHeight="1" x14ac:dyDescent="0.2">
      <c r="A103" s="316"/>
      <c r="B103" s="2135"/>
      <c r="C103" s="2136"/>
      <c r="D103" s="2136"/>
      <c r="E103" s="2136"/>
      <c r="F103" s="2136"/>
      <c r="G103" s="2136"/>
      <c r="H103" s="2136"/>
      <c r="I103" s="2137"/>
    </row>
    <row r="104" spans="1:9" s="181" customFormat="1" ht="11.25" customHeight="1" x14ac:dyDescent="0.2">
      <c r="A104" s="316"/>
      <c r="B104" s="2135"/>
      <c r="C104" s="2136"/>
      <c r="D104" s="2136"/>
      <c r="E104" s="2136"/>
      <c r="F104" s="2136"/>
      <c r="G104" s="2136"/>
      <c r="H104" s="2136"/>
      <c r="I104" s="2137"/>
    </row>
    <row r="105" spans="1:9" s="181" customFormat="1" x14ac:dyDescent="0.2">
      <c r="A105" s="316"/>
      <c r="B105" s="2135"/>
      <c r="C105" s="2136"/>
      <c r="D105" s="2136"/>
      <c r="E105" s="2136"/>
      <c r="F105" s="2136"/>
      <c r="G105" s="2136"/>
      <c r="H105" s="2136"/>
      <c r="I105" s="2137"/>
    </row>
    <row r="106" spans="1:9" s="181" customFormat="1" ht="11.25" customHeight="1" x14ac:dyDescent="0.2">
      <c r="A106" s="316"/>
      <c r="B106" s="2135"/>
      <c r="C106" s="2136"/>
      <c r="D106" s="2136"/>
      <c r="E106" s="2136"/>
      <c r="F106" s="2136"/>
      <c r="G106" s="2136"/>
      <c r="H106" s="2136"/>
      <c r="I106" s="2137"/>
    </row>
    <row r="107" spans="1:9" s="181" customFormat="1" ht="11.25" customHeight="1" x14ac:dyDescent="0.2">
      <c r="A107" s="316"/>
      <c r="B107" s="2135"/>
      <c r="C107" s="2136"/>
      <c r="D107" s="2136"/>
      <c r="E107" s="2136"/>
      <c r="F107" s="2136"/>
      <c r="G107" s="2136"/>
      <c r="H107" s="2136"/>
      <c r="I107" s="2137"/>
    </row>
    <row r="108" spans="1:9" s="181" customFormat="1" ht="11.25" customHeight="1" x14ac:dyDescent="0.2">
      <c r="A108" s="316"/>
      <c r="B108" s="2135"/>
      <c r="C108" s="2136"/>
      <c r="D108" s="2136"/>
      <c r="E108" s="2136"/>
      <c r="F108" s="2136"/>
      <c r="G108" s="2136"/>
      <c r="H108" s="2136"/>
      <c r="I108" s="2137"/>
    </row>
    <row r="109" spans="1:9" s="181" customFormat="1" ht="11.25" customHeight="1" x14ac:dyDescent="0.2">
      <c r="A109" s="316"/>
      <c r="B109" s="2135"/>
      <c r="C109" s="2136"/>
      <c r="D109" s="2136"/>
      <c r="E109" s="2136"/>
      <c r="F109" s="2136"/>
      <c r="G109" s="2136"/>
      <c r="H109" s="2136"/>
      <c r="I109" s="2137"/>
    </row>
    <row r="110" spans="1:9" s="181" customFormat="1" ht="11.25" customHeight="1" x14ac:dyDescent="0.2">
      <c r="A110" s="316"/>
      <c r="B110" s="2135"/>
      <c r="C110" s="2136"/>
      <c r="D110" s="2136"/>
      <c r="E110" s="2136"/>
      <c r="F110" s="2136"/>
      <c r="G110" s="2136"/>
      <c r="H110" s="2136"/>
      <c r="I110" s="2137"/>
    </row>
    <row r="111" spans="1:9" s="181" customFormat="1" ht="11.25" customHeight="1" x14ac:dyDescent="0.2">
      <c r="A111" s="316"/>
      <c r="B111" s="2135"/>
      <c r="C111" s="2136"/>
      <c r="D111" s="2136"/>
      <c r="E111" s="2136"/>
      <c r="F111" s="2136"/>
      <c r="G111" s="2136"/>
      <c r="H111" s="2136"/>
      <c r="I111" s="2137"/>
    </row>
    <row r="112" spans="1:9" s="181" customFormat="1" ht="11.25" customHeight="1" x14ac:dyDescent="0.2">
      <c r="A112" s="316"/>
      <c r="B112" s="2138"/>
      <c r="C112" s="2139"/>
      <c r="D112" s="2139"/>
      <c r="E112" s="2139"/>
      <c r="F112" s="2139"/>
      <c r="G112" s="2139"/>
      <c r="H112" s="2139"/>
      <c r="I112" s="214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41" t="s">
        <v>2072</v>
      </c>
      <c r="D114" s="214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42" t="s">
        <v>1330</v>
      </c>
      <c r="D117" s="2143"/>
      <c r="E117" s="2144"/>
      <c r="F117" s="2144"/>
      <c r="G117" s="2144"/>
      <c r="H117" s="2144"/>
      <c r="I117" s="304"/>
    </row>
    <row r="118" spans="1:9" s="181" customFormat="1" ht="24" customHeight="1" x14ac:dyDescent="0.2">
      <c r="A118" s="316"/>
      <c r="B118" s="316"/>
      <c r="C118" s="316"/>
      <c r="D118" s="323" t="s">
        <v>2178</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61" t="s">
        <v>386</v>
      </c>
      <c r="B1" s="2161"/>
      <c r="C1" s="2161"/>
      <c r="D1" s="2161"/>
      <c r="E1" s="2161"/>
      <c r="F1" s="2161"/>
      <c r="G1" s="2161"/>
      <c r="H1" s="2161"/>
      <c r="I1" s="2161"/>
      <c r="J1" s="2161"/>
      <c r="K1" s="2161"/>
      <c r="L1" s="2161"/>
      <c r="M1" s="216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126314666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2.64E-2</v>
      </c>
      <c r="E10" s="356" t="s">
        <v>1005</v>
      </c>
      <c r="F10" s="355">
        <v>5.0000000000000001E-3</v>
      </c>
      <c r="G10" s="356" t="s">
        <v>1005</v>
      </c>
      <c r="H10" s="355">
        <v>2E-3</v>
      </c>
      <c r="I10" s="356" t="s">
        <v>1006</v>
      </c>
      <c r="J10" s="1729">
        <f>ROUND(D10+F10+H10,5)</f>
        <v>3.3399999999999999E-2</v>
      </c>
      <c r="K10" s="222"/>
      <c r="L10" s="355">
        <v>5.0000000000000001E-4</v>
      </c>
      <c r="M10" s="222"/>
    </row>
    <row r="11" spans="1:14" ht="7.5" customHeight="1" x14ac:dyDescent="0.2">
      <c r="B11" s="222"/>
      <c r="C11" s="222"/>
      <c r="D11" s="2171" t="str">
        <f>IF(SUM(J10)&lt;=0.0999999,"","Enter the Tax Rates by moving the decimal two places to the left.")</f>
        <v/>
      </c>
      <c r="E11" s="2172"/>
      <c r="F11" s="2172"/>
      <c r="G11" s="2172"/>
      <c r="H11" s="2172"/>
      <c r="I11" s="2172"/>
      <c r="J11" s="217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9140439</v>
      </c>
      <c r="E16" s="356"/>
      <c r="F16" s="1730">
        <f>SUM('Acct Summary 7-8'!C17,'Acct Summary 7-8'!D17,'Acct Summary 7-8'!F17)</f>
        <v>9806502</v>
      </c>
      <c r="G16" s="356"/>
      <c r="H16" s="1730">
        <f>SUM(D16-F16)</f>
        <v>-666063</v>
      </c>
      <c r="I16" s="222"/>
      <c r="J16" s="1730">
        <f>SUM('Acct Summary 7-8'!C81,'Acct Summary 7-8'!D81,'Acct Summary 7-8'!F81,'Acct Summary 7-8'!I81)</f>
        <v>5922857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17431423.908</v>
      </c>
      <c r="I31" s="368"/>
      <c r="J31" s="222"/>
      <c r="K31" s="222"/>
      <c r="L31" s="222"/>
      <c r="M31" s="222"/>
    </row>
    <row r="32" spans="1:13" ht="13.35" customHeight="1" x14ac:dyDescent="0.2">
      <c r="B32" s="369" t="s">
        <v>2080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11584000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62"/>
      <c r="C54" s="2163"/>
      <c r="D54" s="2163"/>
      <c r="E54" s="2163"/>
      <c r="F54" s="2163"/>
      <c r="G54" s="2163"/>
      <c r="H54" s="2163"/>
      <c r="I54" s="2163"/>
      <c r="J54" s="2163"/>
      <c r="K54" s="2163"/>
      <c r="L54" s="2164"/>
      <c r="M54" s="380"/>
    </row>
    <row r="55" spans="1:13" ht="12.75" customHeight="1" x14ac:dyDescent="0.2">
      <c r="B55" s="2165"/>
      <c r="C55" s="2166"/>
      <c r="D55" s="2166"/>
      <c r="E55" s="2166"/>
      <c r="F55" s="2166"/>
      <c r="G55" s="2166"/>
      <c r="H55" s="2166"/>
      <c r="I55" s="2166"/>
      <c r="J55" s="2166"/>
      <c r="K55" s="2166"/>
      <c r="L55" s="2167"/>
      <c r="M55" s="380"/>
    </row>
    <row r="56" spans="1:13" ht="12.75" customHeight="1" x14ac:dyDescent="0.2">
      <c r="B56" s="2165"/>
      <c r="C56" s="2166"/>
      <c r="D56" s="2166"/>
      <c r="E56" s="2166"/>
      <c r="F56" s="2166"/>
      <c r="G56" s="2166"/>
      <c r="H56" s="2166"/>
      <c r="I56" s="2166"/>
      <c r="J56" s="2166"/>
      <c r="K56" s="2166"/>
      <c r="L56" s="2167"/>
      <c r="M56" s="222"/>
    </row>
    <row r="57" spans="1:13" ht="12.75" customHeight="1" x14ac:dyDescent="0.2">
      <c r="B57" s="2165"/>
      <c r="C57" s="2166"/>
      <c r="D57" s="2166"/>
      <c r="E57" s="2166"/>
      <c r="F57" s="2166"/>
      <c r="G57" s="2166"/>
      <c r="H57" s="2166"/>
      <c r="I57" s="2166"/>
      <c r="J57" s="2166"/>
      <c r="K57" s="2166"/>
      <c r="L57" s="2167"/>
      <c r="M57" s="222"/>
    </row>
    <row r="58" spans="1:13" x14ac:dyDescent="0.2">
      <c r="B58" s="2168"/>
      <c r="C58" s="2169"/>
      <c r="D58" s="2169"/>
      <c r="E58" s="2169"/>
      <c r="F58" s="2169"/>
      <c r="G58" s="2169"/>
      <c r="H58" s="2169"/>
      <c r="I58" s="2169"/>
      <c r="J58" s="2169"/>
      <c r="K58" s="2169"/>
      <c r="L58" s="217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73"/>
      <c r="D61" s="217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76"/>
      <c r="B1" s="2177"/>
      <c r="C1" s="2177"/>
      <c r="D1" s="384"/>
      <c r="E1" s="384"/>
      <c r="F1" s="384"/>
      <c r="G1" s="384"/>
      <c r="H1" s="384"/>
      <c r="I1" s="384"/>
      <c r="J1" s="384"/>
      <c r="K1" s="384"/>
      <c r="L1" s="384"/>
      <c r="M1" s="384"/>
      <c r="N1" s="384"/>
      <c r="O1" s="2176"/>
      <c r="P1" s="2177"/>
      <c r="Q1" s="2177"/>
    </row>
    <row r="2" spans="1:18" ht="15" x14ac:dyDescent="0.2">
      <c r="A2" s="2180" t="s">
        <v>556</v>
      </c>
      <c r="B2" s="2180"/>
      <c r="C2" s="2180"/>
      <c r="D2" s="2180"/>
      <c r="E2" s="2180"/>
      <c r="F2" s="2180"/>
      <c r="G2" s="2180"/>
      <c r="H2" s="2180"/>
      <c r="I2" s="2180"/>
      <c r="J2" s="2180"/>
      <c r="K2" s="2180"/>
      <c r="L2" s="2180"/>
      <c r="M2" s="2180"/>
      <c r="N2" s="2180"/>
      <c r="O2" s="2180"/>
      <c r="P2" s="2180"/>
      <c r="Q2" s="2180"/>
      <c r="R2" s="2180"/>
    </row>
    <row r="3" spans="1:18" ht="12.75" x14ac:dyDescent="0.2">
      <c r="A3" s="2181" t="s">
        <v>1413</v>
      </c>
      <c r="B3" s="2181"/>
      <c r="C3" s="2181"/>
      <c r="D3" s="2181"/>
      <c r="E3" s="2181"/>
      <c r="F3" s="2181"/>
      <c r="G3" s="2181"/>
      <c r="H3" s="2181"/>
      <c r="I3" s="2181"/>
      <c r="J3" s="2181"/>
      <c r="K3" s="2181"/>
      <c r="L3" s="2181"/>
      <c r="M3" s="2181"/>
      <c r="N3" s="2181"/>
      <c r="O3" s="2181"/>
      <c r="P3" s="2181"/>
      <c r="Q3" s="2181"/>
      <c r="R3" s="2181"/>
    </row>
    <row r="4" spans="1:18" x14ac:dyDescent="0.2">
      <c r="A4" s="2182" t="s">
        <v>1554</v>
      </c>
      <c r="B4" s="2182"/>
      <c r="C4" s="2182"/>
      <c r="D4" s="2182"/>
      <c r="E4" s="2182"/>
      <c r="F4" s="2182"/>
      <c r="G4" s="2182"/>
      <c r="H4" s="2182"/>
      <c r="I4" s="2182"/>
      <c r="J4" s="2182"/>
      <c r="K4" s="2182"/>
      <c r="L4" s="2182"/>
      <c r="M4" s="2182"/>
      <c r="N4" s="2182"/>
      <c r="O4" s="2182"/>
      <c r="P4" s="2182"/>
      <c r="Q4" s="2182"/>
      <c r="R4" s="218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Morrison CUSD 6</v>
      </c>
      <c r="E7" s="391"/>
      <c r="G7" s="252"/>
      <c r="H7" s="387"/>
      <c r="I7" s="387"/>
      <c r="J7" s="387"/>
      <c r="K7" s="387"/>
      <c r="L7" s="329"/>
      <c r="M7" s="329"/>
      <c r="N7" s="329"/>
      <c r="O7" s="329"/>
      <c r="P7" s="329"/>
    </row>
    <row r="8" spans="1:18" ht="12.75" x14ac:dyDescent="0.2">
      <c r="A8" s="329"/>
      <c r="B8" s="329"/>
      <c r="C8" s="389" t="s">
        <v>1125</v>
      </c>
      <c r="D8" s="392">
        <f>COVER!A13</f>
        <v>47098006026</v>
      </c>
      <c r="E8" s="393"/>
      <c r="G8" s="329"/>
      <c r="H8" s="329"/>
      <c r="I8" s="329"/>
      <c r="J8" s="329"/>
      <c r="K8" s="329"/>
      <c r="L8" s="329"/>
      <c r="M8" s="329"/>
      <c r="N8" s="329"/>
      <c r="O8" s="329"/>
      <c r="P8" s="329"/>
    </row>
    <row r="9" spans="1:18" ht="12.75" x14ac:dyDescent="0.2">
      <c r="A9" s="329"/>
      <c r="B9" s="329"/>
      <c r="C9" s="389" t="s">
        <v>713</v>
      </c>
      <c r="D9" s="394" t="str">
        <f>COVER!A15</f>
        <v>Whiteside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5922857</v>
      </c>
      <c r="I12" s="404"/>
      <c r="J12" s="404"/>
      <c r="K12" s="405">
        <f>TRUNC((H12/H13*100000),5)/100000</f>
        <v>0.64798386590000001</v>
      </c>
      <c r="L12" s="406"/>
      <c r="M12" s="360" t="s">
        <v>1144</v>
      </c>
      <c r="N12" s="360"/>
      <c r="O12" s="407">
        <v>0.35</v>
      </c>
      <c r="P12" s="218"/>
      <c r="Q12" s="218"/>
    </row>
    <row r="13" spans="1:18" s="408" customFormat="1" ht="12.75" x14ac:dyDescent="0.2">
      <c r="A13" s="218"/>
      <c r="B13" s="401"/>
      <c r="C13" s="2178" t="s">
        <v>1324</v>
      </c>
      <c r="D13" s="2179"/>
      <c r="E13" s="218"/>
      <c r="F13" s="409" t="s">
        <v>793</v>
      </c>
      <c r="G13" s="402"/>
      <c r="H13" s="403">
        <f>SUM('Acct Summary 7-8'!C8+'Acct Summary 7-8'!D8+'Acct Summary 7-8'!F8+'Acct Summary 7-8'!I8)+H14</f>
        <v>9140439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9806502</v>
      </c>
      <c r="I17" s="404"/>
      <c r="J17" s="416"/>
      <c r="K17" s="405">
        <f>TRUNC((H17/H18*100000),5)/100000</f>
        <v>1.0728699134999999</v>
      </c>
      <c r="L17" s="406"/>
      <c r="M17" s="417" t="s">
        <v>1171</v>
      </c>
      <c r="O17" s="418" t="str">
        <f>IF(AND(O16="2", J20 &gt; 2),"1",IF(AND(O16 = "1", J20 &gt; 2),"2",IF(AND(O16="1", J20 &gt;1),"1","0")))</f>
        <v>0</v>
      </c>
      <c r="P17" s="218"/>
    </row>
    <row r="18" spans="1:18" s="408" customFormat="1" ht="11.25" x14ac:dyDescent="0.2">
      <c r="A18" s="218"/>
      <c r="B18" s="401"/>
      <c r="C18" s="2178" t="s">
        <v>1317</v>
      </c>
      <c r="D18" s="2179"/>
      <c r="E18" s="218"/>
      <c r="F18" s="419" t="s">
        <v>794</v>
      </c>
      <c r="G18" s="402"/>
      <c r="H18" s="403">
        <f>SUM('Acct Summary 7-8'!C8+'Acct Summary 7-8'!D8+'Acct Summary 7-8'!F8+'Acct Summary 7-8'!I8)+H19</f>
        <v>9140439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7.5200289999999992</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75" t="s">
        <v>1412</v>
      </c>
      <c r="D24" s="2175"/>
      <c r="E24" s="218"/>
      <c r="F24" s="218" t="s">
        <v>445</v>
      </c>
      <c r="G24" s="402"/>
      <c r="H24" s="403">
        <f>SUM('Assets-Liab 5-6'!C4+'Assets-Liab 5-6'!D4+'Assets-Liab 5-6'!F4+'Assets-Liab 5-6'!I4+'Assets-Liab 5-6'!C5+'Assets-Liab 5-6'!D5+'Assets-Liab 5-6'!F5+'Assets-Liab 5-6'!I5)</f>
        <v>5923010</v>
      </c>
      <c r="I24" s="422"/>
      <c r="J24" s="422"/>
      <c r="K24" s="423">
        <f>TRUNC(((H24/H25*100000)/100000),2)</f>
        <v>217.43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27240.283329999998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3586073.3677400001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11584000</v>
      </c>
      <c r="I32" s="420"/>
      <c r="J32" s="420"/>
      <c r="K32" s="423">
        <f>TRUNC(100-((((H32/H33*100))*100)/100),2)</f>
        <v>33.54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17431423.908</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3.4499999999999997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J32" sqref="J32"/>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8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8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85" t="s">
        <v>973</v>
      </c>
      <c r="B3" s="2186"/>
      <c r="C3" s="1556"/>
      <c r="D3" s="1557"/>
      <c r="E3" s="1557"/>
      <c r="F3" s="1557"/>
      <c r="G3" s="1557"/>
      <c r="H3" s="1557"/>
      <c r="I3" s="1557"/>
      <c r="J3" s="1557"/>
      <c r="K3" s="1557"/>
      <c r="L3" s="1557"/>
      <c r="M3" s="1558"/>
      <c r="N3" s="1559"/>
    </row>
    <row r="4" spans="1:14" ht="13.5" customHeight="1" x14ac:dyDescent="0.2">
      <c r="A4" s="463" t="s">
        <v>1651</v>
      </c>
      <c r="B4" s="464"/>
      <c r="C4" s="465">
        <v>4342900</v>
      </c>
      <c r="D4" s="465">
        <v>498635</v>
      </c>
      <c r="E4" s="465">
        <v>1108186</v>
      </c>
      <c r="F4" s="465">
        <v>440550</v>
      </c>
      <c r="G4" s="465">
        <v>501634</v>
      </c>
      <c r="H4" s="465">
        <v>4698993</v>
      </c>
      <c r="I4" s="465">
        <v>640925</v>
      </c>
      <c r="J4" s="465">
        <v>238625</v>
      </c>
      <c r="K4" s="465">
        <v>93155</v>
      </c>
      <c r="L4" s="465">
        <v>206755</v>
      </c>
      <c r="M4" s="468"/>
      <c r="N4" s="469"/>
    </row>
    <row r="5" spans="1:14" x14ac:dyDescent="0.2">
      <c r="A5" s="463" t="s">
        <v>992</v>
      </c>
      <c r="B5" s="470">
        <v>120</v>
      </c>
      <c r="C5" s="465">
        <v>0</v>
      </c>
      <c r="D5" s="465">
        <v>0</v>
      </c>
      <c r="E5" s="465">
        <v>0</v>
      </c>
      <c r="F5" s="465">
        <v>0</v>
      </c>
      <c r="G5" s="465">
        <v>0</v>
      </c>
      <c r="H5" s="465">
        <v>0</v>
      </c>
      <c r="I5" s="465">
        <v>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4342900</v>
      </c>
      <c r="D13" s="1734">
        <f t="shared" ref="D13:L13" si="0">SUM(D4:D12)</f>
        <v>498635</v>
      </c>
      <c r="E13" s="1734">
        <f t="shared" si="0"/>
        <v>1108186</v>
      </c>
      <c r="F13" s="1734">
        <f t="shared" si="0"/>
        <v>440550</v>
      </c>
      <c r="G13" s="1734">
        <f t="shared" si="0"/>
        <v>501634</v>
      </c>
      <c r="H13" s="1734">
        <f t="shared" si="0"/>
        <v>4698993</v>
      </c>
      <c r="I13" s="1734">
        <f t="shared" si="0"/>
        <v>640925</v>
      </c>
      <c r="J13" s="1734">
        <f t="shared" si="0"/>
        <v>238625</v>
      </c>
      <c r="K13" s="1734">
        <f t="shared" si="0"/>
        <v>93155</v>
      </c>
      <c r="L13" s="1734">
        <f t="shared" si="0"/>
        <v>206755</v>
      </c>
      <c r="M13" s="468"/>
      <c r="N13" s="469"/>
    </row>
    <row r="14" spans="1:14" ht="18" customHeight="1" thickTop="1" x14ac:dyDescent="0.2">
      <c r="A14" s="2187" t="s">
        <v>147</v>
      </c>
      <c r="B14" s="2188"/>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241825</v>
      </c>
      <c r="N16" s="482"/>
    </row>
    <row r="17" spans="1:14" s="483" customFormat="1" ht="12.75" customHeight="1" x14ac:dyDescent="0.2">
      <c r="A17" s="480" t="s">
        <v>1403</v>
      </c>
      <c r="B17" s="481">
        <v>230</v>
      </c>
      <c r="C17" s="475"/>
      <c r="D17" s="475"/>
      <c r="E17" s="475"/>
      <c r="F17" s="475"/>
      <c r="G17" s="475"/>
      <c r="H17" s="475"/>
      <c r="I17" s="475"/>
      <c r="J17" s="475"/>
      <c r="K17" s="475"/>
      <c r="L17" s="475"/>
      <c r="M17" s="465">
        <v>18617361</v>
      </c>
      <c r="N17" s="482"/>
    </row>
    <row r="18" spans="1:14" s="483" customFormat="1" ht="12.75" customHeight="1" x14ac:dyDescent="0.2">
      <c r="A18" s="480" t="s">
        <v>1404</v>
      </c>
      <c r="B18" s="481">
        <v>240</v>
      </c>
      <c r="C18" s="475"/>
      <c r="D18" s="475"/>
      <c r="E18" s="475"/>
      <c r="F18" s="475"/>
      <c r="G18" s="475"/>
      <c r="H18" s="475"/>
      <c r="I18" s="475"/>
      <c r="J18" s="475"/>
      <c r="K18" s="475"/>
      <c r="L18" s="475"/>
      <c r="M18" s="465">
        <v>1752339</v>
      </c>
      <c r="N18" s="482"/>
    </row>
    <row r="19" spans="1:14" s="483" customFormat="1" ht="12.75" customHeight="1" x14ac:dyDescent="0.2">
      <c r="A19" s="480" t="s">
        <v>1405</v>
      </c>
      <c r="B19" s="481">
        <v>250</v>
      </c>
      <c r="C19" s="475"/>
      <c r="D19" s="475"/>
      <c r="E19" s="475"/>
      <c r="F19" s="475"/>
      <c r="G19" s="475"/>
      <c r="H19" s="475"/>
      <c r="I19" s="475"/>
      <c r="J19" s="475"/>
      <c r="K19" s="475"/>
      <c r="L19" s="475"/>
      <c r="M19" s="465">
        <v>2460185</v>
      </c>
      <c r="N19" s="482"/>
    </row>
    <row r="20" spans="1:14" s="483" customFormat="1" ht="12.75" customHeight="1" x14ac:dyDescent="0.2">
      <c r="A20" s="480" t="s">
        <v>1406</v>
      </c>
      <c r="B20" s="481">
        <v>260</v>
      </c>
      <c r="C20" s="475"/>
      <c r="D20" s="475"/>
      <c r="E20" s="475"/>
      <c r="F20" s="475"/>
      <c r="G20" s="475"/>
      <c r="H20" s="475"/>
      <c r="I20" s="475"/>
      <c r="J20" s="475"/>
      <c r="K20" s="475"/>
      <c r="L20" s="475"/>
      <c r="M20" s="465">
        <v>4932257</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1108186</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10475814</v>
      </c>
    </row>
    <row r="23" spans="1:14" ht="13.5" customHeight="1" thickBot="1" x14ac:dyDescent="0.25">
      <c r="A23" s="1733" t="s">
        <v>643</v>
      </c>
      <c r="B23" s="1738"/>
      <c r="C23" s="468"/>
      <c r="D23" s="468"/>
      <c r="E23" s="468"/>
      <c r="F23" s="468"/>
      <c r="G23" s="468"/>
      <c r="H23" s="468"/>
      <c r="I23" s="468"/>
      <c r="J23" s="468"/>
      <c r="K23" s="468"/>
      <c r="L23" s="468"/>
      <c r="M23" s="1685">
        <f>SUM(M15:M22)</f>
        <v>28003967</v>
      </c>
      <c r="N23" s="1685">
        <f>SUM(N21:N22)</f>
        <v>11584000</v>
      </c>
    </row>
    <row r="24" spans="1:14" ht="18" customHeight="1" thickTop="1" x14ac:dyDescent="0.2">
      <c r="A24" s="2189" t="s">
        <v>598</v>
      </c>
      <c r="B24" s="2190"/>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153</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195717</v>
      </c>
      <c r="M33" s="468"/>
      <c r="N33" s="469"/>
    </row>
    <row r="34" spans="1:14" ht="13.5" customHeight="1" thickBot="1" x14ac:dyDescent="0.25">
      <c r="A34" s="1735" t="s">
        <v>654</v>
      </c>
      <c r="B34" s="1736"/>
      <c r="C34" s="1737">
        <f>SUM(C25:C33)</f>
        <v>0</v>
      </c>
      <c r="D34" s="1737">
        <f t="shared" ref="D34:K34" si="1">SUM(D25:D33)</f>
        <v>153</v>
      </c>
      <c r="E34" s="1737">
        <f t="shared" si="1"/>
        <v>0</v>
      </c>
      <c r="F34" s="1737">
        <f t="shared" si="1"/>
        <v>0</v>
      </c>
      <c r="G34" s="1737">
        <f t="shared" si="1"/>
        <v>0</v>
      </c>
      <c r="H34" s="1737">
        <f t="shared" si="1"/>
        <v>0</v>
      </c>
      <c r="I34" s="1737">
        <f t="shared" si="1"/>
        <v>0</v>
      </c>
      <c r="J34" s="1737">
        <f t="shared" si="1"/>
        <v>0</v>
      </c>
      <c r="K34" s="1737">
        <f t="shared" si="1"/>
        <v>0</v>
      </c>
      <c r="L34" s="1718">
        <f>SUM(L33)</f>
        <v>195717</v>
      </c>
      <c r="M34" s="468"/>
      <c r="N34" s="478"/>
    </row>
    <row r="35" spans="1:14" ht="18" customHeight="1" thickTop="1" x14ac:dyDescent="0.2">
      <c r="A35" s="2191" t="s">
        <v>529</v>
      </c>
      <c r="B35" s="2192"/>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11584000</v>
      </c>
    </row>
    <row r="37" spans="1:14" ht="13.5" thickBot="1" x14ac:dyDescent="0.25">
      <c r="A37" s="1733" t="s">
        <v>653</v>
      </c>
      <c r="B37" s="1738"/>
      <c r="C37" s="475"/>
      <c r="D37" s="475"/>
      <c r="E37" s="475"/>
      <c r="F37" s="475"/>
      <c r="G37" s="475"/>
      <c r="H37" s="475"/>
      <c r="I37" s="475"/>
      <c r="J37" s="475"/>
      <c r="K37" s="475"/>
      <c r="L37" s="478"/>
      <c r="M37" s="468"/>
      <c r="N37" s="1685">
        <f>SUM(N36:N36)</f>
        <v>11584000</v>
      </c>
    </row>
    <row r="38" spans="1:14" s="329" customFormat="1" ht="13.5" customHeight="1" thickTop="1" x14ac:dyDescent="0.2">
      <c r="A38" s="493" t="s">
        <v>420</v>
      </c>
      <c r="B38" s="481">
        <v>714</v>
      </c>
      <c r="C38" s="465">
        <v>127505</v>
      </c>
      <c r="D38" s="465">
        <v>0</v>
      </c>
      <c r="E38" s="465">
        <v>230618</v>
      </c>
      <c r="F38" s="465">
        <v>0</v>
      </c>
      <c r="G38" s="465">
        <v>379975</v>
      </c>
      <c r="H38" s="465">
        <v>545750</v>
      </c>
      <c r="I38" s="465">
        <v>0</v>
      </c>
      <c r="J38" s="465">
        <v>0</v>
      </c>
      <c r="K38" s="465">
        <v>0</v>
      </c>
      <c r="L38" s="465">
        <v>11038</v>
      </c>
      <c r="M38" s="494"/>
      <c r="N38" s="494"/>
    </row>
    <row r="39" spans="1:14" s="329" customFormat="1" ht="13.5" customHeight="1" x14ac:dyDescent="0.2">
      <c r="A39" s="493" t="s">
        <v>342</v>
      </c>
      <c r="B39" s="481">
        <v>730</v>
      </c>
      <c r="C39" s="465">
        <v>4215395</v>
      </c>
      <c r="D39" s="465">
        <v>498482</v>
      </c>
      <c r="E39" s="465">
        <v>877568</v>
      </c>
      <c r="F39" s="465">
        <v>440550</v>
      </c>
      <c r="G39" s="465">
        <v>121659</v>
      </c>
      <c r="H39" s="465">
        <v>4153243</v>
      </c>
      <c r="I39" s="465">
        <v>640925</v>
      </c>
      <c r="J39" s="465">
        <v>238625</v>
      </c>
      <c r="K39" s="465">
        <v>93155</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28003967</v>
      </c>
      <c r="N40" s="494"/>
    </row>
    <row r="41" spans="1:14" ht="13.5" customHeight="1" thickBot="1" x14ac:dyDescent="0.25">
      <c r="A41" s="1733" t="s">
        <v>655</v>
      </c>
      <c r="B41" s="1703"/>
      <c r="C41" s="1685">
        <f>(SUM(C34,C37,C38,C39))</f>
        <v>4342900</v>
      </c>
      <c r="D41" s="1685">
        <f t="shared" ref="D41:L41" si="2">SUM(D34,D37,D38:D39)</f>
        <v>498635</v>
      </c>
      <c r="E41" s="1685">
        <f t="shared" si="2"/>
        <v>1108186</v>
      </c>
      <c r="F41" s="1685">
        <f t="shared" si="2"/>
        <v>440550</v>
      </c>
      <c r="G41" s="1685">
        <f t="shared" si="2"/>
        <v>501634</v>
      </c>
      <c r="H41" s="1685">
        <f t="shared" si="2"/>
        <v>4698993</v>
      </c>
      <c r="I41" s="1685">
        <f t="shared" si="2"/>
        <v>640925</v>
      </c>
      <c r="J41" s="1685">
        <f t="shared" si="2"/>
        <v>238625</v>
      </c>
      <c r="K41" s="1685">
        <f t="shared" si="2"/>
        <v>93155</v>
      </c>
      <c r="L41" s="1685">
        <f t="shared" si="2"/>
        <v>206755</v>
      </c>
      <c r="M41" s="1685">
        <f>SUM(M40)</f>
        <v>28003967</v>
      </c>
      <c r="N41" s="1685">
        <f>SUM(N37)</f>
        <v>11584000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J32" sqref="J32"/>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201"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202"/>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213" t="s">
        <v>1175</v>
      </c>
      <c r="B3" s="2214"/>
      <c r="C3" s="1570"/>
      <c r="D3" s="1571"/>
      <c r="E3" s="1571"/>
      <c r="F3" s="1571"/>
      <c r="G3" s="1571"/>
      <c r="H3" s="1571"/>
      <c r="I3" s="1571"/>
      <c r="J3" s="1571"/>
      <c r="K3" s="1572"/>
      <c r="L3" s="503"/>
    </row>
    <row r="4" spans="1:13" ht="15.75" customHeight="1" x14ac:dyDescent="0.2">
      <c r="A4" s="1925" t="s">
        <v>1499</v>
      </c>
      <c r="B4" s="1926">
        <v>1000</v>
      </c>
      <c r="C4" s="1739">
        <f>'Revenues 9-14'!C109</f>
        <v>4134653</v>
      </c>
      <c r="D4" s="1739">
        <f>'Revenues 9-14'!D109</f>
        <v>667555</v>
      </c>
      <c r="E4" s="1739">
        <f>'Revenues 9-14'!E109</f>
        <v>1312105</v>
      </c>
      <c r="F4" s="1739">
        <f>'Revenues 9-14'!F109</f>
        <v>246388</v>
      </c>
      <c r="G4" s="1739">
        <f>'Revenues 9-14'!G109</f>
        <v>161208</v>
      </c>
      <c r="H4" s="1739">
        <f>'Revenues 9-14'!H109</f>
        <v>308167</v>
      </c>
      <c r="I4" s="1739">
        <f>'Revenues 9-14'!I109</f>
        <v>67281</v>
      </c>
      <c r="J4" s="1739">
        <f>'Revenues 9-14'!J109</f>
        <v>341363</v>
      </c>
      <c r="K4" s="1739">
        <f>'Revenues 9-14'!K109</f>
        <v>69873</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3562760</v>
      </c>
      <c r="D6" s="1740">
        <f>'Revenues 9-14'!D170</f>
        <v>0</v>
      </c>
      <c r="E6" s="1740">
        <f>'Revenues 9-14'!E170</f>
        <v>0</v>
      </c>
      <c r="F6" s="1740">
        <f>'Revenues 9-14'!F170</f>
        <v>220723</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241079</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7938492</v>
      </c>
      <c r="D8" s="1685">
        <f t="shared" ref="D8:K8" si="0">SUM(D4:D7)</f>
        <v>667555</v>
      </c>
      <c r="E8" s="1685">
        <f t="shared" si="0"/>
        <v>1312105</v>
      </c>
      <c r="F8" s="1685">
        <f t="shared" si="0"/>
        <v>467111</v>
      </c>
      <c r="G8" s="1685">
        <f t="shared" si="0"/>
        <v>161208</v>
      </c>
      <c r="H8" s="1685">
        <f t="shared" si="0"/>
        <v>308167</v>
      </c>
      <c r="I8" s="1685">
        <f t="shared" si="0"/>
        <v>67281</v>
      </c>
      <c r="J8" s="1685">
        <f t="shared" si="0"/>
        <v>341363</v>
      </c>
      <c r="K8" s="1685">
        <f t="shared" si="0"/>
        <v>69873</v>
      </c>
      <c r="L8" s="347"/>
    </row>
    <row r="9" spans="1:13" ht="15.75" thickTop="1" x14ac:dyDescent="0.2">
      <c r="A9" s="511" t="s">
        <v>1653</v>
      </c>
      <c r="B9" s="512">
        <v>3998</v>
      </c>
      <c r="C9" s="465">
        <v>4015840</v>
      </c>
      <c r="D9" s="513"/>
      <c r="E9" s="479"/>
      <c r="F9" s="479"/>
      <c r="G9" s="514"/>
      <c r="H9" s="479"/>
      <c r="I9" s="506" t="s">
        <v>1169</v>
      </c>
      <c r="J9" s="476"/>
      <c r="K9" s="479"/>
      <c r="L9" s="347"/>
    </row>
    <row r="10" spans="1:13" s="516" customFormat="1" ht="13.5" thickBot="1" x14ac:dyDescent="0.25">
      <c r="A10" s="1733" t="s">
        <v>1173</v>
      </c>
      <c r="B10" s="1706"/>
      <c r="C10" s="1685">
        <f>SUM(C8:C9)</f>
        <v>11954332</v>
      </c>
      <c r="D10" s="1685">
        <f t="shared" ref="D10:K10" si="1">SUM(D8:D9)</f>
        <v>667555</v>
      </c>
      <c r="E10" s="1685">
        <f t="shared" si="1"/>
        <v>1312105</v>
      </c>
      <c r="F10" s="1685">
        <f t="shared" si="1"/>
        <v>467111</v>
      </c>
      <c r="G10" s="1685">
        <f t="shared" si="1"/>
        <v>161208</v>
      </c>
      <c r="H10" s="1685">
        <f t="shared" si="1"/>
        <v>308167</v>
      </c>
      <c r="I10" s="1685">
        <f t="shared" si="1"/>
        <v>67281</v>
      </c>
      <c r="J10" s="1685">
        <f t="shared" si="1"/>
        <v>341363</v>
      </c>
      <c r="K10" s="1685">
        <f t="shared" si="1"/>
        <v>69873</v>
      </c>
      <c r="L10" s="515"/>
    </row>
    <row r="11" spans="1:13" s="516" customFormat="1" ht="16.7" customHeight="1" thickTop="1" x14ac:dyDescent="0.2">
      <c r="A11" s="2187" t="s">
        <v>1176</v>
      </c>
      <c r="B11" s="2188"/>
      <c r="C11" s="1567"/>
      <c r="D11" s="1568"/>
      <c r="E11" s="1568"/>
      <c r="F11" s="1568"/>
      <c r="G11" s="1568"/>
      <c r="H11" s="1568"/>
      <c r="I11" s="1568"/>
      <c r="J11" s="1568"/>
      <c r="K11" s="1569"/>
      <c r="L11" s="515"/>
    </row>
    <row r="12" spans="1:13" ht="15.75" customHeight="1" x14ac:dyDescent="0.2">
      <c r="A12" s="1573" t="s">
        <v>456</v>
      </c>
      <c r="B12" s="1575">
        <v>1000</v>
      </c>
      <c r="C12" s="1739">
        <f>'Expenditures 15-22'!K33</f>
        <v>5859595</v>
      </c>
      <c r="D12" s="517" t="s">
        <v>1169</v>
      </c>
      <c r="E12" s="468" t="s">
        <v>1169</v>
      </c>
      <c r="F12" s="468" t="s">
        <v>1169</v>
      </c>
      <c r="G12" s="1739">
        <f>'Expenditures 15-22'!K229</f>
        <v>85450</v>
      </c>
      <c r="H12" s="518"/>
      <c r="I12" s="468" t="s">
        <v>1169</v>
      </c>
      <c r="J12" s="468" t="s">
        <v>1169</v>
      </c>
      <c r="K12" s="518" t="s">
        <v>1169</v>
      </c>
      <c r="L12" s="347"/>
    </row>
    <row r="13" spans="1:13" ht="15.75" customHeight="1" x14ac:dyDescent="0.2">
      <c r="A13" s="1573" t="s">
        <v>457</v>
      </c>
      <c r="B13" s="1575">
        <v>2000</v>
      </c>
      <c r="C13" s="1740">
        <f>'Expenditures 15-22'!K74</f>
        <v>2394486</v>
      </c>
      <c r="D13" s="1740">
        <f>'Expenditures 15-22'!K129</f>
        <v>798851</v>
      </c>
      <c r="E13" s="469" t="s">
        <v>1169</v>
      </c>
      <c r="F13" s="1740">
        <f>'Expenditures 15-22'!K184</f>
        <v>493197</v>
      </c>
      <c r="G13" s="1740">
        <f>'Expenditures 15-22'!K279</f>
        <v>115122</v>
      </c>
      <c r="H13" s="1740">
        <f>'Expenditures 15-22'!K303</f>
        <v>385161</v>
      </c>
      <c r="I13" s="468" t="s">
        <v>1169</v>
      </c>
      <c r="J13" s="1740">
        <f>'Expenditures 15-22'!K330</f>
        <v>352456</v>
      </c>
      <c r="K13" s="1744">
        <f>'Expenditures 15-22'!K352</f>
        <v>4167522</v>
      </c>
      <c r="L13" s="347"/>
    </row>
    <row r="14" spans="1:13" ht="15.75" customHeight="1" x14ac:dyDescent="0.2">
      <c r="A14" s="1573" t="s">
        <v>449</v>
      </c>
      <c r="B14" s="1575">
        <v>3000</v>
      </c>
      <c r="C14" s="1740">
        <f>'Expenditures 15-22'!K75</f>
        <v>6234</v>
      </c>
      <c r="D14" s="1740">
        <f>'Expenditures 15-22'!K130</f>
        <v>9797</v>
      </c>
      <c r="E14" s="517" t="s">
        <v>1169</v>
      </c>
      <c r="F14" s="1740">
        <f>'Expenditures 15-22'!K185</f>
        <v>0</v>
      </c>
      <c r="G14" s="1740">
        <f>'Expenditures 15-22'!K280</f>
        <v>173</v>
      </c>
      <c r="H14" s="509"/>
      <c r="I14" s="468" t="s">
        <v>1169</v>
      </c>
      <c r="J14" s="468" t="s">
        <v>1169</v>
      </c>
      <c r="K14" s="509" t="s">
        <v>1169</v>
      </c>
      <c r="L14" s="347"/>
    </row>
    <row r="15" spans="1:13" ht="15.75" customHeight="1" x14ac:dyDescent="0.2">
      <c r="A15" s="1573" t="s">
        <v>107</v>
      </c>
      <c r="B15" s="1575">
        <v>4000</v>
      </c>
      <c r="C15" s="1740">
        <f>'Expenditures 15-22'!K102</f>
        <v>235778</v>
      </c>
      <c r="D15" s="1740">
        <f>'Expenditures 15-22'!K139</f>
        <v>8564</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1148664</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8496093</v>
      </c>
      <c r="D17" s="1685">
        <f t="shared" si="2"/>
        <v>817212</v>
      </c>
      <c r="E17" s="1685">
        <f t="shared" si="2"/>
        <v>1148664</v>
      </c>
      <c r="F17" s="1685">
        <f t="shared" si="2"/>
        <v>493197</v>
      </c>
      <c r="G17" s="1685">
        <f t="shared" si="2"/>
        <v>200745</v>
      </c>
      <c r="H17" s="1685">
        <f t="shared" si="2"/>
        <v>385161</v>
      </c>
      <c r="I17" s="468"/>
      <c r="J17" s="1685">
        <f>SUM(J12:J16)</f>
        <v>352456</v>
      </c>
      <c r="K17" s="1685">
        <f>SUM(K12:K16)</f>
        <v>4167522</v>
      </c>
      <c r="L17" s="347"/>
    </row>
    <row r="18" spans="1:12" ht="15" customHeight="1" thickTop="1" x14ac:dyDescent="0.2">
      <c r="A18" s="1741" t="s">
        <v>1654</v>
      </c>
      <c r="B18" s="1742">
        <v>4180</v>
      </c>
      <c r="C18" s="1739">
        <f t="shared" ref="C18:H18" si="3">C9</f>
        <v>4015840</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12511933</v>
      </c>
      <c r="D19" s="1685">
        <f t="shared" si="4"/>
        <v>817212</v>
      </c>
      <c r="E19" s="1685">
        <f t="shared" si="4"/>
        <v>1148664</v>
      </c>
      <c r="F19" s="1685">
        <f t="shared" si="4"/>
        <v>493197</v>
      </c>
      <c r="G19" s="1685">
        <f t="shared" si="4"/>
        <v>200745</v>
      </c>
      <c r="H19" s="1685">
        <f t="shared" si="4"/>
        <v>385161</v>
      </c>
      <c r="I19" s="468"/>
      <c r="J19" s="1685">
        <f>SUM(J17:J18)</f>
        <v>352456</v>
      </c>
      <c r="K19" s="1685">
        <f>SUM(K17:K18)</f>
        <v>4167522</v>
      </c>
      <c r="L19" s="347"/>
    </row>
    <row r="20" spans="1:12" ht="16.5" thickTop="1" thickBot="1" x14ac:dyDescent="0.25">
      <c r="A20" s="2203" t="s">
        <v>1655</v>
      </c>
      <c r="B20" s="2204"/>
      <c r="C20" s="1743">
        <f>C8-C17</f>
        <v>-557601</v>
      </c>
      <c r="D20" s="1743">
        <f t="shared" ref="D20:K20" si="5">D8-D17</f>
        <v>-149657</v>
      </c>
      <c r="E20" s="1743">
        <f t="shared" si="5"/>
        <v>163441</v>
      </c>
      <c r="F20" s="1743">
        <f t="shared" si="5"/>
        <v>-26086</v>
      </c>
      <c r="G20" s="1743">
        <f t="shared" si="5"/>
        <v>-39537</v>
      </c>
      <c r="H20" s="1743">
        <f t="shared" si="5"/>
        <v>-76994</v>
      </c>
      <c r="I20" s="1743">
        <f t="shared" si="5"/>
        <v>67281</v>
      </c>
      <c r="J20" s="1743">
        <f t="shared" si="5"/>
        <v>-11093</v>
      </c>
      <c r="K20" s="1743">
        <f t="shared" si="5"/>
        <v>-4097649</v>
      </c>
      <c r="L20" s="347"/>
    </row>
    <row r="21" spans="1:12" ht="16.7" customHeight="1" thickTop="1" x14ac:dyDescent="0.2">
      <c r="A21" s="2215" t="s">
        <v>595</v>
      </c>
      <c r="B21" s="2216"/>
      <c r="C21" s="1567"/>
      <c r="D21" s="1568"/>
      <c r="E21" s="1568"/>
      <c r="F21" s="1568"/>
      <c r="G21" s="1568"/>
      <c r="H21" s="1568"/>
      <c r="I21" s="1568"/>
      <c r="J21" s="1568"/>
      <c r="K21" s="1569"/>
      <c r="L21" s="521"/>
    </row>
    <row r="22" spans="1:12" ht="15.75" customHeight="1" collapsed="1" x14ac:dyDescent="0.2">
      <c r="A22" s="2211" t="s">
        <v>596</v>
      </c>
      <c r="B22" s="2212"/>
      <c r="C22" s="475"/>
      <c r="D22" s="475"/>
      <c r="E22" s="475"/>
      <c r="F22" s="475"/>
      <c r="G22" s="475"/>
      <c r="H22" s="475"/>
      <c r="I22" s="475"/>
      <c r="J22" s="475"/>
      <c r="K22" s="475"/>
      <c r="L22" s="347"/>
    </row>
    <row r="23" spans="1:12" s="483" customFormat="1" ht="15.75" customHeight="1" x14ac:dyDescent="0.2">
      <c r="A23" s="2207" t="s">
        <v>293</v>
      </c>
      <c r="B23" s="2208"/>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319500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209" t="s">
        <v>981</v>
      </c>
      <c r="B32" s="2210"/>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2499000</v>
      </c>
      <c r="I33" s="467">
        <v>0</v>
      </c>
      <c r="J33" s="467">
        <v>0</v>
      </c>
      <c r="K33" s="467">
        <v>0</v>
      </c>
      <c r="L33" s="521"/>
    </row>
    <row r="34" spans="1:12" s="483" customFormat="1" x14ac:dyDescent="0.2">
      <c r="A34" s="1486" t="s">
        <v>1001</v>
      </c>
      <c r="B34" s="522">
        <v>7220</v>
      </c>
      <c r="C34" s="465">
        <v>0</v>
      </c>
      <c r="D34" s="467">
        <v>0</v>
      </c>
      <c r="E34" s="467">
        <v>0</v>
      </c>
      <c r="F34" s="467">
        <v>0</v>
      </c>
      <c r="G34" s="475"/>
      <c r="H34" s="476">
        <v>1663</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217" t="s">
        <v>374</v>
      </c>
      <c r="B44" s="2218"/>
      <c r="C44" s="1700">
        <f>SUM(C24:C43)</f>
        <v>319500</v>
      </c>
      <c r="D44" s="1700">
        <f t="shared" ref="D44:K44" si="6">SUM(D24:D43)</f>
        <v>0</v>
      </c>
      <c r="E44" s="1700">
        <f t="shared" si="6"/>
        <v>0</v>
      </c>
      <c r="F44" s="1700">
        <f t="shared" si="6"/>
        <v>0</v>
      </c>
      <c r="G44" s="1700">
        <f t="shared" si="6"/>
        <v>0</v>
      </c>
      <c r="H44" s="1700">
        <f t="shared" si="6"/>
        <v>2500663</v>
      </c>
      <c r="I44" s="1700">
        <f t="shared" si="6"/>
        <v>0</v>
      </c>
      <c r="J44" s="1700">
        <f t="shared" si="6"/>
        <v>0</v>
      </c>
      <c r="K44" s="1700">
        <f t="shared" si="6"/>
        <v>0</v>
      </c>
      <c r="L44" s="521"/>
    </row>
    <row r="45" spans="1:12" ht="15.75" customHeight="1" thickTop="1" x14ac:dyDescent="0.2">
      <c r="A45" s="2211" t="s">
        <v>108</v>
      </c>
      <c r="B45" s="2212"/>
      <c r="C45" s="525"/>
      <c r="D45" s="525"/>
      <c r="E45" s="525"/>
      <c r="F45" s="525"/>
      <c r="G45" s="525"/>
      <c r="H45" s="525"/>
      <c r="I45" s="525"/>
      <c r="J45" s="525"/>
      <c r="K45" s="525"/>
      <c r="L45" s="347"/>
    </row>
    <row r="46" spans="1:12" s="483" customFormat="1" ht="15.75" customHeight="1" x14ac:dyDescent="0.2">
      <c r="A46" s="2219" t="s">
        <v>109</v>
      </c>
      <c r="B46" s="2220"/>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319500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93" t="s">
        <v>440</v>
      </c>
      <c r="B76" s="2194"/>
      <c r="C76" s="1700">
        <f t="shared" ref="C76:K76" si="7">SUM(C47:C75)</f>
        <v>0</v>
      </c>
      <c r="D76" s="1700">
        <f t="shared" si="7"/>
        <v>0</v>
      </c>
      <c r="E76" s="1700">
        <f t="shared" si="7"/>
        <v>0</v>
      </c>
      <c r="F76" s="1700">
        <f t="shared" si="7"/>
        <v>0</v>
      </c>
      <c r="G76" s="1700">
        <f t="shared" si="7"/>
        <v>0</v>
      </c>
      <c r="H76" s="1700">
        <f t="shared" si="7"/>
        <v>0</v>
      </c>
      <c r="I76" s="1700">
        <f t="shared" si="7"/>
        <v>319500</v>
      </c>
      <c r="J76" s="1700">
        <f t="shared" si="7"/>
        <v>0</v>
      </c>
      <c r="K76" s="1700">
        <f t="shared" si="7"/>
        <v>0</v>
      </c>
      <c r="L76" s="521"/>
    </row>
    <row r="77" spans="1:12" ht="14.25" thickTop="1" thickBot="1" x14ac:dyDescent="0.25">
      <c r="A77" s="2195" t="s">
        <v>1177</v>
      </c>
      <c r="B77" s="2196"/>
      <c r="C77" s="1700">
        <f t="shared" ref="C77:K77" si="8">C44-C76</f>
        <v>319500</v>
      </c>
      <c r="D77" s="1700">
        <f t="shared" si="8"/>
        <v>0</v>
      </c>
      <c r="E77" s="1700">
        <f t="shared" si="8"/>
        <v>0</v>
      </c>
      <c r="F77" s="1700">
        <f t="shared" si="8"/>
        <v>0</v>
      </c>
      <c r="G77" s="1700">
        <f t="shared" si="8"/>
        <v>0</v>
      </c>
      <c r="H77" s="1700">
        <f t="shared" si="8"/>
        <v>2500663</v>
      </c>
      <c r="I77" s="1700">
        <f t="shared" si="8"/>
        <v>-319500</v>
      </c>
      <c r="J77" s="1700">
        <f t="shared" si="8"/>
        <v>0</v>
      </c>
      <c r="K77" s="1700">
        <f t="shared" si="8"/>
        <v>0</v>
      </c>
      <c r="L77" s="347"/>
    </row>
    <row r="78" spans="1:12" ht="21.75" customHeight="1" thickTop="1" thickBot="1" x14ac:dyDescent="0.25">
      <c r="A78" s="2199" t="s">
        <v>597</v>
      </c>
      <c r="B78" s="2200"/>
      <c r="C78" s="1699">
        <f t="shared" ref="C78:K78" si="9">C20+C77</f>
        <v>-238101</v>
      </c>
      <c r="D78" s="1699">
        <f t="shared" si="9"/>
        <v>-149657</v>
      </c>
      <c r="E78" s="1699">
        <f t="shared" si="9"/>
        <v>163441</v>
      </c>
      <c r="F78" s="1699">
        <f t="shared" si="9"/>
        <v>-26086</v>
      </c>
      <c r="G78" s="1699">
        <f t="shared" si="9"/>
        <v>-39537</v>
      </c>
      <c r="H78" s="1699">
        <f t="shared" si="9"/>
        <v>2423669</v>
      </c>
      <c r="I78" s="1699">
        <f t="shared" si="9"/>
        <v>-252219</v>
      </c>
      <c r="J78" s="1699">
        <f t="shared" si="9"/>
        <v>-11093</v>
      </c>
      <c r="K78" s="1699">
        <f t="shared" si="9"/>
        <v>-4097649</v>
      </c>
      <c r="L78" s="530"/>
    </row>
    <row r="79" spans="1:12" ht="13.5" thickTop="1" x14ac:dyDescent="0.2">
      <c r="A79" s="1491" t="s">
        <v>1949</v>
      </c>
      <c r="B79" s="531"/>
      <c r="C79" s="476">
        <v>4581001</v>
      </c>
      <c r="D79" s="476">
        <v>648139</v>
      </c>
      <c r="E79" s="476">
        <v>944745</v>
      </c>
      <c r="F79" s="476">
        <v>466636</v>
      </c>
      <c r="G79" s="476">
        <v>541171</v>
      </c>
      <c r="H79" s="476">
        <v>2275324</v>
      </c>
      <c r="I79" s="476">
        <v>893144</v>
      </c>
      <c r="J79" s="476">
        <v>249718</v>
      </c>
      <c r="K79" s="476">
        <v>4190804</v>
      </c>
      <c r="L79" s="347"/>
    </row>
    <row r="80" spans="1:12" x14ac:dyDescent="0.2">
      <c r="A80" s="2205" t="s">
        <v>1795</v>
      </c>
      <c r="B80" s="2206"/>
      <c r="C80" s="467">
        <v>0</v>
      </c>
      <c r="D80" s="467">
        <v>0</v>
      </c>
      <c r="E80" s="467">
        <v>0</v>
      </c>
      <c r="F80" s="467">
        <v>0</v>
      </c>
      <c r="G80" s="467">
        <v>0</v>
      </c>
      <c r="H80" s="467">
        <v>0</v>
      </c>
      <c r="I80" s="467">
        <v>0</v>
      </c>
      <c r="J80" s="467">
        <v>0</v>
      </c>
      <c r="K80" s="467">
        <v>0</v>
      </c>
      <c r="L80" s="347"/>
    </row>
    <row r="81" spans="1:12" ht="13.5" thickBot="1" x14ac:dyDescent="0.25">
      <c r="A81" s="2197" t="s">
        <v>1950</v>
      </c>
      <c r="B81" s="2198"/>
      <c r="C81" s="1685">
        <f>(SUM(C78:C80))</f>
        <v>4342900</v>
      </c>
      <c r="D81" s="1685">
        <f>SUM(D78:D80)</f>
        <v>498482</v>
      </c>
      <c r="E81" s="1685">
        <f t="shared" ref="E81:K81" si="10">SUM(E78:E80)</f>
        <v>1108186</v>
      </c>
      <c r="F81" s="1685">
        <f t="shared" si="10"/>
        <v>440550</v>
      </c>
      <c r="G81" s="1685">
        <f t="shared" si="10"/>
        <v>501634</v>
      </c>
      <c r="H81" s="1685">
        <f t="shared" si="10"/>
        <v>4698993</v>
      </c>
      <c r="I81" s="1685">
        <f t="shared" si="10"/>
        <v>640925</v>
      </c>
      <c r="J81" s="1685">
        <f t="shared" si="10"/>
        <v>238625</v>
      </c>
      <c r="K81" s="1685">
        <f t="shared" si="10"/>
        <v>93155</v>
      </c>
      <c r="L81" s="347"/>
    </row>
    <row r="82" spans="1:12" ht="0.75" customHeight="1" thickTop="1" thickBot="1" x14ac:dyDescent="0.25">
      <c r="A82" s="533" t="s">
        <v>343</v>
      </c>
      <c r="B82" s="534"/>
      <c r="C82" s="535">
        <f>(C81-C79)</f>
        <v>-238101</v>
      </c>
      <c r="D82" s="535">
        <f t="shared" ref="D82:K82" si="11">(D81-D79)</f>
        <v>-149657</v>
      </c>
      <c r="E82" s="535">
        <f t="shared" si="11"/>
        <v>163441</v>
      </c>
      <c r="F82" s="535">
        <f t="shared" si="11"/>
        <v>-26086</v>
      </c>
      <c r="G82" s="535">
        <f t="shared" si="11"/>
        <v>-39537</v>
      </c>
      <c r="H82" s="535">
        <f t="shared" si="11"/>
        <v>2423669</v>
      </c>
      <c r="I82" s="535">
        <f t="shared" si="11"/>
        <v>-252219</v>
      </c>
      <c r="J82" s="535">
        <f t="shared" si="11"/>
        <v>-11093</v>
      </c>
      <c r="K82" s="535">
        <f t="shared" si="11"/>
        <v>-4097649</v>
      </c>
    </row>
    <row r="83" spans="1:12" ht="14.25" hidden="1" thickTop="1" thickBot="1" x14ac:dyDescent="0.25">
      <c r="A83" s="536" t="s">
        <v>344</v>
      </c>
      <c r="B83" s="464"/>
      <c r="C83" s="537">
        <f>C82/C81</f>
        <v>-5.4825347118285017E-2</v>
      </c>
      <c r="D83" s="537">
        <f t="shared" ref="D83:K83" si="12">D82/D81</f>
        <v>-0.30022548457115805</v>
      </c>
      <c r="E83" s="537">
        <f t="shared" si="12"/>
        <v>0.14748516945711279</v>
      </c>
      <c r="F83" s="537">
        <f t="shared" si="12"/>
        <v>-5.9212348201112243E-2</v>
      </c>
      <c r="G83" s="537">
        <f t="shared" si="12"/>
        <v>-7.881642791357843E-2</v>
      </c>
      <c r="H83" s="537">
        <f t="shared" si="12"/>
        <v>0.51578476494857517</v>
      </c>
      <c r="I83" s="537">
        <f t="shared" si="12"/>
        <v>-0.39352342317743888</v>
      </c>
      <c r="J83" s="537">
        <f t="shared" si="12"/>
        <v>-4.6487166055526455E-2</v>
      </c>
      <c r="K83" s="537">
        <f t="shared" si="12"/>
        <v>-43.987429552895712</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J32" sqref="J32"/>
      <selection pane="bottomLeft" activeCell="C7" sqref="C7"/>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201" t="s">
        <v>1802</v>
      </c>
      <c r="B1" s="452"/>
      <c r="C1" s="453" t="s">
        <v>425</v>
      </c>
      <c r="D1" s="453" t="s">
        <v>426</v>
      </c>
      <c r="E1" s="453" t="s">
        <v>427</v>
      </c>
      <c r="F1" s="453" t="s">
        <v>428</v>
      </c>
      <c r="G1" s="453" t="s">
        <v>429</v>
      </c>
      <c r="H1" s="453" t="s">
        <v>430</v>
      </c>
      <c r="I1" s="453" t="s">
        <v>431</v>
      </c>
      <c r="J1" s="453" t="s">
        <v>432</v>
      </c>
      <c r="K1" s="453" t="s">
        <v>756</v>
      </c>
    </row>
    <row r="2" spans="1:12" ht="36" x14ac:dyDescent="0.2">
      <c r="A2" s="2202"/>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3207505</v>
      </c>
      <c r="D5" s="479">
        <v>607481</v>
      </c>
      <c r="E5" s="466">
        <v>1076952</v>
      </c>
      <c r="F5" s="545">
        <v>242993</v>
      </c>
      <c r="G5" s="466">
        <v>0</v>
      </c>
      <c r="H5" s="466">
        <v>0</v>
      </c>
      <c r="I5" s="466">
        <v>60748</v>
      </c>
      <c r="J5" s="467">
        <v>339914</v>
      </c>
      <c r="K5" s="466">
        <v>60748</v>
      </c>
    </row>
    <row r="6" spans="1:12" ht="15" x14ac:dyDescent="0.2">
      <c r="A6" s="463" t="s">
        <v>1662</v>
      </c>
      <c r="B6" s="470">
        <v>1130</v>
      </c>
      <c r="C6" s="466">
        <v>60750</v>
      </c>
      <c r="D6" s="466">
        <v>0</v>
      </c>
      <c r="E6" s="474"/>
      <c r="F6" s="474"/>
      <c r="G6" s="468"/>
      <c r="H6" s="468"/>
      <c r="I6" s="468"/>
      <c r="J6" s="468"/>
      <c r="K6" s="468"/>
    </row>
    <row r="7" spans="1:12" x14ac:dyDescent="0.2">
      <c r="A7" s="463" t="s">
        <v>110</v>
      </c>
      <c r="B7" s="546">
        <v>1140</v>
      </c>
      <c r="C7" s="466">
        <v>48598</v>
      </c>
      <c r="D7" s="466">
        <v>0</v>
      </c>
      <c r="E7" s="468"/>
      <c r="F7" s="467">
        <v>0</v>
      </c>
      <c r="G7" s="467">
        <v>0</v>
      </c>
      <c r="H7" s="467">
        <v>0</v>
      </c>
      <c r="I7" s="468"/>
      <c r="J7" s="468"/>
      <c r="K7" s="468"/>
    </row>
    <row r="8" spans="1:12" x14ac:dyDescent="0.2">
      <c r="A8" s="463" t="s">
        <v>413</v>
      </c>
      <c r="B8" s="470">
        <v>1150</v>
      </c>
      <c r="C8" s="474"/>
      <c r="D8" s="474"/>
      <c r="E8" s="475"/>
      <c r="F8" s="475"/>
      <c r="G8" s="479">
        <v>147101</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3316853</v>
      </c>
      <c r="D12" s="1704">
        <f t="shared" si="0"/>
        <v>607481</v>
      </c>
      <c r="E12" s="1704">
        <f t="shared" si="0"/>
        <v>1076952</v>
      </c>
      <c r="F12" s="1704">
        <f t="shared" si="0"/>
        <v>242993</v>
      </c>
      <c r="G12" s="1704">
        <f t="shared" si="0"/>
        <v>147101</v>
      </c>
      <c r="H12" s="1704">
        <f t="shared" si="0"/>
        <v>0</v>
      </c>
      <c r="I12" s="1704">
        <f t="shared" si="0"/>
        <v>60748</v>
      </c>
      <c r="J12" s="1704">
        <f t="shared" si="0"/>
        <v>339914</v>
      </c>
      <c r="K12" s="1685">
        <f t="shared" si="0"/>
        <v>60748</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737</v>
      </c>
      <c r="D14" s="466">
        <v>135</v>
      </c>
      <c r="E14" s="466">
        <v>212</v>
      </c>
      <c r="F14" s="466">
        <v>53</v>
      </c>
      <c r="G14" s="466">
        <v>34</v>
      </c>
      <c r="H14" s="466">
        <v>0</v>
      </c>
      <c r="I14" s="466">
        <v>14</v>
      </c>
      <c r="J14" s="467">
        <v>67</v>
      </c>
      <c r="K14" s="466">
        <v>14</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311653</v>
      </c>
      <c r="D16" s="466">
        <v>0</v>
      </c>
      <c r="E16" s="466">
        <v>0</v>
      </c>
      <c r="F16" s="466">
        <v>0</v>
      </c>
      <c r="G16" s="466">
        <v>10150</v>
      </c>
      <c r="H16" s="466">
        <v>0</v>
      </c>
      <c r="I16" s="466">
        <v>0</v>
      </c>
      <c r="J16" s="467">
        <v>0</v>
      </c>
      <c r="K16" s="466">
        <v>0</v>
      </c>
    </row>
    <row r="17" spans="1:11" ht="12.75" customHeight="1" x14ac:dyDescent="0.2">
      <c r="A17" s="463" t="s">
        <v>807</v>
      </c>
      <c r="B17" s="470">
        <v>1290</v>
      </c>
      <c r="C17" s="548">
        <v>50000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362390</v>
      </c>
      <c r="D18" s="1707">
        <f t="shared" ref="D18:K18" si="1">SUM(D14:D17)</f>
        <v>135</v>
      </c>
      <c r="E18" s="1707">
        <f t="shared" si="1"/>
        <v>212</v>
      </c>
      <c r="F18" s="1707">
        <f t="shared" si="1"/>
        <v>53</v>
      </c>
      <c r="G18" s="1707">
        <f t="shared" si="1"/>
        <v>10184</v>
      </c>
      <c r="H18" s="1707">
        <f t="shared" si="1"/>
        <v>0</v>
      </c>
      <c r="I18" s="1707">
        <f t="shared" si="1"/>
        <v>14</v>
      </c>
      <c r="J18" s="1707">
        <f t="shared" si="1"/>
        <v>67</v>
      </c>
      <c r="K18" s="1708">
        <f t="shared" si="1"/>
        <v>14</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4800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4800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31380</v>
      </c>
      <c r="D65" s="466">
        <v>3979</v>
      </c>
      <c r="E65" s="466">
        <v>4941</v>
      </c>
      <c r="F65" s="467">
        <v>3342</v>
      </c>
      <c r="G65" s="466">
        <v>3923</v>
      </c>
      <c r="H65" s="466">
        <v>18815</v>
      </c>
      <c r="I65" s="466">
        <v>6519</v>
      </c>
      <c r="J65" s="467">
        <v>1382</v>
      </c>
      <c r="K65" s="466">
        <v>9111</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31380</v>
      </c>
      <c r="D67" s="1685">
        <f t="shared" ref="D67:K67" si="2">SUM(D65:D66)</f>
        <v>3979</v>
      </c>
      <c r="E67" s="1685">
        <f t="shared" si="2"/>
        <v>4941</v>
      </c>
      <c r="F67" s="1685">
        <f t="shared" si="2"/>
        <v>3342</v>
      </c>
      <c r="G67" s="1685">
        <f t="shared" si="2"/>
        <v>3923</v>
      </c>
      <c r="H67" s="1685">
        <f t="shared" si="2"/>
        <v>18815</v>
      </c>
      <c r="I67" s="1685">
        <f t="shared" si="2"/>
        <v>6519</v>
      </c>
      <c r="J67" s="1685">
        <f t="shared" si="2"/>
        <v>1382</v>
      </c>
      <c r="K67" s="1685">
        <f t="shared" si="2"/>
        <v>9111</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150841</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3843</v>
      </c>
      <c r="D73" s="468"/>
      <c r="E73" s="468"/>
      <c r="F73" s="468"/>
      <c r="G73" s="468"/>
      <c r="H73" s="468"/>
      <c r="I73" s="468"/>
      <c r="J73" s="468"/>
      <c r="K73" s="468"/>
    </row>
    <row r="74" spans="1:11" ht="12.75" customHeight="1" x14ac:dyDescent="0.2">
      <c r="A74" s="463" t="s">
        <v>25</v>
      </c>
      <c r="B74" s="470">
        <v>1690</v>
      </c>
      <c r="C74" s="548">
        <v>307</v>
      </c>
      <c r="D74" s="468"/>
      <c r="E74" s="468"/>
      <c r="F74" s="468"/>
      <c r="G74" s="468"/>
      <c r="H74" s="468"/>
      <c r="I74" s="468"/>
      <c r="J74" s="468"/>
      <c r="K74" s="468"/>
    </row>
    <row r="75" spans="1:11" ht="12.75" customHeight="1" thickBot="1" x14ac:dyDescent="0.25">
      <c r="A75" s="1705" t="s">
        <v>548</v>
      </c>
      <c r="B75" s="1706"/>
      <c r="C75" s="1685">
        <f>SUM(C69:C74)</f>
        <v>154991</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34160</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2215</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58449</v>
      </c>
      <c r="D81" s="466">
        <v>0</v>
      </c>
      <c r="E81" s="468"/>
      <c r="F81" s="468"/>
      <c r="G81" s="468"/>
      <c r="H81" s="468"/>
      <c r="I81" s="468"/>
      <c r="J81" s="468"/>
      <c r="K81" s="468"/>
    </row>
    <row r="82" spans="1:11" ht="12.75" customHeight="1" thickBot="1" x14ac:dyDescent="0.25">
      <c r="A82" s="1705" t="s">
        <v>241</v>
      </c>
      <c r="B82" s="1706"/>
      <c r="C82" s="1704">
        <f>SUM(C77:C81)</f>
        <v>94824</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76542</v>
      </c>
      <c r="D84" s="468"/>
      <c r="E84" s="468"/>
      <c r="F84" s="468"/>
      <c r="G84" s="468"/>
      <c r="H84" s="468"/>
      <c r="I84" s="468"/>
      <c r="J84" s="468"/>
      <c r="K84" s="468"/>
    </row>
    <row r="85" spans="1:11" ht="12.75" customHeight="1" x14ac:dyDescent="0.2">
      <c r="A85" s="463" t="s">
        <v>553</v>
      </c>
      <c r="B85" s="470">
        <v>1812</v>
      </c>
      <c r="C85" s="548">
        <v>530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77072</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36080</v>
      </c>
      <c r="E95" s="518"/>
      <c r="F95" s="518"/>
      <c r="G95" s="518"/>
      <c r="H95" s="518"/>
      <c r="I95" s="518"/>
      <c r="J95" s="518"/>
      <c r="K95" s="518"/>
    </row>
    <row r="96" spans="1:11" ht="12.75" customHeight="1" x14ac:dyDescent="0.2">
      <c r="A96" s="463" t="s">
        <v>391</v>
      </c>
      <c r="B96" s="470">
        <v>1920</v>
      </c>
      <c r="C96" s="548">
        <v>12061</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11254</v>
      </c>
      <c r="D99" s="466">
        <v>19880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4685</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230000</v>
      </c>
      <c r="F103" s="468"/>
      <c r="G103" s="468"/>
      <c r="H103" s="486">
        <v>289352</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64343</v>
      </c>
      <c r="D107" s="466">
        <v>0</v>
      </c>
      <c r="E107" s="466">
        <v>0</v>
      </c>
      <c r="F107" s="466">
        <v>0</v>
      </c>
      <c r="G107" s="466">
        <v>0</v>
      </c>
      <c r="H107" s="466">
        <v>0</v>
      </c>
      <c r="I107" s="466">
        <v>0</v>
      </c>
      <c r="J107" s="467">
        <v>0</v>
      </c>
      <c r="K107" s="466">
        <v>0</v>
      </c>
    </row>
    <row r="108" spans="1:12" ht="12.75" customHeight="1" thickBot="1" x14ac:dyDescent="0.25">
      <c r="A108" s="1705" t="s">
        <v>487</v>
      </c>
      <c r="B108" s="1709"/>
      <c r="C108" s="1704">
        <f>SUM(C95:C107)</f>
        <v>92343</v>
      </c>
      <c r="D108" s="1704">
        <f t="shared" ref="D108:K108" si="3">SUM(D95:D107)</f>
        <v>55960</v>
      </c>
      <c r="E108" s="1704">
        <f t="shared" si="3"/>
        <v>230000</v>
      </c>
      <c r="F108" s="1704">
        <f t="shared" si="3"/>
        <v>0</v>
      </c>
      <c r="G108" s="1704">
        <f t="shared" si="3"/>
        <v>0</v>
      </c>
      <c r="H108" s="1704">
        <f t="shared" si="3"/>
        <v>289352</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4134653</v>
      </c>
      <c r="D109" s="1712">
        <f t="shared" si="4"/>
        <v>667555</v>
      </c>
      <c r="E109" s="1712">
        <f t="shared" si="4"/>
        <v>1312105</v>
      </c>
      <c r="F109" s="1712">
        <f t="shared" si="4"/>
        <v>246388</v>
      </c>
      <c r="G109" s="1712">
        <f t="shared" si="4"/>
        <v>161208</v>
      </c>
      <c r="H109" s="1712">
        <f t="shared" si="4"/>
        <v>308167</v>
      </c>
      <c r="I109" s="1712">
        <f t="shared" si="4"/>
        <v>67281</v>
      </c>
      <c r="J109" s="1712">
        <f t="shared" si="4"/>
        <v>341363</v>
      </c>
      <c r="K109" s="1699">
        <f t="shared" si="4"/>
        <v>69873</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3073684</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3073684</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177734</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177734</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48115</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15081</v>
      </c>
      <c r="D140" s="466">
        <v>0</v>
      </c>
      <c r="E140" s="558"/>
      <c r="F140" s="475"/>
      <c r="G140" s="467">
        <v>0</v>
      </c>
      <c r="H140" s="468"/>
      <c r="I140" s="468"/>
      <c r="J140" s="468"/>
      <c r="K140" s="468"/>
    </row>
    <row r="141" spans="1:11" ht="12.75" customHeight="1" thickBot="1" x14ac:dyDescent="0.25">
      <c r="A141" s="1705" t="s">
        <v>603</v>
      </c>
      <c r="B141" s="1717"/>
      <c r="C141" s="1704">
        <f>SUM(C134:C140)</f>
        <v>63196</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2940</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11925</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107274</v>
      </c>
      <c r="G152" s="467">
        <v>0</v>
      </c>
      <c r="H152" s="468"/>
      <c r="I152" s="468"/>
      <c r="J152" s="468"/>
      <c r="K152" s="468"/>
    </row>
    <row r="153" spans="1:11" ht="12.75" customHeight="1" x14ac:dyDescent="0.2">
      <c r="A153" s="463" t="s">
        <v>1057</v>
      </c>
      <c r="B153" s="559">
        <v>3510</v>
      </c>
      <c r="C153" s="548">
        <v>0</v>
      </c>
      <c r="D153" s="466">
        <v>0</v>
      </c>
      <c r="E153" s="558"/>
      <c r="F153" s="466">
        <v>90356</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197630</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231188</v>
      </c>
      <c r="D159" s="575">
        <v>0</v>
      </c>
      <c r="E159" s="558"/>
      <c r="F159" s="573">
        <v>23093</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2093</v>
      </c>
      <c r="D168" s="577">
        <v>0</v>
      </c>
      <c r="E168" s="577">
        <v>0</v>
      </c>
      <c r="F168" s="577">
        <v>0</v>
      </c>
      <c r="G168" s="578">
        <v>0</v>
      </c>
      <c r="H168" s="579">
        <v>0</v>
      </c>
      <c r="I168" s="578">
        <v>0</v>
      </c>
      <c r="J168" s="578">
        <v>0</v>
      </c>
      <c r="K168" s="579">
        <v>0</v>
      </c>
    </row>
    <row r="169" spans="1:11" ht="12.75" customHeight="1" thickTop="1" thickBot="1" x14ac:dyDescent="0.25">
      <c r="A169" s="2221" t="s">
        <v>398</v>
      </c>
      <c r="B169" s="2222"/>
      <c r="C169" s="1719">
        <f t="shared" ref="C169:K169" si="6">SUM(C132,C141,C145,C146:C150,C155,C156:C167,C168)</f>
        <v>489076</v>
      </c>
      <c r="D169" s="1719">
        <f t="shared" si="6"/>
        <v>0</v>
      </c>
      <c r="E169" s="1719">
        <f t="shared" si="6"/>
        <v>0</v>
      </c>
      <c r="F169" s="1719">
        <f t="shared" si="6"/>
        <v>220723</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3562760</v>
      </c>
      <c r="D170" s="1712">
        <f t="shared" si="7"/>
        <v>0</v>
      </c>
      <c r="E170" s="1712">
        <f t="shared" si="7"/>
        <v>0</v>
      </c>
      <c r="F170" s="1712">
        <f t="shared" si="7"/>
        <v>220723</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223" t="s">
        <v>1492</v>
      </c>
      <c r="B172" s="2224"/>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227" t="s">
        <v>1665</v>
      </c>
      <c r="B175" s="2228"/>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231" t="s">
        <v>1664</v>
      </c>
      <c r="B176" s="2232"/>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229" t="s">
        <v>785</v>
      </c>
      <c r="B181" s="2230"/>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225" t="s">
        <v>1803</v>
      </c>
      <c r="B182" s="2226"/>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182453</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19586</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202039</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26952</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26952</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0</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0</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0</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10218</v>
      </c>
      <c r="D263" s="573">
        <v>0</v>
      </c>
      <c r="E263" s="468"/>
      <c r="F263" s="573">
        <v>0</v>
      </c>
      <c r="G263" s="573">
        <v>0</v>
      </c>
      <c r="H263" s="468"/>
      <c r="I263" s="468"/>
      <c r="J263" s="468"/>
      <c r="K263" s="468"/>
    </row>
    <row r="264" spans="1:11" ht="12.75" customHeight="1" thickTop="1" thickBot="1" x14ac:dyDescent="0.25">
      <c r="A264" s="463" t="s">
        <v>377</v>
      </c>
      <c r="B264" s="470">
        <v>4992</v>
      </c>
      <c r="C264" s="572">
        <v>1870</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241079</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241079</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7938492</v>
      </c>
      <c r="D268" s="1712">
        <f t="shared" si="12"/>
        <v>667555</v>
      </c>
      <c r="E268" s="1712">
        <f t="shared" si="12"/>
        <v>1312105</v>
      </c>
      <c r="F268" s="1712">
        <f t="shared" si="12"/>
        <v>467111</v>
      </c>
      <c r="G268" s="1712">
        <f t="shared" si="12"/>
        <v>161208</v>
      </c>
      <c r="H268" s="1712">
        <f t="shared" si="12"/>
        <v>308167</v>
      </c>
      <c r="I268" s="1712">
        <f t="shared" si="12"/>
        <v>67281</v>
      </c>
      <c r="J268" s="1712">
        <f t="shared" si="12"/>
        <v>341363</v>
      </c>
      <c r="K268" s="1699">
        <f t="shared" si="12"/>
        <v>69873</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pageMargins left="0.3" right="0.15" top="0.86" bottom="0.25" header="0.28000000000000003" footer="0.1"/>
  <pageSetup scale="74"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J32" sqref="J32"/>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201"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235"/>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241" t="s">
        <v>297</v>
      </c>
      <c r="B3" s="2242"/>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3189312</v>
      </c>
      <c r="D5" s="466">
        <v>781142</v>
      </c>
      <c r="E5" s="466">
        <v>52553</v>
      </c>
      <c r="F5" s="466">
        <v>121532</v>
      </c>
      <c r="G5" s="466">
        <v>2679</v>
      </c>
      <c r="H5" s="466">
        <v>1670</v>
      </c>
      <c r="I5" s="467">
        <v>0</v>
      </c>
      <c r="J5" s="467">
        <v>0</v>
      </c>
      <c r="K5" s="1668">
        <f>SUM(C5:J5)</f>
        <v>4148888</v>
      </c>
      <c r="L5" s="471">
        <v>4119740</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83565</v>
      </c>
      <c r="D7" s="467">
        <v>24663</v>
      </c>
      <c r="E7" s="467">
        <v>1098</v>
      </c>
      <c r="F7" s="467">
        <v>5393</v>
      </c>
      <c r="G7" s="467">
        <v>0</v>
      </c>
      <c r="H7" s="467">
        <v>0</v>
      </c>
      <c r="I7" s="467">
        <v>0</v>
      </c>
      <c r="J7" s="467">
        <v>0</v>
      </c>
      <c r="K7" s="1668">
        <f t="shared" ref="K7:K32" si="0">SUM(C7:J7)</f>
        <v>114719</v>
      </c>
      <c r="L7" s="471">
        <v>127936</v>
      </c>
    </row>
    <row r="8" spans="1:14" x14ac:dyDescent="0.2">
      <c r="A8" s="1501" t="s">
        <v>164</v>
      </c>
      <c r="B8" s="611">
        <v>1200</v>
      </c>
      <c r="C8" s="466">
        <v>480786</v>
      </c>
      <c r="D8" s="466">
        <v>92944</v>
      </c>
      <c r="E8" s="466">
        <v>0</v>
      </c>
      <c r="F8" s="466">
        <v>1131</v>
      </c>
      <c r="G8" s="466">
        <v>0</v>
      </c>
      <c r="H8" s="466">
        <v>0</v>
      </c>
      <c r="I8" s="467">
        <v>0</v>
      </c>
      <c r="J8" s="467">
        <v>0</v>
      </c>
      <c r="K8" s="1668">
        <f t="shared" si="0"/>
        <v>574861</v>
      </c>
      <c r="L8" s="471">
        <v>618786</v>
      </c>
    </row>
    <row r="9" spans="1:14" x14ac:dyDescent="0.2">
      <c r="A9" s="1501" t="s">
        <v>721</v>
      </c>
      <c r="B9" s="611" t="s">
        <v>968</v>
      </c>
      <c r="C9" s="467">
        <v>0</v>
      </c>
      <c r="D9" s="467">
        <v>0</v>
      </c>
      <c r="E9" s="467">
        <v>0</v>
      </c>
      <c r="F9" s="467">
        <v>0</v>
      </c>
      <c r="G9" s="467">
        <v>0</v>
      </c>
      <c r="H9" s="467">
        <v>228</v>
      </c>
      <c r="I9" s="467">
        <v>0</v>
      </c>
      <c r="J9" s="467">
        <v>0</v>
      </c>
      <c r="K9" s="1668">
        <f t="shared" si="0"/>
        <v>228</v>
      </c>
      <c r="L9" s="471">
        <v>12000</v>
      </c>
    </row>
    <row r="10" spans="1:14" x14ac:dyDescent="0.2">
      <c r="A10" s="1501" t="s">
        <v>722</v>
      </c>
      <c r="B10" s="611">
        <v>1250</v>
      </c>
      <c r="C10" s="466">
        <v>66748</v>
      </c>
      <c r="D10" s="466">
        <v>2759</v>
      </c>
      <c r="E10" s="466">
        <v>84</v>
      </c>
      <c r="F10" s="466">
        <v>21127</v>
      </c>
      <c r="G10" s="466">
        <v>0</v>
      </c>
      <c r="H10" s="466">
        <v>0</v>
      </c>
      <c r="I10" s="467">
        <v>0</v>
      </c>
      <c r="J10" s="467">
        <v>0</v>
      </c>
      <c r="K10" s="1668">
        <f t="shared" si="0"/>
        <v>90718</v>
      </c>
      <c r="L10" s="471">
        <v>110528</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83026</v>
      </c>
      <c r="D13" s="466">
        <v>22564</v>
      </c>
      <c r="E13" s="466">
        <v>0</v>
      </c>
      <c r="F13" s="466">
        <v>2279</v>
      </c>
      <c r="G13" s="466">
        <v>2860</v>
      </c>
      <c r="H13" s="466">
        <v>0</v>
      </c>
      <c r="I13" s="467">
        <v>0</v>
      </c>
      <c r="J13" s="467">
        <v>0</v>
      </c>
      <c r="K13" s="1668">
        <f t="shared" si="0"/>
        <v>110729</v>
      </c>
      <c r="L13" s="471">
        <v>109920</v>
      </c>
    </row>
    <row r="14" spans="1:14" x14ac:dyDescent="0.2">
      <c r="A14" s="1501" t="s">
        <v>963</v>
      </c>
      <c r="B14" s="611">
        <v>1500</v>
      </c>
      <c r="C14" s="466">
        <v>149930</v>
      </c>
      <c r="D14" s="466">
        <v>13681</v>
      </c>
      <c r="E14" s="466">
        <v>21809</v>
      </c>
      <c r="F14" s="466">
        <v>13521</v>
      </c>
      <c r="G14" s="466">
        <v>0</v>
      </c>
      <c r="H14" s="466">
        <v>13776</v>
      </c>
      <c r="I14" s="467">
        <v>0</v>
      </c>
      <c r="J14" s="467">
        <v>0</v>
      </c>
      <c r="K14" s="1668">
        <f t="shared" si="0"/>
        <v>212717</v>
      </c>
      <c r="L14" s="471">
        <v>267715</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30761</v>
      </c>
      <c r="D17" s="467">
        <v>9916</v>
      </c>
      <c r="E17" s="467">
        <v>0</v>
      </c>
      <c r="F17" s="467">
        <v>4320</v>
      </c>
      <c r="G17" s="467">
        <v>0</v>
      </c>
      <c r="H17" s="467">
        <v>0</v>
      </c>
      <c r="I17" s="467">
        <v>0</v>
      </c>
      <c r="J17" s="467">
        <v>0</v>
      </c>
      <c r="K17" s="1668">
        <f t="shared" si="0"/>
        <v>44997</v>
      </c>
      <c r="L17" s="471">
        <v>55236</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68239</v>
      </c>
      <c r="D19" s="466">
        <v>14751</v>
      </c>
      <c r="E19" s="466">
        <v>0</v>
      </c>
      <c r="F19" s="466">
        <v>151</v>
      </c>
      <c r="G19" s="466">
        <v>0</v>
      </c>
      <c r="H19" s="466">
        <v>0</v>
      </c>
      <c r="I19" s="467">
        <v>0</v>
      </c>
      <c r="J19" s="467">
        <v>0</v>
      </c>
      <c r="K19" s="1668">
        <f t="shared" si="0"/>
        <v>83141</v>
      </c>
      <c r="L19" s="471">
        <v>89800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476097</v>
      </c>
      <c r="I22" s="613"/>
      <c r="J22" s="475"/>
      <c r="K22" s="1668">
        <f t="shared" si="0"/>
        <v>476097</v>
      </c>
      <c r="L22" s="471">
        <v>225000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2500</v>
      </c>
      <c r="I27" s="613"/>
      <c r="J27" s="475"/>
      <c r="K27" s="1668">
        <f t="shared" si="0"/>
        <v>2500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4152367</v>
      </c>
      <c r="D33" s="1667">
        <f t="shared" ref="D33:L33" si="1">SUM(D5:D32)</f>
        <v>962420</v>
      </c>
      <c r="E33" s="1667">
        <f t="shared" si="1"/>
        <v>75544</v>
      </c>
      <c r="F33" s="1667">
        <f t="shared" si="1"/>
        <v>169454</v>
      </c>
      <c r="G33" s="1667">
        <f t="shared" si="1"/>
        <v>5539</v>
      </c>
      <c r="H33" s="1667">
        <f t="shared" si="1"/>
        <v>494271</v>
      </c>
      <c r="I33" s="1667">
        <f t="shared" si="1"/>
        <v>0</v>
      </c>
      <c r="J33" s="1667">
        <f t="shared" si="1"/>
        <v>0</v>
      </c>
      <c r="K33" s="1667">
        <f t="shared" si="1"/>
        <v>5859595</v>
      </c>
      <c r="L33" s="1667">
        <f t="shared" si="1"/>
        <v>5736661</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0</v>
      </c>
      <c r="D36" s="479">
        <v>0</v>
      </c>
      <c r="E36" s="479">
        <v>0</v>
      </c>
      <c r="F36" s="479">
        <v>0</v>
      </c>
      <c r="G36" s="479">
        <v>0</v>
      </c>
      <c r="H36" s="479">
        <v>0</v>
      </c>
      <c r="I36" s="467">
        <v>0</v>
      </c>
      <c r="J36" s="467">
        <v>0</v>
      </c>
      <c r="K36" s="1668">
        <f t="shared" ref="K36:K41" si="2">SUM(C36:J36)</f>
        <v>0</v>
      </c>
      <c r="L36" s="466">
        <v>0</v>
      </c>
    </row>
    <row r="37" spans="1:14" x14ac:dyDescent="0.2">
      <c r="A37" s="1501" t="s">
        <v>1090</v>
      </c>
      <c r="B37" s="611">
        <v>2120</v>
      </c>
      <c r="C37" s="466">
        <v>132237</v>
      </c>
      <c r="D37" s="466">
        <v>29396</v>
      </c>
      <c r="E37" s="466">
        <v>0</v>
      </c>
      <c r="F37" s="466">
        <v>279</v>
      </c>
      <c r="G37" s="466">
        <v>0</v>
      </c>
      <c r="H37" s="466">
        <v>0</v>
      </c>
      <c r="I37" s="467">
        <v>0</v>
      </c>
      <c r="J37" s="467">
        <v>0</v>
      </c>
      <c r="K37" s="1668">
        <f t="shared" si="2"/>
        <v>161912</v>
      </c>
      <c r="L37" s="466">
        <v>170833</v>
      </c>
    </row>
    <row r="38" spans="1:14" x14ac:dyDescent="0.2">
      <c r="A38" s="1501" t="s">
        <v>198</v>
      </c>
      <c r="B38" s="611">
        <v>2130</v>
      </c>
      <c r="C38" s="466">
        <v>79816</v>
      </c>
      <c r="D38" s="466">
        <v>13240</v>
      </c>
      <c r="E38" s="466">
        <v>849</v>
      </c>
      <c r="F38" s="466">
        <v>2536</v>
      </c>
      <c r="G38" s="466">
        <v>0</v>
      </c>
      <c r="H38" s="466">
        <v>0</v>
      </c>
      <c r="I38" s="467">
        <v>0</v>
      </c>
      <c r="J38" s="467">
        <v>0</v>
      </c>
      <c r="K38" s="1668">
        <f t="shared" si="2"/>
        <v>96441</v>
      </c>
      <c r="L38" s="466">
        <v>126300</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39718</v>
      </c>
      <c r="D40" s="466">
        <v>11123</v>
      </c>
      <c r="E40" s="466">
        <v>0</v>
      </c>
      <c r="F40" s="466">
        <v>0</v>
      </c>
      <c r="G40" s="466">
        <v>0</v>
      </c>
      <c r="H40" s="466">
        <v>0</v>
      </c>
      <c r="I40" s="467">
        <v>0</v>
      </c>
      <c r="J40" s="467">
        <v>0</v>
      </c>
      <c r="K40" s="1668">
        <f t="shared" si="2"/>
        <v>50841</v>
      </c>
      <c r="L40" s="466">
        <v>62736</v>
      </c>
    </row>
    <row r="41" spans="1:14" x14ac:dyDescent="0.2">
      <c r="A41" s="1501" t="s">
        <v>1669</v>
      </c>
      <c r="B41" s="611">
        <v>2190</v>
      </c>
      <c r="C41" s="466">
        <v>9816</v>
      </c>
      <c r="D41" s="466">
        <v>853</v>
      </c>
      <c r="E41" s="466">
        <v>0</v>
      </c>
      <c r="F41" s="466">
        <v>0</v>
      </c>
      <c r="G41" s="466">
        <v>0</v>
      </c>
      <c r="H41" s="466">
        <v>0</v>
      </c>
      <c r="I41" s="467">
        <v>0</v>
      </c>
      <c r="J41" s="467">
        <v>0</v>
      </c>
      <c r="K41" s="1668">
        <f t="shared" si="2"/>
        <v>10669</v>
      </c>
      <c r="L41" s="466">
        <v>25300</v>
      </c>
    </row>
    <row r="42" spans="1:14" ht="12.75" customHeight="1" thickBot="1" x14ac:dyDescent="0.25">
      <c r="A42" s="1665" t="s">
        <v>560</v>
      </c>
      <c r="B42" s="1666" t="s">
        <v>716</v>
      </c>
      <c r="C42" s="1667">
        <f>SUM(C36:C41)</f>
        <v>261587</v>
      </c>
      <c r="D42" s="1667">
        <f t="shared" ref="D42:L42" si="3">SUM(D36:D41)</f>
        <v>54612</v>
      </c>
      <c r="E42" s="1667">
        <f t="shared" si="3"/>
        <v>849</v>
      </c>
      <c r="F42" s="1667">
        <f t="shared" si="3"/>
        <v>2815</v>
      </c>
      <c r="G42" s="1667">
        <f t="shared" si="3"/>
        <v>0</v>
      </c>
      <c r="H42" s="1667">
        <f t="shared" si="3"/>
        <v>0</v>
      </c>
      <c r="I42" s="1667">
        <f t="shared" si="3"/>
        <v>0</v>
      </c>
      <c r="J42" s="1667">
        <f t="shared" si="3"/>
        <v>0</v>
      </c>
      <c r="K42" s="1667">
        <f t="shared" si="3"/>
        <v>319863</v>
      </c>
      <c r="L42" s="1667">
        <f t="shared" si="3"/>
        <v>385169</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106916</v>
      </c>
      <c r="D44" s="479">
        <v>31489</v>
      </c>
      <c r="E44" s="479">
        <v>6677</v>
      </c>
      <c r="F44" s="479">
        <v>6558</v>
      </c>
      <c r="G44" s="479">
        <v>1449</v>
      </c>
      <c r="H44" s="479">
        <v>0</v>
      </c>
      <c r="I44" s="467">
        <v>0</v>
      </c>
      <c r="J44" s="467">
        <v>0</v>
      </c>
      <c r="K44" s="1669">
        <f>SUM(C44:J44)</f>
        <v>153089</v>
      </c>
      <c r="L44" s="479">
        <v>161495</v>
      </c>
    </row>
    <row r="45" spans="1:14" x14ac:dyDescent="0.2">
      <c r="A45" s="1501" t="s">
        <v>815</v>
      </c>
      <c r="B45" s="611">
        <v>2220</v>
      </c>
      <c r="C45" s="466">
        <v>62614</v>
      </c>
      <c r="D45" s="466">
        <v>12158</v>
      </c>
      <c r="E45" s="466">
        <v>28400</v>
      </c>
      <c r="F45" s="466">
        <v>6982</v>
      </c>
      <c r="G45" s="466">
        <v>0</v>
      </c>
      <c r="H45" s="466">
        <v>401</v>
      </c>
      <c r="I45" s="467">
        <v>0</v>
      </c>
      <c r="J45" s="467">
        <v>0</v>
      </c>
      <c r="K45" s="1669">
        <f>SUM(C45:J45)</f>
        <v>110555</v>
      </c>
      <c r="L45" s="466">
        <v>103136</v>
      </c>
    </row>
    <row r="46" spans="1:14" x14ac:dyDescent="0.2">
      <c r="A46" s="1501" t="s">
        <v>816</v>
      </c>
      <c r="B46" s="611">
        <v>2230</v>
      </c>
      <c r="C46" s="466">
        <v>0</v>
      </c>
      <c r="D46" s="466">
        <v>0</v>
      </c>
      <c r="E46" s="466">
        <v>21760</v>
      </c>
      <c r="F46" s="466">
        <v>0</v>
      </c>
      <c r="G46" s="466">
        <v>0</v>
      </c>
      <c r="H46" s="466">
        <v>0</v>
      </c>
      <c r="I46" s="467">
        <v>0</v>
      </c>
      <c r="J46" s="467">
        <v>0</v>
      </c>
      <c r="K46" s="1669">
        <f>SUM(C46:J46)</f>
        <v>21760</v>
      </c>
      <c r="L46" s="466">
        <v>12000</v>
      </c>
    </row>
    <row r="47" spans="1:14" ht="12.75" customHeight="1" thickBot="1" x14ac:dyDescent="0.25">
      <c r="A47" s="1665" t="s">
        <v>561</v>
      </c>
      <c r="B47" s="1666" t="s">
        <v>32</v>
      </c>
      <c r="C47" s="1667">
        <f>SUM(C44:C46)</f>
        <v>169530</v>
      </c>
      <c r="D47" s="1667">
        <f t="shared" ref="D47:K47" si="4">SUM(D44:D46)</f>
        <v>43647</v>
      </c>
      <c r="E47" s="1667">
        <f t="shared" si="4"/>
        <v>56837</v>
      </c>
      <c r="F47" s="1667">
        <f t="shared" si="4"/>
        <v>13540</v>
      </c>
      <c r="G47" s="1667">
        <f t="shared" si="4"/>
        <v>1449</v>
      </c>
      <c r="H47" s="1667">
        <f t="shared" si="4"/>
        <v>401</v>
      </c>
      <c r="I47" s="1667">
        <f t="shared" si="4"/>
        <v>0</v>
      </c>
      <c r="J47" s="1667">
        <f t="shared" si="4"/>
        <v>0</v>
      </c>
      <c r="K47" s="1667">
        <f t="shared" si="4"/>
        <v>285404</v>
      </c>
      <c r="L47" s="1667">
        <f>SUM(L44:L46)</f>
        <v>276631</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0</v>
      </c>
      <c r="D49" s="479">
        <v>0</v>
      </c>
      <c r="E49" s="479">
        <v>35174</v>
      </c>
      <c r="F49" s="479">
        <v>0</v>
      </c>
      <c r="G49" s="479">
        <v>0</v>
      </c>
      <c r="H49" s="479">
        <v>60226</v>
      </c>
      <c r="I49" s="467">
        <v>0</v>
      </c>
      <c r="J49" s="467">
        <v>0</v>
      </c>
      <c r="K49" s="1669">
        <f>SUM(C49:J49)</f>
        <v>95400</v>
      </c>
      <c r="L49" s="479">
        <v>209650</v>
      </c>
    </row>
    <row r="50" spans="1:14" x14ac:dyDescent="0.2">
      <c r="A50" s="1501" t="s">
        <v>818</v>
      </c>
      <c r="B50" s="611">
        <v>2320</v>
      </c>
      <c r="C50" s="467">
        <v>135901</v>
      </c>
      <c r="D50" s="466">
        <v>37814</v>
      </c>
      <c r="E50" s="466">
        <v>6201</v>
      </c>
      <c r="F50" s="466">
        <v>964</v>
      </c>
      <c r="G50" s="466">
        <v>0</v>
      </c>
      <c r="H50" s="466">
        <v>1136</v>
      </c>
      <c r="I50" s="467">
        <v>0</v>
      </c>
      <c r="J50" s="467">
        <v>0</v>
      </c>
      <c r="K50" s="1669">
        <f>SUM(C50:J50)</f>
        <v>182016</v>
      </c>
      <c r="L50" s="466">
        <v>197595</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135901</v>
      </c>
      <c r="D53" s="1667">
        <f t="shared" ref="D53:L53" si="5">SUM(D49:D52)</f>
        <v>37814</v>
      </c>
      <c r="E53" s="1667">
        <f t="shared" si="5"/>
        <v>41375</v>
      </c>
      <c r="F53" s="1667">
        <f t="shared" si="5"/>
        <v>964</v>
      </c>
      <c r="G53" s="1667">
        <f t="shared" si="5"/>
        <v>0</v>
      </c>
      <c r="H53" s="1667">
        <f t="shared" si="5"/>
        <v>61362</v>
      </c>
      <c r="I53" s="1667">
        <f t="shared" si="5"/>
        <v>0</v>
      </c>
      <c r="J53" s="1667">
        <f t="shared" si="5"/>
        <v>0</v>
      </c>
      <c r="K53" s="1667">
        <f t="shared" si="5"/>
        <v>277416</v>
      </c>
      <c r="L53" s="1667">
        <f t="shared" si="5"/>
        <v>407245</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405492</v>
      </c>
      <c r="D55" s="479">
        <v>108202</v>
      </c>
      <c r="E55" s="479">
        <v>1805</v>
      </c>
      <c r="F55" s="479">
        <v>0</v>
      </c>
      <c r="G55" s="479">
        <v>0</v>
      </c>
      <c r="H55" s="479">
        <v>1303</v>
      </c>
      <c r="I55" s="467">
        <v>0</v>
      </c>
      <c r="J55" s="467">
        <v>0</v>
      </c>
      <c r="K55" s="1669">
        <f>SUM(C55:J55)</f>
        <v>516802</v>
      </c>
      <c r="L55" s="479">
        <v>480855</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405492</v>
      </c>
      <c r="D57" s="1671">
        <f t="shared" ref="D57:K57" si="6">SUM(D55:D56)</f>
        <v>108202</v>
      </c>
      <c r="E57" s="1671">
        <f t="shared" si="6"/>
        <v>1805</v>
      </c>
      <c r="F57" s="1671">
        <f t="shared" si="6"/>
        <v>0</v>
      </c>
      <c r="G57" s="1671">
        <f t="shared" si="6"/>
        <v>0</v>
      </c>
      <c r="H57" s="1671">
        <f t="shared" si="6"/>
        <v>1303</v>
      </c>
      <c r="I57" s="1671">
        <f t="shared" si="6"/>
        <v>0</v>
      </c>
      <c r="J57" s="1671">
        <f t="shared" si="6"/>
        <v>0</v>
      </c>
      <c r="K57" s="1671">
        <f t="shared" si="6"/>
        <v>516802</v>
      </c>
      <c r="L57" s="1667">
        <f>SUM(L55:L56)</f>
        <v>480855</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70964</v>
      </c>
      <c r="D60" s="466">
        <v>6014</v>
      </c>
      <c r="E60" s="466">
        <v>258</v>
      </c>
      <c r="F60" s="466">
        <v>1394</v>
      </c>
      <c r="G60" s="466">
        <v>1048</v>
      </c>
      <c r="H60" s="466">
        <v>0</v>
      </c>
      <c r="I60" s="467">
        <v>0</v>
      </c>
      <c r="J60" s="467">
        <v>0</v>
      </c>
      <c r="K60" s="1669">
        <f t="shared" si="7"/>
        <v>79678</v>
      </c>
      <c r="L60" s="466">
        <v>89100</v>
      </c>
      <c r="M60" s="606"/>
      <c r="N60" s="606"/>
    </row>
    <row r="61" spans="1:14" s="343" customFormat="1" x14ac:dyDescent="0.2">
      <c r="A61" s="1501" t="s">
        <v>197</v>
      </c>
      <c r="B61" s="611">
        <v>2540</v>
      </c>
      <c r="C61" s="466">
        <v>0</v>
      </c>
      <c r="D61" s="466">
        <v>0</v>
      </c>
      <c r="E61" s="466">
        <v>470</v>
      </c>
      <c r="F61" s="466">
        <v>5760</v>
      </c>
      <c r="G61" s="466">
        <v>0</v>
      </c>
      <c r="H61" s="466">
        <v>0</v>
      </c>
      <c r="I61" s="467">
        <v>0</v>
      </c>
      <c r="J61" s="467">
        <v>0</v>
      </c>
      <c r="K61" s="1669">
        <f t="shared" si="7"/>
        <v>6230</v>
      </c>
      <c r="L61" s="466">
        <v>4650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141803</v>
      </c>
      <c r="D63" s="466">
        <v>1770</v>
      </c>
      <c r="E63" s="466">
        <v>450</v>
      </c>
      <c r="F63" s="466">
        <v>244317</v>
      </c>
      <c r="G63" s="466">
        <v>0</v>
      </c>
      <c r="H63" s="466">
        <v>713</v>
      </c>
      <c r="I63" s="467">
        <v>0</v>
      </c>
      <c r="J63" s="467">
        <v>0</v>
      </c>
      <c r="K63" s="1669">
        <f t="shared" si="7"/>
        <v>389053</v>
      </c>
      <c r="L63" s="466">
        <v>416750</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212767</v>
      </c>
      <c r="D65" s="1667">
        <f t="shared" ref="D65:L65" si="8">SUM(D59:D64)</f>
        <v>7784</v>
      </c>
      <c r="E65" s="1667">
        <f t="shared" si="8"/>
        <v>1178</v>
      </c>
      <c r="F65" s="1667">
        <f t="shared" si="8"/>
        <v>251471</v>
      </c>
      <c r="G65" s="1667">
        <f t="shared" si="8"/>
        <v>1048</v>
      </c>
      <c r="H65" s="1667">
        <f t="shared" si="8"/>
        <v>713</v>
      </c>
      <c r="I65" s="1667">
        <f t="shared" si="8"/>
        <v>0</v>
      </c>
      <c r="J65" s="1667">
        <f t="shared" si="8"/>
        <v>0</v>
      </c>
      <c r="K65" s="1667">
        <f t="shared" si="8"/>
        <v>474961</v>
      </c>
      <c r="L65" s="1667">
        <f t="shared" si="8"/>
        <v>510500</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120089</v>
      </c>
      <c r="D71" s="466">
        <v>18038</v>
      </c>
      <c r="E71" s="466">
        <v>21395</v>
      </c>
      <c r="F71" s="466">
        <v>37970</v>
      </c>
      <c r="G71" s="466">
        <v>322460</v>
      </c>
      <c r="H71" s="466">
        <v>0</v>
      </c>
      <c r="I71" s="467">
        <v>0</v>
      </c>
      <c r="J71" s="467">
        <v>0</v>
      </c>
      <c r="K71" s="1669">
        <f>SUM(C71:J71)</f>
        <v>519952</v>
      </c>
      <c r="L71" s="466">
        <v>243190</v>
      </c>
      <c r="M71" s="606"/>
      <c r="N71" s="606"/>
    </row>
    <row r="72" spans="1:14" s="343" customFormat="1" ht="12.75" customHeight="1" thickBot="1" x14ac:dyDescent="0.25">
      <c r="A72" s="1665" t="s">
        <v>37</v>
      </c>
      <c r="B72" s="1672" t="s">
        <v>36</v>
      </c>
      <c r="C72" s="1667">
        <f>SUM(C67:C71)</f>
        <v>120089</v>
      </c>
      <c r="D72" s="1667">
        <f t="shared" ref="D72:K72" si="9">SUM(D67:D71)</f>
        <v>18038</v>
      </c>
      <c r="E72" s="1667">
        <f t="shared" si="9"/>
        <v>21395</v>
      </c>
      <c r="F72" s="1667">
        <f t="shared" si="9"/>
        <v>37970</v>
      </c>
      <c r="G72" s="1667">
        <f t="shared" si="9"/>
        <v>322460</v>
      </c>
      <c r="H72" s="1667">
        <f t="shared" si="9"/>
        <v>0</v>
      </c>
      <c r="I72" s="1667">
        <f t="shared" si="9"/>
        <v>0</v>
      </c>
      <c r="J72" s="1667">
        <f t="shared" si="9"/>
        <v>0</v>
      </c>
      <c r="K72" s="1667">
        <f t="shared" si="9"/>
        <v>519952</v>
      </c>
      <c r="L72" s="1667">
        <f>SUM(L67:L71)</f>
        <v>243190</v>
      </c>
      <c r="M72" s="606"/>
      <c r="N72" s="606"/>
    </row>
    <row r="73" spans="1:14" s="343" customFormat="1" ht="14.25" thickTop="1" thickBot="1" x14ac:dyDescent="0.25">
      <c r="A73" s="1507" t="s">
        <v>980</v>
      </c>
      <c r="B73" s="629" t="s">
        <v>574</v>
      </c>
      <c r="C73" s="467">
        <v>0</v>
      </c>
      <c r="D73" s="467">
        <v>0</v>
      </c>
      <c r="E73" s="467">
        <v>0</v>
      </c>
      <c r="F73" s="467">
        <v>88</v>
      </c>
      <c r="G73" s="467">
        <v>0</v>
      </c>
      <c r="H73" s="467">
        <v>0</v>
      </c>
      <c r="I73" s="467">
        <v>0</v>
      </c>
      <c r="J73" s="467">
        <v>0</v>
      </c>
      <c r="K73" s="1667">
        <f>SUM(C73:J73)</f>
        <v>88</v>
      </c>
      <c r="L73" s="573">
        <v>0</v>
      </c>
      <c r="M73" s="606"/>
      <c r="N73" s="606"/>
    </row>
    <row r="74" spans="1:14" ht="12.75" customHeight="1" thickTop="1" thickBot="1" x14ac:dyDescent="0.25">
      <c r="A74" s="1665" t="s">
        <v>811</v>
      </c>
      <c r="B74" s="1673">
        <v>2000</v>
      </c>
      <c r="C74" s="1674">
        <f>SUM(C42,C47,C53,C57,C65,C72,C73)</f>
        <v>1305366</v>
      </c>
      <c r="D74" s="1674">
        <f t="shared" ref="D74:K74" si="10">SUM(D42,D47,D53,D57,D65,D72,D73)</f>
        <v>270097</v>
      </c>
      <c r="E74" s="1674">
        <f t="shared" si="10"/>
        <v>123439</v>
      </c>
      <c r="F74" s="1674">
        <f t="shared" si="10"/>
        <v>306848</v>
      </c>
      <c r="G74" s="1674">
        <f t="shared" si="10"/>
        <v>324957</v>
      </c>
      <c r="H74" s="1674">
        <f t="shared" si="10"/>
        <v>63779</v>
      </c>
      <c r="I74" s="1674">
        <f t="shared" si="10"/>
        <v>0</v>
      </c>
      <c r="J74" s="1674">
        <f t="shared" si="10"/>
        <v>0</v>
      </c>
      <c r="K74" s="1674">
        <f t="shared" si="10"/>
        <v>2394486</v>
      </c>
      <c r="L74" s="1674">
        <f>SUM(L42,L47,L53,L57,L65,L72,L73)</f>
        <v>2303590</v>
      </c>
    </row>
    <row r="75" spans="1:14" s="259" customFormat="1" ht="15.75" customHeight="1" thickTop="1" thickBot="1" x14ac:dyDescent="0.25">
      <c r="A75" s="1607" t="s">
        <v>47</v>
      </c>
      <c r="B75" s="1608" t="s">
        <v>575</v>
      </c>
      <c r="C75" s="467">
        <v>3406</v>
      </c>
      <c r="D75" s="467">
        <v>521</v>
      </c>
      <c r="E75" s="467">
        <v>2196</v>
      </c>
      <c r="F75" s="467">
        <v>111</v>
      </c>
      <c r="G75" s="467">
        <v>0</v>
      </c>
      <c r="H75" s="467">
        <v>0</v>
      </c>
      <c r="I75" s="467">
        <v>0</v>
      </c>
      <c r="J75" s="467">
        <v>0</v>
      </c>
      <c r="K75" s="1667">
        <f>SUM(C75:J75)</f>
        <v>6234</v>
      </c>
      <c r="L75" s="573">
        <v>3218</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0</v>
      </c>
      <c r="F79" s="613"/>
      <c r="G79" s="613"/>
      <c r="H79" s="466">
        <v>0</v>
      </c>
      <c r="I79" s="475"/>
      <c r="J79" s="475"/>
      <c r="K79" s="1668">
        <f t="shared" si="11"/>
        <v>0</v>
      </c>
      <c r="L79" s="466">
        <v>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2774</v>
      </c>
      <c r="F83" s="613"/>
      <c r="G83" s="613"/>
      <c r="H83" s="466">
        <v>0</v>
      </c>
      <c r="I83" s="475"/>
      <c r="J83" s="475"/>
      <c r="K83" s="1668">
        <f t="shared" si="11"/>
        <v>2774</v>
      </c>
      <c r="L83" s="466">
        <v>2750</v>
      </c>
    </row>
    <row r="84" spans="1:12" ht="13.5" thickBot="1" x14ac:dyDescent="0.25">
      <c r="A84" s="1665" t="s">
        <v>1485</v>
      </c>
      <c r="B84" s="1675">
        <v>4100</v>
      </c>
      <c r="C84" s="613"/>
      <c r="D84" s="613"/>
      <c r="E84" s="1667">
        <f>SUM(E78:E83)</f>
        <v>2774</v>
      </c>
      <c r="F84" s="613"/>
      <c r="G84" s="613"/>
      <c r="H84" s="1667">
        <f>SUM(H78:H83)</f>
        <v>0</v>
      </c>
      <c r="I84" s="475"/>
      <c r="J84" s="475"/>
      <c r="K84" s="1667">
        <f>SUM(K78:K83)</f>
        <v>2774</v>
      </c>
      <c r="L84" s="1667">
        <f>SUM(L78:L83)</f>
        <v>2750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195135</v>
      </c>
      <c r="I86" s="475"/>
      <c r="J86" s="475"/>
      <c r="K86" s="1674">
        <f t="shared" ref="K86:K98" si="12">H86</f>
        <v>195135</v>
      </c>
      <c r="L86" s="527">
        <v>230000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37869</v>
      </c>
      <c r="I88" s="475"/>
      <c r="J88" s="475"/>
      <c r="K88" s="1674">
        <f t="shared" si="12"/>
        <v>37869</v>
      </c>
      <c r="L88" s="527">
        <v>40000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233004</v>
      </c>
      <c r="I92" s="475"/>
      <c r="J92" s="475"/>
      <c r="K92" s="1674">
        <f t="shared" si="12"/>
        <v>233004</v>
      </c>
      <c r="L92" s="1667">
        <f>SUM(L85:L91)</f>
        <v>270000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2774</v>
      </c>
      <c r="F102" s="613"/>
      <c r="G102" s="613"/>
      <c r="H102" s="1674">
        <f>SUM(H84,H92,H100,H101)</f>
        <v>233004</v>
      </c>
      <c r="I102" s="475"/>
      <c r="J102" s="475"/>
      <c r="K102" s="1674">
        <f>SUM(K84,K92,K100,K101)</f>
        <v>235778</v>
      </c>
      <c r="L102" s="1674">
        <f>SUM(L84,L92,L100,L101)</f>
        <v>272750</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5461139</v>
      </c>
      <c r="D114" s="1667">
        <f t="shared" ref="D114:K114" si="13">SUM(D33,D74,D75,D102,D112,D113)</f>
        <v>1233038</v>
      </c>
      <c r="E114" s="1667">
        <f t="shared" si="13"/>
        <v>203953</v>
      </c>
      <c r="F114" s="1667">
        <f t="shared" si="13"/>
        <v>476413</v>
      </c>
      <c r="G114" s="1667">
        <f t="shared" si="13"/>
        <v>330496</v>
      </c>
      <c r="H114" s="1667">
        <f>SUM(H33,H74,H75,H102,H112,H113)</f>
        <v>791054</v>
      </c>
      <c r="I114" s="1667">
        <f t="shared" si="13"/>
        <v>0</v>
      </c>
      <c r="J114" s="1667">
        <f t="shared" si="13"/>
        <v>0</v>
      </c>
      <c r="K114" s="1667">
        <f t="shared" si="13"/>
        <v>8496093</v>
      </c>
      <c r="L114" s="1667">
        <f>SUM(L33,L74,L75,L102,L112,L113)</f>
        <v>8316219</v>
      </c>
    </row>
    <row r="115" spans="1:14" ht="13.5" thickTop="1" x14ac:dyDescent="0.2">
      <c r="A115" s="2233" t="s">
        <v>996</v>
      </c>
      <c r="B115" s="2234"/>
      <c r="C115" s="615"/>
      <c r="D115" s="615"/>
      <c r="E115" s="615"/>
      <c r="F115" s="615"/>
      <c r="G115" s="615"/>
      <c r="H115" s="615"/>
      <c r="I115" s="615"/>
      <c r="J115" s="615"/>
      <c r="K115" s="1681">
        <f>'Revenues 9-14'!C268-'Expenditures 15-22'!K114</f>
        <v>-557601</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238" t="s">
        <v>296</v>
      </c>
      <c r="B117" s="2239"/>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331306</v>
      </c>
      <c r="D124" s="466">
        <v>44821</v>
      </c>
      <c r="E124" s="466">
        <v>134199</v>
      </c>
      <c r="F124" s="466">
        <v>282402</v>
      </c>
      <c r="G124" s="466">
        <v>6123</v>
      </c>
      <c r="H124" s="466">
        <v>0</v>
      </c>
      <c r="I124" s="467">
        <v>0</v>
      </c>
      <c r="J124" s="467">
        <v>0</v>
      </c>
      <c r="K124" s="1667">
        <f>SUM(C124:J124)</f>
        <v>798851</v>
      </c>
      <c r="L124" s="466">
        <v>836690</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331306</v>
      </c>
      <c r="D127" s="1667">
        <f t="shared" ref="D127:L127" si="14">SUM(D122:D126)</f>
        <v>44821</v>
      </c>
      <c r="E127" s="1667">
        <f t="shared" si="14"/>
        <v>134199</v>
      </c>
      <c r="F127" s="1667">
        <f t="shared" si="14"/>
        <v>282402</v>
      </c>
      <c r="G127" s="1667">
        <f t="shared" si="14"/>
        <v>6123</v>
      </c>
      <c r="H127" s="1667">
        <f t="shared" si="14"/>
        <v>0</v>
      </c>
      <c r="I127" s="1667">
        <f t="shared" si="14"/>
        <v>0</v>
      </c>
      <c r="J127" s="1667">
        <f t="shared" si="14"/>
        <v>0</v>
      </c>
      <c r="K127" s="1667">
        <f t="shared" si="14"/>
        <v>798851</v>
      </c>
      <c r="L127" s="1667">
        <f t="shared" si="14"/>
        <v>836690</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331306</v>
      </c>
      <c r="D129" s="1674">
        <f t="shared" ref="D129:L129" si="15">SUM(D120,D127,D128)</f>
        <v>44821</v>
      </c>
      <c r="E129" s="1674">
        <f t="shared" si="15"/>
        <v>134199</v>
      </c>
      <c r="F129" s="1674">
        <f t="shared" si="15"/>
        <v>282402</v>
      </c>
      <c r="G129" s="1674">
        <f t="shared" si="15"/>
        <v>6123</v>
      </c>
      <c r="H129" s="1674">
        <f t="shared" si="15"/>
        <v>0</v>
      </c>
      <c r="I129" s="1674">
        <f t="shared" si="15"/>
        <v>0</v>
      </c>
      <c r="J129" s="1674">
        <f t="shared" si="15"/>
        <v>0</v>
      </c>
      <c r="K129" s="1674">
        <f t="shared" si="15"/>
        <v>798851</v>
      </c>
      <c r="L129" s="1674">
        <f t="shared" si="15"/>
        <v>836690</v>
      </c>
    </row>
    <row r="130" spans="1:14" ht="15.75" customHeight="1" thickTop="1" thickBot="1" x14ac:dyDescent="0.25">
      <c r="A130" s="1607" t="s">
        <v>1036</v>
      </c>
      <c r="B130" s="1608" t="s">
        <v>575</v>
      </c>
      <c r="C130" s="573">
        <v>0</v>
      </c>
      <c r="D130" s="573">
        <v>0</v>
      </c>
      <c r="E130" s="573">
        <v>9797</v>
      </c>
      <c r="F130" s="573">
        <v>0</v>
      </c>
      <c r="G130" s="573">
        <v>0</v>
      </c>
      <c r="H130" s="573">
        <v>0</v>
      </c>
      <c r="I130" s="528">
        <v>0</v>
      </c>
      <c r="J130" s="528">
        <v>0</v>
      </c>
      <c r="K130" s="1667">
        <f>SUM(C130:J130)</f>
        <v>9797</v>
      </c>
      <c r="L130" s="573">
        <v>5000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8564</v>
      </c>
      <c r="I135" s="475"/>
      <c r="J135" s="613"/>
      <c r="K135" s="1669">
        <f>SUM(E135,H135)</f>
        <v>8564</v>
      </c>
      <c r="L135" s="466">
        <v>17000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8564</v>
      </c>
      <c r="I137" s="475"/>
      <c r="J137" s="613"/>
      <c r="K137" s="1667">
        <f>SUM(K133:K136)</f>
        <v>8564</v>
      </c>
      <c r="L137" s="1667">
        <f>SUM(L133:L136)</f>
        <v>17000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8564</v>
      </c>
      <c r="I139" s="475"/>
      <c r="J139" s="613"/>
      <c r="K139" s="1669">
        <f>SUM(K137,K138)</f>
        <v>8564</v>
      </c>
      <c r="L139" s="1676">
        <f>SUM(L137,L138)</f>
        <v>17000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250" t="s">
        <v>620</v>
      </c>
      <c r="B151" s="2230"/>
      <c r="C151" s="1667">
        <f>SUM(C129,C130,C139,C149,C150)</f>
        <v>331306</v>
      </c>
      <c r="D151" s="1667">
        <f t="shared" ref="D151:K151" si="16">SUM(D129,D130,D139,D149,D150)</f>
        <v>44821</v>
      </c>
      <c r="E151" s="1667">
        <f t="shared" si="16"/>
        <v>143996</v>
      </c>
      <c r="F151" s="1667">
        <f t="shared" si="16"/>
        <v>282402</v>
      </c>
      <c r="G151" s="1667">
        <f t="shared" si="16"/>
        <v>6123</v>
      </c>
      <c r="H151" s="1667">
        <f t="shared" si="16"/>
        <v>8564</v>
      </c>
      <c r="I151" s="1667">
        <f t="shared" si="16"/>
        <v>0</v>
      </c>
      <c r="J151" s="1667">
        <f t="shared" si="16"/>
        <v>0</v>
      </c>
      <c r="K151" s="1667">
        <f t="shared" si="16"/>
        <v>817212</v>
      </c>
      <c r="L151" s="1667">
        <f>SUM(L129,L130,L139,L149,L150)</f>
        <v>858690</v>
      </c>
    </row>
    <row r="152" spans="1:14" ht="12.75" customHeight="1" thickTop="1" x14ac:dyDescent="0.2">
      <c r="A152" s="2253" t="s">
        <v>1178</v>
      </c>
      <c r="B152" s="2254"/>
      <c r="C152" s="615"/>
      <c r="D152" s="615"/>
      <c r="E152" s="615"/>
      <c r="F152" s="615"/>
      <c r="G152" s="615"/>
      <c r="H152" s="615"/>
      <c r="I152" s="615"/>
      <c r="J152" s="613"/>
      <c r="K152" s="1681">
        <f>'Revenues 9-14'!D268-'Expenditures 15-22'!K151</f>
        <v>-149657</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238" t="s">
        <v>621</v>
      </c>
      <c r="B154" s="2240"/>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362464</v>
      </c>
      <c r="I169" s="613"/>
      <c r="J169" s="613"/>
      <c r="K169" s="1668">
        <f>SUM(C169:H169)</f>
        <v>362464</v>
      </c>
      <c r="L169" s="653">
        <v>1141750</v>
      </c>
    </row>
    <row r="170" spans="1:14" ht="33.75" customHeight="1" x14ac:dyDescent="0.2">
      <c r="A170" s="666" t="s">
        <v>1670</v>
      </c>
      <c r="B170" s="668" t="s">
        <v>31</v>
      </c>
      <c r="C170" s="613"/>
      <c r="D170" s="613"/>
      <c r="E170" s="613"/>
      <c r="F170" s="613"/>
      <c r="G170" s="613"/>
      <c r="H170" s="566">
        <v>785000</v>
      </c>
      <c r="I170" s="613"/>
      <c r="J170" s="613"/>
      <c r="K170" s="1668">
        <f>SUM(C170:J170)</f>
        <v>785000</v>
      </c>
      <c r="L170" s="566">
        <v>1238000</v>
      </c>
    </row>
    <row r="171" spans="1:14" ht="15.75" customHeight="1" x14ac:dyDescent="0.2">
      <c r="A171" s="618" t="s">
        <v>766</v>
      </c>
      <c r="B171" s="669" t="s">
        <v>84</v>
      </c>
      <c r="C171" s="613"/>
      <c r="D171" s="613"/>
      <c r="E171" s="466">
        <v>0</v>
      </c>
      <c r="F171" s="613"/>
      <c r="G171" s="613"/>
      <c r="H171" s="566">
        <v>1200</v>
      </c>
      <c r="I171" s="475"/>
      <c r="J171" s="613"/>
      <c r="K171" s="1668">
        <f>SUM(C171:J171)</f>
        <v>1200</v>
      </c>
      <c r="L171" s="566">
        <v>1000</v>
      </c>
    </row>
    <row r="172" spans="1:14" ht="12.75" customHeight="1" thickBot="1" x14ac:dyDescent="0.25">
      <c r="A172" s="1665" t="s">
        <v>638</v>
      </c>
      <c r="B172" s="1666" t="s">
        <v>492</v>
      </c>
      <c r="C172" s="613"/>
      <c r="D172" s="613"/>
      <c r="E172" s="1674">
        <f>SUM(E168,E169,E170,E171)</f>
        <v>0</v>
      </c>
      <c r="F172" s="613"/>
      <c r="G172" s="613"/>
      <c r="H172" s="1674">
        <f>SUM(H168,H169,H170,H171)</f>
        <v>1148664</v>
      </c>
      <c r="I172" s="635"/>
      <c r="J172" s="613"/>
      <c r="K172" s="1674">
        <f>SUM(K168,K169,K170,K171)</f>
        <v>1148664</v>
      </c>
      <c r="L172" s="1674">
        <f>SUM(L168,L169,L170,L171)</f>
        <v>2380750</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1148664</v>
      </c>
      <c r="I174" s="635"/>
      <c r="J174" s="613"/>
      <c r="K174" s="1674">
        <f>SUM(K160,K172,K173)</f>
        <v>1148664</v>
      </c>
      <c r="L174" s="1674">
        <f>SUM(L160,L172,L173)</f>
        <v>2380750</v>
      </c>
    </row>
    <row r="175" spans="1:14" ht="13.5" thickTop="1" x14ac:dyDescent="0.2">
      <c r="A175" s="2233" t="s">
        <v>996</v>
      </c>
      <c r="B175" s="2234"/>
      <c r="C175" s="613"/>
      <c r="D175" s="613"/>
      <c r="E175" s="613"/>
      <c r="F175" s="613"/>
      <c r="G175" s="613"/>
      <c r="H175" s="615"/>
      <c r="I175" s="613"/>
      <c r="J175" s="613"/>
      <c r="K175" s="1681">
        <f>'Revenues 9-14'!E268-'Expenditures 15-22'!K174</f>
        <v>163441</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6836</v>
      </c>
      <c r="D182" s="466">
        <v>795</v>
      </c>
      <c r="E182" s="466">
        <v>442692</v>
      </c>
      <c r="F182" s="466">
        <v>42548</v>
      </c>
      <c r="G182" s="466">
        <v>0</v>
      </c>
      <c r="H182" s="466">
        <v>326</v>
      </c>
      <c r="I182" s="467">
        <v>0</v>
      </c>
      <c r="J182" s="467">
        <v>0</v>
      </c>
      <c r="K182" s="1668">
        <f>SUM(C182:J182)</f>
        <v>493197</v>
      </c>
      <c r="L182" s="466">
        <v>413714</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6836</v>
      </c>
      <c r="D184" s="1674">
        <f t="shared" ref="D184:J184" si="17">SUM(D180,D182,D183)</f>
        <v>795</v>
      </c>
      <c r="E184" s="1674">
        <f t="shared" si="17"/>
        <v>442692</v>
      </c>
      <c r="F184" s="1674">
        <f t="shared" si="17"/>
        <v>42548</v>
      </c>
      <c r="G184" s="1674">
        <f t="shared" si="17"/>
        <v>0</v>
      </c>
      <c r="H184" s="1674">
        <f t="shared" si="17"/>
        <v>326</v>
      </c>
      <c r="I184" s="1674">
        <f t="shared" si="17"/>
        <v>0</v>
      </c>
      <c r="J184" s="1674">
        <f t="shared" si="17"/>
        <v>0</v>
      </c>
      <c r="K184" s="1674">
        <f>SUM(K180,K182,K183)</f>
        <v>493197</v>
      </c>
      <c r="L184" s="1674">
        <f>SUM(L180, L182:L183)</f>
        <v>413714</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6836</v>
      </c>
      <c r="D210" s="1667">
        <f>SUM(D184,D185)</f>
        <v>795</v>
      </c>
      <c r="E210" s="1667">
        <f>SUM(E184,E185,E196)</f>
        <v>442692</v>
      </c>
      <c r="F210" s="1667">
        <f>SUM(F184,F185)</f>
        <v>42548</v>
      </c>
      <c r="G210" s="1667">
        <f>SUM(G184,G185)</f>
        <v>0</v>
      </c>
      <c r="H210" s="1667">
        <f>SUM(H184,H185,H196,H208,H209)</f>
        <v>326</v>
      </c>
      <c r="I210" s="1667">
        <f>SUM(I184,I185)</f>
        <v>0</v>
      </c>
      <c r="J210" s="1667">
        <f>SUM(J184,J185)</f>
        <v>0</v>
      </c>
      <c r="K210" s="1668">
        <f>SUM(K184,K185,K196,K208,K209)</f>
        <v>493197</v>
      </c>
      <c r="L210" s="1667">
        <f>SUM(L184,L185,L196,L208,L209)</f>
        <v>413714</v>
      </c>
    </row>
    <row r="211" spans="1:14" ht="13.5" thickTop="1" x14ac:dyDescent="0.2">
      <c r="A211" s="2233" t="s">
        <v>996</v>
      </c>
      <c r="B211" s="2234"/>
      <c r="C211" s="615"/>
      <c r="D211" s="615"/>
      <c r="E211" s="615"/>
      <c r="F211" s="615"/>
      <c r="G211" s="615"/>
      <c r="H211" s="615"/>
      <c r="I211" s="613"/>
      <c r="J211" s="613"/>
      <c r="K211" s="1681">
        <f>'Revenues 9-14'!F268-'Expenditures 15-22'!K210</f>
        <v>-26086</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255" t="s">
        <v>965</v>
      </c>
      <c r="B213" s="2256"/>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55997</v>
      </c>
      <c r="E215" s="613"/>
      <c r="F215" s="613"/>
      <c r="G215" s="613"/>
      <c r="H215" s="613"/>
      <c r="I215" s="613"/>
      <c r="J215" s="613"/>
      <c r="K215" s="1668">
        <f>D215</f>
        <v>55997</v>
      </c>
      <c r="L215" s="466">
        <v>55300</v>
      </c>
    </row>
    <row r="216" spans="1:14" x14ac:dyDescent="0.2">
      <c r="A216" s="1501" t="s">
        <v>163</v>
      </c>
      <c r="B216" s="611" t="s">
        <v>967</v>
      </c>
      <c r="C216" s="613"/>
      <c r="D216" s="467">
        <v>3694</v>
      </c>
      <c r="E216" s="613"/>
      <c r="F216" s="613"/>
      <c r="G216" s="613"/>
      <c r="H216" s="613"/>
      <c r="I216" s="613"/>
      <c r="J216" s="613"/>
      <c r="K216" s="1668">
        <f t="shared" ref="K216:K228" si="19">D216</f>
        <v>3694</v>
      </c>
      <c r="L216" s="466">
        <v>1800</v>
      </c>
    </row>
    <row r="217" spans="1:14" x14ac:dyDescent="0.2">
      <c r="A217" s="1501" t="s">
        <v>164</v>
      </c>
      <c r="B217" s="611">
        <v>1200</v>
      </c>
      <c r="C217" s="613"/>
      <c r="D217" s="466">
        <v>14085</v>
      </c>
      <c r="E217" s="613"/>
      <c r="F217" s="613"/>
      <c r="G217" s="613"/>
      <c r="H217" s="613"/>
      <c r="I217" s="613"/>
      <c r="J217" s="613"/>
      <c r="K217" s="1668">
        <f t="shared" si="19"/>
        <v>14085</v>
      </c>
      <c r="L217" s="466">
        <v>21500</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4028</v>
      </c>
      <c r="E219" s="613"/>
      <c r="F219" s="613"/>
      <c r="G219" s="613"/>
      <c r="H219" s="613"/>
      <c r="I219" s="613"/>
      <c r="J219" s="613"/>
      <c r="K219" s="1668">
        <f t="shared" si="19"/>
        <v>4028</v>
      </c>
      <c r="L219" s="466">
        <v>2250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594</v>
      </c>
      <c r="E222" s="613"/>
      <c r="F222" s="613"/>
      <c r="G222" s="613"/>
      <c r="H222" s="613"/>
      <c r="I222" s="613"/>
      <c r="J222" s="613"/>
      <c r="K222" s="1668">
        <f t="shared" si="19"/>
        <v>594</v>
      </c>
      <c r="L222" s="466">
        <v>500</v>
      </c>
    </row>
    <row r="223" spans="1:14" x14ac:dyDescent="0.2">
      <c r="A223" s="1501" t="s">
        <v>963</v>
      </c>
      <c r="B223" s="611">
        <v>1500</v>
      </c>
      <c r="C223" s="613"/>
      <c r="D223" s="466">
        <v>5662</v>
      </c>
      <c r="E223" s="613"/>
      <c r="F223" s="613"/>
      <c r="G223" s="613"/>
      <c r="H223" s="613"/>
      <c r="I223" s="613"/>
      <c r="J223" s="613"/>
      <c r="K223" s="1668">
        <f t="shared" si="19"/>
        <v>5662</v>
      </c>
      <c r="L223" s="466">
        <v>5450</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4500</v>
      </c>
    </row>
    <row r="226" spans="1:12" x14ac:dyDescent="0.2">
      <c r="A226" s="1501" t="s">
        <v>724</v>
      </c>
      <c r="B226" s="611" t="s">
        <v>162</v>
      </c>
      <c r="C226" s="613"/>
      <c r="D226" s="467">
        <v>442</v>
      </c>
      <c r="E226" s="613"/>
      <c r="F226" s="613"/>
      <c r="G226" s="613"/>
      <c r="H226" s="613"/>
      <c r="I226" s="613"/>
      <c r="J226" s="613"/>
      <c r="K226" s="1668">
        <f t="shared" si="19"/>
        <v>442</v>
      </c>
      <c r="L226" s="466">
        <v>450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948</v>
      </c>
      <c r="E228" s="613"/>
      <c r="F228" s="613"/>
      <c r="G228" s="613"/>
      <c r="H228" s="613"/>
      <c r="I228" s="613"/>
      <c r="J228" s="613"/>
      <c r="K228" s="1668">
        <f t="shared" si="19"/>
        <v>948</v>
      </c>
      <c r="L228" s="466">
        <v>800</v>
      </c>
    </row>
    <row r="229" spans="1:12" ht="12.75" customHeight="1" thickBot="1" x14ac:dyDescent="0.25">
      <c r="A229" s="1665" t="s">
        <v>715</v>
      </c>
      <c r="B229" s="1672" t="s">
        <v>570</v>
      </c>
      <c r="C229" s="613"/>
      <c r="D229" s="1667">
        <f>SUM(D215:D228)</f>
        <v>85450</v>
      </c>
      <c r="E229" s="613"/>
      <c r="F229" s="613"/>
      <c r="G229" s="613"/>
      <c r="H229" s="613"/>
      <c r="I229" s="613"/>
      <c r="J229" s="613"/>
      <c r="K229" s="1667">
        <f>SUM(K215:K228)</f>
        <v>85450</v>
      </c>
      <c r="L229" s="1667">
        <f>SUM(L215:L228)</f>
        <v>92550</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2800</v>
      </c>
      <c r="E233" s="613"/>
      <c r="F233" s="613"/>
      <c r="G233" s="613"/>
      <c r="H233" s="613"/>
      <c r="I233" s="613"/>
      <c r="J233" s="613"/>
      <c r="K233" s="1668">
        <f t="shared" si="20"/>
        <v>2800</v>
      </c>
      <c r="L233" s="466">
        <v>3650</v>
      </c>
    </row>
    <row r="234" spans="1:12" x14ac:dyDescent="0.2">
      <c r="A234" s="1501" t="s">
        <v>198</v>
      </c>
      <c r="B234" s="611">
        <v>2130</v>
      </c>
      <c r="C234" s="613"/>
      <c r="D234" s="466">
        <v>8901</v>
      </c>
      <c r="E234" s="613"/>
      <c r="F234" s="613"/>
      <c r="G234" s="613"/>
      <c r="H234" s="613"/>
      <c r="I234" s="613"/>
      <c r="J234" s="613"/>
      <c r="K234" s="1668">
        <f t="shared" si="20"/>
        <v>8901</v>
      </c>
      <c r="L234" s="466">
        <v>8400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570</v>
      </c>
      <c r="E236" s="613"/>
      <c r="F236" s="613"/>
      <c r="G236" s="613"/>
      <c r="H236" s="613"/>
      <c r="I236" s="613"/>
      <c r="J236" s="613"/>
      <c r="K236" s="1668">
        <f t="shared" si="20"/>
        <v>570</v>
      </c>
      <c r="L236" s="466">
        <v>525</v>
      </c>
    </row>
    <row r="237" spans="1:12" x14ac:dyDescent="0.2">
      <c r="A237" s="1501" t="s">
        <v>165</v>
      </c>
      <c r="B237" s="611">
        <v>2190</v>
      </c>
      <c r="C237" s="613"/>
      <c r="D237" s="466">
        <v>318</v>
      </c>
      <c r="E237" s="613"/>
      <c r="F237" s="613"/>
      <c r="G237" s="613"/>
      <c r="H237" s="613"/>
      <c r="I237" s="613"/>
      <c r="J237" s="613"/>
      <c r="K237" s="1668">
        <f t="shared" si="20"/>
        <v>318</v>
      </c>
      <c r="L237" s="466">
        <v>475</v>
      </c>
    </row>
    <row r="238" spans="1:12" ht="12.75" customHeight="1" thickBot="1" x14ac:dyDescent="0.25">
      <c r="A238" s="1665" t="s">
        <v>560</v>
      </c>
      <c r="B238" s="1672" t="s">
        <v>716</v>
      </c>
      <c r="C238" s="613"/>
      <c r="D238" s="1667">
        <f>SUM(D232:D237)</f>
        <v>12589</v>
      </c>
      <c r="E238" s="613"/>
      <c r="F238" s="613"/>
      <c r="G238" s="613"/>
      <c r="H238" s="613"/>
      <c r="I238" s="613"/>
      <c r="J238" s="613"/>
      <c r="K238" s="1667">
        <f>SUM(K232:K237)</f>
        <v>12589</v>
      </c>
      <c r="L238" s="1667">
        <f>SUM(L232:L237)</f>
        <v>13050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1494</v>
      </c>
      <c r="E240" s="613"/>
      <c r="F240" s="613"/>
      <c r="G240" s="613"/>
      <c r="H240" s="613"/>
      <c r="I240" s="613"/>
      <c r="J240" s="613"/>
      <c r="K240" s="1669">
        <f>D240</f>
        <v>1494</v>
      </c>
      <c r="L240" s="479">
        <v>1750</v>
      </c>
    </row>
    <row r="241" spans="1:12" x14ac:dyDescent="0.2">
      <c r="A241" s="1501" t="s">
        <v>815</v>
      </c>
      <c r="B241" s="611">
        <v>2220</v>
      </c>
      <c r="C241" s="613"/>
      <c r="D241" s="466">
        <v>2373</v>
      </c>
      <c r="E241" s="613"/>
      <c r="F241" s="613"/>
      <c r="G241" s="613"/>
      <c r="H241" s="613"/>
      <c r="I241" s="613"/>
      <c r="J241" s="613"/>
      <c r="K241" s="1669">
        <f>D241</f>
        <v>2373</v>
      </c>
      <c r="L241" s="466">
        <v>2600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3867</v>
      </c>
      <c r="E243" s="613"/>
      <c r="F243" s="613"/>
      <c r="G243" s="613"/>
      <c r="H243" s="613"/>
      <c r="I243" s="613"/>
      <c r="J243" s="613"/>
      <c r="K243" s="1667">
        <f>SUM(K240:K242)</f>
        <v>3867</v>
      </c>
      <c r="L243" s="1667">
        <f>SUM(L240:L242)</f>
        <v>4350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0</v>
      </c>
      <c r="E245" s="613"/>
      <c r="F245" s="613"/>
      <c r="G245" s="613"/>
      <c r="H245" s="613"/>
      <c r="I245" s="613"/>
      <c r="J245" s="613"/>
      <c r="K245" s="1669">
        <f>D245</f>
        <v>0</v>
      </c>
      <c r="L245" s="479">
        <v>250</v>
      </c>
    </row>
    <row r="246" spans="1:12" x14ac:dyDescent="0.2">
      <c r="A246" s="1501" t="s">
        <v>818</v>
      </c>
      <c r="B246" s="611">
        <v>2320</v>
      </c>
      <c r="C246" s="613"/>
      <c r="D246" s="466">
        <v>4980</v>
      </c>
      <c r="E246" s="613"/>
      <c r="F246" s="613"/>
      <c r="G246" s="613"/>
      <c r="H246" s="613"/>
      <c r="I246" s="613"/>
      <c r="J246" s="613"/>
      <c r="K246" s="1669">
        <f t="shared" ref="K246:K256" si="21">D246</f>
        <v>4980</v>
      </c>
      <c r="L246" s="466">
        <v>4950</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4830</v>
      </c>
      <c r="E254" s="613"/>
      <c r="F254" s="613"/>
      <c r="G254" s="613"/>
      <c r="H254" s="613"/>
      <c r="I254" s="613"/>
      <c r="J254" s="613"/>
      <c r="K254" s="1669">
        <f t="shared" si="21"/>
        <v>4830</v>
      </c>
      <c r="L254" s="466">
        <v>1600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9810</v>
      </c>
      <c r="E257" s="613"/>
      <c r="F257" s="613"/>
      <c r="G257" s="613"/>
      <c r="H257" s="613"/>
      <c r="I257" s="613"/>
      <c r="J257" s="613"/>
      <c r="K257" s="1667">
        <f>SUM(K245:K256)</f>
        <v>9810</v>
      </c>
      <c r="L257" s="1667">
        <f>SUM(L245:L256)</f>
        <v>6800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15423</v>
      </c>
      <c r="E259" s="613"/>
      <c r="F259" s="613"/>
      <c r="G259" s="613"/>
      <c r="H259" s="613"/>
      <c r="I259" s="613"/>
      <c r="J259" s="613"/>
      <c r="K259" s="1669">
        <f>D259</f>
        <v>15423</v>
      </c>
      <c r="L259" s="479">
        <v>15250</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15423</v>
      </c>
      <c r="E261" s="613"/>
      <c r="F261" s="613"/>
      <c r="G261" s="613"/>
      <c r="H261" s="613"/>
      <c r="I261" s="613"/>
      <c r="J261" s="613"/>
      <c r="K261" s="1667">
        <f>SUM(K259:K260)</f>
        <v>15423</v>
      </c>
      <c r="L261" s="1667">
        <f>SUM(L259:L260)</f>
        <v>15250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8241</v>
      </c>
      <c r="E264" s="613"/>
      <c r="F264" s="613"/>
      <c r="G264" s="613"/>
      <c r="H264" s="613"/>
      <c r="I264" s="613"/>
      <c r="J264" s="613"/>
      <c r="K264" s="1669">
        <f t="shared" ref="K264:K269" si="22">D264</f>
        <v>8241</v>
      </c>
      <c r="L264" s="466">
        <v>9250</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37423</v>
      </c>
      <c r="E266" s="613"/>
      <c r="F266" s="613"/>
      <c r="G266" s="613"/>
      <c r="H266" s="613"/>
      <c r="I266" s="613"/>
      <c r="J266" s="613"/>
      <c r="K266" s="1669">
        <f t="shared" si="22"/>
        <v>37423</v>
      </c>
      <c r="L266" s="466">
        <v>40200</v>
      </c>
    </row>
    <row r="267" spans="1:14" x14ac:dyDescent="0.2">
      <c r="A267" s="1501" t="s">
        <v>953</v>
      </c>
      <c r="B267" s="611">
        <v>2550</v>
      </c>
      <c r="C267" s="613"/>
      <c r="D267" s="466">
        <v>112</v>
      </c>
      <c r="E267" s="613"/>
      <c r="F267" s="613"/>
      <c r="G267" s="613"/>
      <c r="H267" s="613"/>
      <c r="I267" s="613"/>
      <c r="J267" s="613"/>
      <c r="K267" s="1669">
        <f t="shared" si="22"/>
        <v>112</v>
      </c>
      <c r="L267" s="466">
        <v>1260</v>
      </c>
    </row>
    <row r="268" spans="1:14" x14ac:dyDescent="0.2">
      <c r="A268" s="1501" t="s">
        <v>100</v>
      </c>
      <c r="B268" s="611">
        <v>2560</v>
      </c>
      <c r="C268" s="613"/>
      <c r="D268" s="466">
        <v>14565</v>
      </c>
      <c r="E268" s="613"/>
      <c r="F268" s="613"/>
      <c r="G268" s="613"/>
      <c r="H268" s="613"/>
      <c r="I268" s="613"/>
      <c r="J268" s="613"/>
      <c r="K268" s="1669">
        <f t="shared" si="22"/>
        <v>14565</v>
      </c>
      <c r="L268" s="466">
        <v>16000</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60341</v>
      </c>
      <c r="E270" s="613"/>
      <c r="F270" s="613"/>
      <c r="G270" s="613"/>
      <c r="H270" s="613"/>
      <c r="I270" s="613"/>
      <c r="J270" s="613"/>
      <c r="K270" s="1667">
        <f>SUM(K263:K269)</f>
        <v>60341</v>
      </c>
      <c r="L270" s="1667">
        <f>SUM(L263:L269)</f>
        <v>66710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75</v>
      </c>
    </row>
    <row r="276" spans="1:12" x14ac:dyDescent="0.2">
      <c r="A276" s="1501" t="s">
        <v>404</v>
      </c>
      <c r="B276" s="611">
        <v>2660</v>
      </c>
      <c r="C276" s="613"/>
      <c r="D276" s="466">
        <v>13092</v>
      </c>
      <c r="E276" s="613"/>
      <c r="F276" s="613"/>
      <c r="G276" s="613"/>
      <c r="H276" s="613"/>
      <c r="I276" s="613"/>
      <c r="J276" s="613"/>
      <c r="K276" s="1669">
        <f>D276</f>
        <v>13092</v>
      </c>
      <c r="L276" s="466">
        <v>2950</v>
      </c>
    </row>
    <row r="277" spans="1:12" ht="12.75" customHeight="1" thickBot="1" x14ac:dyDescent="0.25">
      <c r="A277" s="1688" t="s">
        <v>37</v>
      </c>
      <c r="B277" s="1666" t="s">
        <v>36</v>
      </c>
      <c r="C277" s="613"/>
      <c r="D277" s="1667">
        <f>SUM(D272:D276)</f>
        <v>13092</v>
      </c>
      <c r="E277" s="613"/>
      <c r="F277" s="613"/>
      <c r="G277" s="613"/>
      <c r="H277" s="613"/>
      <c r="I277" s="613"/>
      <c r="J277" s="613"/>
      <c r="K277" s="1667">
        <f>SUM(K272:K276)</f>
        <v>13092</v>
      </c>
      <c r="L277" s="1667">
        <f>SUM(L272:L276)</f>
        <v>3025</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115122</v>
      </c>
      <c r="E279" s="613"/>
      <c r="F279" s="613"/>
      <c r="G279" s="613"/>
      <c r="H279" s="613"/>
      <c r="I279" s="613"/>
      <c r="J279" s="613"/>
      <c r="K279" s="1674">
        <f>SUM(K238,K243,K257,K261,K270,K277,K278)</f>
        <v>115122</v>
      </c>
      <c r="L279" s="1674">
        <f>SUM(L238,L243,L257,L261,L270,L277,L278)</f>
        <v>109185</v>
      </c>
    </row>
    <row r="280" spans="1:12" ht="15.75" customHeight="1" thickTop="1" thickBot="1" x14ac:dyDescent="0.25">
      <c r="A280" s="1621" t="s">
        <v>875</v>
      </c>
      <c r="B280" s="1610">
        <v>3000</v>
      </c>
      <c r="C280" s="613"/>
      <c r="D280" s="573">
        <v>173</v>
      </c>
      <c r="E280" s="613"/>
      <c r="F280" s="613"/>
      <c r="G280" s="613"/>
      <c r="H280" s="613"/>
      <c r="I280" s="613"/>
      <c r="J280" s="613"/>
      <c r="K280" s="1676">
        <f>D280</f>
        <v>173</v>
      </c>
      <c r="L280" s="573">
        <v>25</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251" t="s">
        <v>505</v>
      </c>
      <c r="B295" s="2252"/>
      <c r="C295" s="613"/>
      <c r="D295" s="1667">
        <f>SUM(D229,D279,D280,D285)</f>
        <v>200745</v>
      </c>
      <c r="E295" s="613"/>
      <c r="F295" s="613"/>
      <c r="G295" s="613"/>
      <c r="H295" s="1667">
        <f>H293</f>
        <v>0</v>
      </c>
      <c r="I295" s="613"/>
      <c r="J295" s="613"/>
      <c r="K295" s="1667">
        <f>SUM(K229,K279,K280,K285,K293,K294)</f>
        <v>200745</v>
      </c>
      <c r="L295" s="1667">
        <f>SUM(L229,L279,L280,L285,L293,L294)</f>
        <v>201760</v>
      </c>
    </row>
    <row r="296" spans="1:14" ht="13.5" thickTop="1" x14ac:dyDescent="0.2">
      <c r="A296" s="2233" t="s">
        <v>996</v>
      </c>
      <c r="B296" s="2234"/>
      <c r="C296" s="613"/>
      <c r="D296" s="615"/>
      <c r="E296" s="613"/>
      <c r="F296" s="613"/>
      <c r="G296" s="613"/>
      <c r="H296" s="684"/>
      <c r="I296" s="613"/>
      <c r="J296" s="613"/>
      <c r="K296" s="1681">
        <f>'Revenues 9-14'!G268-'Expenditures 15-22'!K295</f>
        <v>-39537</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243" t="s">
        <v>143</v>
      </c>
      <c r="B298" s="2237"/>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363727</v>
      </c>
      <c r="F301" s="466">
        <v>293</v>
      </c>
      <c r="G301" s="466">
        <v>21141</v>
      </c>
      <c r="H301" s="466">
        <v>0</v>
      </c>
      <c r="I301" s="467">
        <v>0</v>
      </c>
      <c r="J301" s="467">
        <v>0</v>
      </c>
      <c r="K301" s="1668">
        <f>SUM(C301:J301)</f>
        <v>385161</v>
      </c>
      <c r="L301" s="467">
        <v>27500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363727</v>
      </c>
      <c r="F303" s="1674">
        <f t="shared" si="23"/>
        <v>293</v>
      </c>
      <c r="G303" s="1674">
        <f t="shared" si="23"/>
        <v>21141</v>
      </c>
      <c r="H303" s="1674">
        <f t="shared" si="23"/>
        <v>0</v>
      </c>
      <c r="I303" s="1674">
        <f t="shared" si="23"/>
        <v>0</v>
      </c>
      <c r="J303" s="1674">
        <f t="shared" si="23"/>
        <v>0</v>
      </c>
      <c r="K303" s="1674">
        <f t="shared" si="23"/>
        <v>385161</v>
      </c>
      <c r="L303" s="1674">
        <f t="shared" si="23"/>
        <v>27500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248" t="s">
        <v>277</v>
      </c>
      <c r="B312" s="2249"/>
      <c r="C312" s="1667">
        <f>SUM(C303)</f>
        <v>0</v>
      </c>
      <c r="D312" s="1667">
        <f>SUM(D303)</f>
        <v>0</v>
      </c>
      <c r="E312" s="1667">
        <f>SUM(E303,E310)</f>
        <v>363727</v>
      </c>
      <c r="F312" s="1667">
        <f>SUM(F303)</f>
        <v>293</v>
      </c>
      <c r="G312" s="1667">
        <f>SUM(G303)</f>
        <v>21141</v>
      </c>
      <c r="H312" s="1667">
        <f>SUM(H303,H310)</f>
        <v>0</v>
      </c>
      <c r="I312" s="1667">
        <f>SUM(I303)</f>
        <v>0</v>
      </c>
      <c r="J312" s="1667">
        <f>SUM(J303)</f>
        <v>0</v>
      </c>
      <c r="K312" s="1667">
        <f>SUM(K303,K310,K311)</f>
        <v>385161</v>
      </c>
      <c r="L312" s="1667">
        <f>SUM(L303,L310,L311)</f>
        <v>27500</v>
      </c>
      <c r="M312" s="662"/>
      <c r="N312" s="662"/>
    </row>
    <row r="313" spans="1:14" ht="13.5" thickTop="1" x14ac:dyDescent="0.2">
      <c r="A313" s="2244" t="s">
        <v>996</v>
      </c>
      <c r="B313" s="2245"/>
      <c r="C313" s="623"/>
      <c r="D313" s="623"/>
      <c r="E313" s="623"/>
      <c r="F313" s="623"/>
      <c r="G313" s="623"/>
      <c r="H313" s="623"/>
      <c r="I313" s="623"/>
      <c r="J313" s="623"/>
      <c r="K313" s="1682">
        <f>'Revenues 9-14'!H268-'Expenditures 15-22'!K312</f>
        <v>-76994</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257" t="s">
        <v>149</v>
      </c>
      <c r="B315" s="2258"/>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59" t="s">
        <v>898</v>
      </c>
      <c r="B317" s="2258"/>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66987</v>
      </c>
      <c r="F320" s="467">
        <v>0</v>
      </c>
      <c r="G320" s="467">
        <v>0</v>
      </c>
      <c r="H320" s="467">
        <v>0</v>
      </c>
      <c r="I320" s="467">
        <v>0</v>
      </c>
      <c r="J320" s="467">
        <v>0</v>
      </c>
      <c r="K320" s="1668">
        <f t="shared" ref="K320:K327" si="24">SUM(C320:J320)</f>
        <v>66987</v>
      </c>
      <c r="L320" s="467">
        <v>2500</v>
      </c>
      <c r="M320" s="662"/>
      <c r="N320" s="662"/>
    </row>
    <row r="321" spans="1:14" s="671" customFormat="1" x14ac:dyDescent="0.2">
      <c r="A321" s="1516" t="s">
        <v>300</v>
      </c>
      <c r="B321" s="694" t="s">
        <v>283</v>
      </c>
      <c r="C321" s="467">
        <v>0</v>
      </c>
      <c r="D321" s="467">
        <v>0</v>
      </c>
      <c r="E321" s="467">
        <v>0</v>
      </c>
      <c r="F321" s="467">
        <v>0</v>
      </c>
      <c r="G321" s="467">
        <v>0</v>
      </c>
      <c r="H321" s="467">
        <v>0</v>
      </c>
      <c r="I321" s="467">
        <v>0</v>
      </c>
      <c r="J321" s="467">
        <v>0</v>
      </c>
      <c r="K321" s="1668">
        <f t="shared" si="24"/>
        <v>0</v>
      </c>
      <c r="L321" s="467">
        <v>0</v>
      </c>
      <c r="M321" s="662"/>
      <c r="N321" s="662"/>
    </row>
    <row r="322" spans="1:14" s="671" customFormat="1" x14ac:dyDescent="0.2">
      <c r="A322" s="1516" t="s">
        <v>238</v>
      </c>
      <c r="B322" s="694" t="s">
        <v>284</v>
      </c>
      <c r="C322" s="467">
        <v>0</v>
      </c>
      <c r="D322" s="467">
        <v>0</v>
      </c>
      <c r="E322" s="467">
        <v>71865</v>
      </c>
      <c r="F322" s="467">
        <v>0</v>
      </c>
      <c r="G322" s="467">
        <v>0</v>
      </c>
      <c r="H322" s="467">
        <v>0</v>
      </c>
      <c r="I322" s="467">
        <v>0</v>
      </c>
      <c r="J322" s="467">
        <v>0</v>
      </c>
      <c r="K322" s="1668">
        <f t="shared" si="24"/>
        <v>71865</v>
      </c>
      <c r="L322" s="467">
        <v>64000</v>
      </c>
      <c r="M322" s="662"/>
      <c r="N322" s="662"/>
    </row>
    <row r="323" spans="1:14" s="671" customFormat="1" x14ac:dyDescent="0.2">
      <c r="A323" s="1516" t="s">
        <v>702</v>
      </c>
      <c r="B323" s="694" t="s">
        <v>285</v>
      </c>
      <c r="C323" s="467">
        <v>0</v>
      </c>
      <c r="D323" s="467">
        <v>0</v>
      </c>
      <c r="E323" s="467">
        <v>23589</v>
      </c>
      <c r="F323" s="467">
        <v>0</v>
      </c>
      <c r="G323" s="467">
        <v>0</v>
      </c>
      <c r="H323" s="467">
        <v>0</v>
      </c>
      <c r="I323" s="467">
        <v>0</v>
      </c>
      <c r="J323" s="467">
        <v>0</v>
      </c>
      <c r="K323" s="1668">
        <f t="shared" si="24"/>
        <v>23589</v>
      </c>
      <c r="L323" s="467">
        <v>6000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156810</v>
      </c>
      <c r="D325" s="467">
        <v>17481</v>
      </c>
      <c r="E325" s="467">
        <v>2698</v>
      </c>
      <c r="F325" s="467">
        <v>0</v>
      </c>
      <c r="G325" s="467">
        <v>0</v>
      </c>
      <c r="H325" s="467">
        <v>0</v>
      </c>
      <c r="I325" s="467">
        <v>0</v>
      </c>
      <c r="J325" s="467">
        <v>0</v>
      </c>
      <c r="K325" s="1668">
        <f t="shared" si="24"/>
        <v>176989</v>
      </c>
      <c r="L325" s="467">
        <v>113300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13026</v>
      </c>
      <c r="F327" s="467">
        <v>0</v>
      </c>
      <c r="G327" s="467">
        <v>0</v>
      </c>
      <c r="H327" s="467">
        <v>0</v>
      </c>
      <c r="I327" s="467">
        <v>0</v>
      </c>
      <c r="J327" s="467">
        <v>0</v>
      </c>
      <c r="K327" s="1668">
        <f t="shared" si="24"/>
        <v>13026</v>
      </c>
      <c r="L327" s="467">
        <v>75000</v>
      </c>
      <c r="M327" s="662"/>
      <c r="N327" s="662"/>
    </row>
    <row r="328" spans="1:14" s="671" customFormat="1" x14ac:dyDescent="0.2">
      <c r="A328" s="1517" t="s">
        <v>472</v>
      </c>
      <c r="B328" s="687" t="s">
        <v>1132</v>
      </c>
      <c r="C328" s="473">
        <v>0</v>
      </c>
      <c r="D328" s="473">
        <v>0</v>
      </c>
      <c r="E328" s="473">
        <v>0</v>
      </c>
      <c r="F328" s="473">
        <v>0</v>
      </c>
      <c r="G328" s="473">
        <v>0</v>
      </c>
      <c r="H328" s="473">
        <v>0</v>
      </c>
      <c r="I328" s="473">
        <v>0</v>
      </c>
      <c r="J328" s="473">
        <v>0</v>
      </c>
      <c r="K328" s="1696">
        <f>SUM(C328:J328)</f>
        <v>0</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0</v>
      </c>
      <c r="M329" s="662"/>
      <c r="N329" s="662"/>
    </row>
    <row r="330" spans="1:14" s="671" customFormat="1" ht="12.75" customHeight="1" thickBot="1" x14ac:dyDescent="0.25">
      <c r="A330" s="1697" t="s">
        <v>717</v>
      </c>
      <c r="B330" s="1666" t="s">
        <v>569</v>
      </c>
      <c r="C330" s="1667">
        <f>SUM(C319:C329)</f>
        <v>156810</v>
      </c>
      <c r="D330" s="1667">
        <f t="shared" ref="D330:J330" si="25">SUM(D319:D329)</f>
        <v>17481</v>
      </c>
      <c r="E330" s="1667">
        <f t="shared" si="25"/>
        <v>178165</v>
      </c>
      <c r="F330" s="1667">
        <f t="shared" si="25"/>
        <v>0</v>
      </c>
      <c r="G330" s="1667">
        <f t="shared" si="25"/>
        <v>0</v>
      </c>
      <c r="H330" s="1667">
        <f t="shared" si="25"/>
        <v>0</v>
      </c>
      <c r="I330" s="1667">
        <f t="shared" si="25"/>
        <v>0</v>
      </c>
      <c r="J330" s="1667">
        <f t="shared" si="25"/>
        <v>0</v>
      </c>
      <c r="K330" s="1667">
        <f>SUM(K319:K329)</f>
        <v>352456</v>
      </c>
      <c r="L330" s="1667">
        <f>SUM(L319:L329)</f>
        <v>260800</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156810</v>
      </c>
      <c r="D342" s="1667">
        <f>SUM(D330)</f>
        <v>17481</v>
      </c>
      <c r="E342" s="1667">
        <f>SUM(E330)</f>
        <v>178165</v>
      </c>
      <c r="F342" s="1667">
        <f>SUM(F330)</f>
        <v>0</v>
      </c>
      <c r="G342" s="1667">
        <f>SUM(G330)</f>
        <v>0</v>
      </c>
      <c r="H342" s="1667">
        <f>SUM(H330,H334,H340)</f>
        <v>0</v>
      </c>
      <c r="I342" s="1667">
        <f>SUM(I330)</f>
        <v>0</v>
      </c>
      <c r="J342" s="1667">
        <f>SUM(J330)</f>
        <v>0</v>
      </c>
      <c r="K342" s="1667">
        <f>SUM(K330,K334,K340)</f>
        <v>352456</v>
      </c>
      <c r="L342" s="1674">
        <f>SUM(L330,L340,L341)</f>
        <v>260800</v>
      </c>
    </row>
    <row r="343" spans="1:14" ht="12.75" customHeight="1" thickTop="1" x14ac:dyDescent="0.2">
      <c r="A343" s="2246" t="s">
        <v>996</v>
      </c>
      <c r="B343" s="2247"/>
      <c r="C343" s="613"/>
      <c r="D343" s="613"/>
      <c r="E343" s="613"/>
      <c r="F343" s="613"/>
      <c r="G343" s="613"/>
      <c r="H343" s="613"/>
      <c r="I343" s="613"/>
      <c r="J343" s="613"/>
      <c r="K343" s="1681">
        <f>'Revenues 9-14'!J268-'Expenditures 15-22'!K342</f>
        <v>-11093</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236" t="s">
        <v>966</v>
      </c>
      <c r="B345" s="2237"/>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0</v>
      </c>
    </row>
    <row r="349" spans="1:14" x14ac:dyDescent="0.2">
      <c r="A349" s="1501" t="s">
        <v>197</v>
      </c>
      <c r="B349" s="611">
        <v>2540</v>
      </c>
      <c r="C349" s="466">
        <v>0</v>
      </c>
      <c r="D349" s="466">
        <v>0</v>
      </c>
      <c r="E349" s="466">
        <v>0</v>
      </c>
      <c r="F349" s="466">
        <v>0</v>
      </c>
      <c r="G349" s="466">
        <v>4167522</v>
      </c>
      <c r="H349" s="466">
        <v>0</v>
      </c>
      <c r="I349" s="467">
        <v>0</v>
      </c>
      <c r="J349" s="467">
        <v>0</v>
      </c>
      <c r="K349" s="1668">
        <f>SUM(C349:J349)</f>
        <v>4167522</v>
      </c>
      <c r="L349" s="466">
        <v>2000000</v>
      </c>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4167522</v>
      </c>
      <c r="H350" s="1667">
        <f t="shared" si="26"/>
        <v>0</v>
      </c>
      <c r="I350" s="1667">
        <f t="shared" si="26"/>
        <v>0</v>
      </c>
      <c r="J350" s="1667">
        <f t="shared" si="26"/>
        <v>0</v>
      </c>
      <c r="K350" s="1667">
        <f t="shared" si="26"/>
        <v>4167522</v>
      </c>
      <c r="L350" s="1667">
        <f t="shared" si="26"/>
        <v>2000000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4167522</v>
      </c>
      <c r="H352" s="1667">
        <f t="shared" si="27"/>
        <v>0</v>
      </c>
      <c r="I352" s="1667">
        <f t="shared" si="27"/>
        <v>0</v>
      </c>
      <c r="J352" s="1667">
        <f t="shared" si="27"/>
        <v>0</v>
      </c>
      <c r="K352" s="1667">
        <f t="shared" si="27"/>
        <v>4167522</v>
      </c>
      <c r="L352" s="1667">
        <f t="shared" si="27"/>
        <v>2000000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4167522</v>
      </c>
      <c r="H367" s="1667">
        <f t="shared" si="28"/>
        <v>0</v>
      </c>
      <c r="I367" s="1667">
        <f t="shared" si="28"/>
        <v>0</v>
      </c>
      <c r="J367" s="1667">
        <f t="shared" si="28"/>
        <v>0</v>
      </c>
      <c r="K367" s="1667">
        <f t="shared" si="28"/>
        <v>4167522</v>
      </c>
      <c r="L367" s="1667">
        <f t="shared" si="28"/>
        <v>2000000</v>
      </c>
    </row>
    <row r="368" spans="1:14" ht="13.5" thickTop="1" x14ac:dyDescent="0.2">
      <c r="A368" s="2233" t="s">
        <v>996</v>
      </c>
      <c r="B368" s="2234"/>
      <c r="C368" s="651"/>
      <c r="D368" s="651"/>
      <c r="E368" s="623"/>
      <c r="F368" s="623"/>
      <c r="G368" s="623"/>
      <c r="H368" s="623"/>
      <c r="I368" s="623"/>
      <c r="J368" s="620"/>
      <c r="K368" s="1668">
        <f>'Revenues 9-14'!K268-'Expenditures 15-22'!K367</f>
        <v>-4097649</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3" right="0.15" top="0.86" bottom="0"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260" t="s">
        <v>1802</v>
      </c>
      <c r="B2" s="1525" t="s">
        <v>1951</v>
      </c>
      <c r="C2" s="711" t="s">
        <v>1952</v>
      </c>
      <c r="D2" s="711" t="s">
        <v>1953</v>
      </c>
      <c r="E2" s="711" t="s">
        <v>1954</v>
      </c>
      <c r="F2" s="711" t="s">
        <v>1955</v>
      </c>
    </row>
    <row r="3" spans="1:6" ht="12" customHeight="1" x14ac:dyDescent="0.2">
      <c r="A3" s="2261"/>
      <c r="B3" s="1522"/>
      <c r="C3" s="1523"/>
      <c r="D3" s="1524" t="s">
        <v>256</v>
      </c>
      <c r="E3" s="1523"/>
      <c r="F3" s="1524" t="s">
        <v>257</v>
      </c>
    </row>
    <row r="4" spans="1:6" ht="13.7" customHeight="1" x14ac:dyDescent="0.2">
      <c r="A4" s="712" t="s">
        <v>1155</v>
      </c>
      <c r="B4" s="1746">
        <f>'Revenues 9-14'!C5</f>
        <v>3207505</v>
      </c>
      <c r="C4" s="1521">
        <v>1908510</v>
      </c>
      <c r="D4" s="1749">
        <f>B4-C4</f>
        <v>1298995</v>
      </c>
      <c r="E4" s="1521">
        <v>3334707</v>
      </c>
      <c r="F4" s="1749">
        <f>E4-C4</f>
        <v>1426197</v>
      </c>
    </row>
    <row r="5" spans="1:6" ht="13.7" customHeight="1" x14ac:dyDescent="0.2">
      <c r="A5" s="712" t="s">
        <v>870</v>
      </c>
      <c r="B5" s="1747">
        <f>'Revenues 9-14'!D5</f>
        <v>607481</v>
      </c>
      <c r="C5" s="582">
        <v>361460</v>
      </c>
      <c r="D5" s="1750">
        <f t="shared" ref="D5:D18" si="0">B5-C5</f>
        <v>246021</v>
      </c>
      <c r="E5" s="582">
        <v>631573</v>
      </c>
      <c r="F5" s="1750">
        <f>E5-C5</f>
        <v>270113</v>
      </c>
    </row>
    <row r="6" spans="1:6" ht="13.7" customHeight="1" x14ac:dyDescent="0.2">
      <c r="A6" s="712" t="s">
        <v>411</v>
      </c>
      <c r="B6" s="1747">
        <f>'Revenues 9-14'!E5</f>
        <v>1076952</v>
      </c>
      <c r="C6" s="582">
        <v>691112</v>
      </c>
      <c r="D6" s="1750">
        <f t="shared" si="0"/>
        <v>385840</v>
      </c>
      <c r="E6" s="582">
        <v>1207568</v>
      </c>
      <c r="F6" s="1750">
        <f t="shared" ref="F6:F18" si="1">E6-C6</f>
        <v>516456</v>
      </c>
    </row>
    <row r="7" spans="1:6" ht="13.7" customHeight="1" x14ac:dyDescent="0.2">
      <c r="A7" s="712" t="s">
        <v>155</v>
      </c>
      <c r="B7" s="1747">
        <f>'Revenues 9-14'!F5</f>
        <v>242993</v>
      </c>
      <c r="C7" s="582">
        <v>144584</v>
      </c>
      <c r="D7" s="1750">
        <f t="shared" si="0"/>
        <v>98409</v>
      </c>
      <c r="E7" s="582">
        <v>252629</v>
      </c>
      <c r="F7" s="1750">
        <f t="shared" si="1"/>
        <v>108045</v>
      </c>
    </row>
    <row r="8" spans="1:6" ht="13.7" customHeight="1" x14ac:dyDescent="0.2">
      <c r="A8" s="712" t="s">
        <v>1179</v>
      </c>
      <c r="B8" s="1747">
        <f>'Revenues 9-14'!G5</f>
        <v>0</v>
      </c>
      <c r="C8" s="582">
        <v>0</v>
      </c>
      <c r="D8" s="1750">
        <f t="shared" si="0"/>
        <v>0</v>
      </c>
      <c r="E8" s="582">
        <v>0</v>
      </c>
      <c r="F8" s="1750">
        <f t="shared" si="1"/>
        <v>0</v>
      </c>
    </row>
    <row r="9" spans="1:6" ht="13.7" customHeight="1" x14ac:dyDescent="0.2">
      <c r="A9" s="712" t="s">
        <v>408</v>
      </c>
      <c r="B9" s="1747">
        <f>'Revenues 9-14'!H5</f>
        <v>0</v>
      </c>
      <c r="C9" s="582">
        <v>0</v>
      </c>
      <c r="D9" s="1750">
        <f t="shared" si="0"/>
        <v>0</v>
      </c>
      <c r="E9" s="582">
        <v>0</v>
      </c>
      <c r="F9" s="1750">
        <f t="shared" si="1"/>
        <v>0</v>
      </c>
    </row>
    <row r="10" spans="1:6" ht="13.7" customHeight="1" x14ac:dyDescent="0.2">
      <c r="A10" s="712" t="s">
        <v>407</v>
      </c>
      <c r="B10" s="1747">
        <f>'Revenues 9-14'!I5</f>
        <v>60748</v>
      </c>
      <c r="C10" s="582">
        <v>36146</v>
      </c>
      <c r="D10" s="1750">
        <f t="shared" si="0"/>
        <v>24602</v>
      </c>
      <c r="E10" s="582">
        <v>63157</v>
      </c>
      <c r="F10" s="1750">
        <f t="shared" si="1"/>
        <v>27011</v>
      </c>
    </row>
    <row r="11" spans="1:6" x14ac:dyDescent="0.2">
      <c r="A11" s="712" t="s">
        <v>409</v>
      </c>
      <c r="B11" s="1747">
        <f>'Revenues 9-14'!J5</f>
        <v>339914</v>
      </c>
      <c r="C11" s="582">
        <v>217527</v>
      </c>
      <c r="D11" s="1750">
        <f t="shared" si="0"/>
        <v>122387</v>
      </c>
      <c r="E11" s="582">
        <v>380081</v>
      </c>
      <c r="F11" s="1750">
        <f t="shared" si="1"/>
        <v>162554</v>
      </c>
    </row>
    <row r="12" spans="1:6" ht="13.7" customHeight="1" x14ac:dyDescent="0.2">
      <c r="A12" s="712" t="s">
        <v>157</v>
      </c>
      <c r="B12" s="1747">
        <f>'Revenues 9-14'!K5</f>
        <v>60748</v>
      </c>
      <c r="C12" s="582">
        <v>36146</v>
      </c>
      <c r="D12" s="1750">
        <f t="shared" si="0"/>
        <v>24602</v>
      </c>
      <c r="E12" s="582">
        <v>63157</v>
      </c>
      <c r="F12" s="1750">
        <f t="shared" si="1"/>
        <v>27011</v>
      </c>
    </row>
    <row r="13" spans="1:6" ht="13.7" customHeight="1" x14ac:dyDescent="0.2">
      <c r="A13" s="712" t="s">
        <v>936</v>
      </c>
      <c r="B13" s="1747">
        <f>SUM('Revenues 9-14'!C6:D6)</f>
        <v>60750</v>
      </c>
      <c r="C13" s="582">
        <v>36146</v>
      </c>
      <c r="D13" s="1750">
        <f t="shared" si="0"/>
        <v>24604</v>
      </c>
      <c r="E13" s="582">
        <v>63157</v>
      </c>
      <c r="F13" s="1750">
        <f t="shared" si="1"/>
        <v>27011</v>
      </c>
    </row>
    <row r="14" spans="1:6" ht="13.7" customHeight="1" x14ac:dyDescent="0.2">
      <c r="A14" s="712" t="s">
        <v>410</v>
      </c>
      <c r="B14" s="1747">
        <f>SUM('Revenues 9-14'!C7:D7,'Revenues 9-14'!F7:H7)</f>
        <v>48598</v>
      </c>
      <c r="C14" s="582">
        <v>28917</v>
      </c>
      <c r="D14" s="1750">
        <f t="shared" si="0"/>
        <v>19681</v>
      </c>
      <c r="E14" s="582">
        <v>50526</v>
      </c>
      <c r="F14" s="1750">
        <f t="shared" si="1"/>
        <v>21609</v>
      </c>
    </row>
    <row r="15" spans="1:6" ht="13.7" customHeight="1" x14ac:dyDescent="0.2">
      <c r="A15" s="712" t="s">
        <v>1158</v>
      </c>
      <c r="B15" s="1747">
        <f>SUM('Revenues 9-14'!D9:E9,'Revenues 9-14'!H9)</f>
        <v>0</v>
      </c>
      <c r="C15" s="582">
        <v>0</v>
      </c>
      <c r="D15" s="1750">
        <f t="shared" si="0"/>
        <v>0</v>
      </c>
      <c r="E15" s="582">
        <v>0</v>
      </c>
      <c r="F15" s="1750">
        <f t="shared" si="1"/>
        <v>0</v>
      </c>
    </row>
    <row r="16" spans="1:6" ht="13.7" customHeight="1" x14ac:dyDescent="0.2">
      <c r="A16" s="712" t="s">
        <v>1159</v>
      </c>
      <c r="B16" s="1747">
        <f>'Revenues 9-14'!G8</f>
        <v>147101</v>
      </c>
      <c r="C16" s="582">
        <v>85883</v>
      </c>
      <c r="D16" s="1750">
        <f t="shared" si="0"/>
        <v>61218</v>
      </c>
      <c r="E16" s="582">
        <v>150062</v>
      </c>
      <c r="F16" s="1750">
        <f t="shared" si="1"/>
        <v>64179</v>
      </c>
    </row>
    <row r="17" spans="1:6" ht="13.7" customHeight="1" x14ac:dyDescent="0.2">
      <c r="A17" s="712" t="s">
        <v>1160</v>
      </c>
      <c r="B17" s="1747">
        <f>'Revenues 9-14'!C10</f>
        <v>0</v>
      </c>
      <c r="C17" s="582">
        <v>0</v>
      </c>
      <c r="D17" s="1750">
        <f t="shared" si="0"/>
        <v>0</v>
      </c>
      <c r="E17" s="582">
        <v>0</v>
      </c>
      <c r="F17" s="1750">
        <f t="shared" si="1"/>
        <v>0</v>
      </c>
    </row>
    <row r="18" spans="1:6" ht="13.7" customHeight="1" x14ac:dyDescent="0.2">
      <c r="A18" s="712" t="s">
        <v>762</v>
      </c>
      <c r="B18" s="1747">
        <f>SUM('Revenues 9-14'!C11:K11)</f>
        <v>0</v>
      </c>
      <c r="C18" s="582">
        <v>0</v>
      </c>
      <c r="D18" s="1750">
        <f t="shared" si="0"/>
        <v>0</v>
      </c>
      <c r="E18" s="582">
        <v>0</v>
      </c>
      <c r="F18" s="1750">
        <f t="shared" si="1"/>
        <v>0</v>
      </c>
    </row>
    <row r="19" spans="1:6" ht="13.7" customHeight="1" thickBot="1" x14ac:dyDescent="0.25">
      <c r="A19" s="1751" t="s">
        <v>1161</v>
      </c>
      <c r="B19" s="1748">
        <f>SUM(B4:B18)</f>
        <v>5852790</v>
      </c>
      <c r="C19" s="1748">
        <f>SUM(C4:C18)</f>
        <v>3546431</v>
      </c>
      <c r="D19" s="1748">
        <f>SUM(D4:D18)</f>
        <v>2306359</v>
      </c>
      <c r="E19" s="1748">
        <f>SUM(E4:E18)</f>
        <v>6196617</v>
      </c>
      <c r="F19" s="1748">
        <f>SUM(F4:F18)</f>
        <v>2650186</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82" t="s">
        <v>629</v>
      </c>
      <c r="B1" s="2280"/>
      <c r="C1" s="718"/>
    </row>
    <row r="2" spans="1:7" ht="33.75" x14ac:dyDescent="0.2">
      <c r="A2" s="2287" t="s">
        <v>1802</v>
      </c>
      <c r="B2" s="2288"/>
      <c r="C2" s="1881" t="s">
        <v>1956</v>
      </c>
      <c r="D2" s="720" t="s">
        <v>1957</v>
      </c>
      <c r="E2" s="720" t="s">
        <v>1958</v>
      </c>
      <c r="F2" s="1881" t="s">
        <v>1959</v>
      </c>
    </row>
    <row r="3" spans="1:7" ht="15.75" customHeight="1" x14ac:dyDescent="0.2">
      <c r="A3" s="2289" t="s">
        <v>1114</v>
      </c>
      <c r="B3" s="2290"/>
      <c r="C3" s="2283"/>
      <c r="D3" s="2284"/>
      <c r="E3" s="2284"/>
      <c r="F3" s="2285"/>
    </row>
    <row r="4" spans="1:7" ht="12.75" customHeight="1" thickBot="1" x14ac:dyDescent="0.25">
      <c r="A4" s="2277" t="s">
        <v>630</v>
      </c>
      <c r="B4" s="2278"/>
      <c r="C4" s="578"/>
      <c r="D4" s="578"/>
      <c r="E4" s="578"/>
      <c r="F4" s="1752">
        <f>SUM(C4+D4)-E4</f>
        <v>0</v>
      </c>
    </row>
    <row r="5" spans="1:7" ht="15.75" customHeight="1" thickTop="1" x14ac:dyDescent="0.2">
      <c r="A5" s="2281" t="s">
        <v>1110</v>
      </c>
      <c r="B5" s="2276"/>
      <c r="C5" s="2270"/>
      <c r="D5" s="2271"/>
      <c r="E5" s="2271"/>
      <c r="F5" s="2272"/>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273" t="s">
        <v>631</v>
      </c>
      <c r="B15" s="2274"/>
      <c r="C15" s="1752">
        <f>SUM(C6:C14)</f>
        <v>0</v>
      </c>
      <c r="D15" s="1752">
        <f>SUM(D6:D14)</f>
        <v>0</v>
      </c>
      <c r="E15" s="1752">
        <f>SUM(E6:E14)</f>
        <v>0</v>
      </c>
      <c r="F15" s="1752">
        <f>SUM(F6:F14)</f>
        <v>0</v>
      </c>
      <c r="G15" s="549"/>
    </row>
    <row r="16" spans="1:7" s="202" customFormat="1" ht="15.75" customHeight="1" thickTop="1" x14ac:dyDescent="0.2">
      <c r="A16" s="2286" t="s">
        <v>1111</v>
      </c>
      <c r="B16" s="2276"/>
      <c r="C16" s="2270"/>
      <c r="D16" s="2271"/>
      <c r="E16" s="2271"/>
      <c r="F16" s="2272"/>
    </row>
    <row r="17" spans="1:11" ht="12.75" customHeight="1" thickBot="1" x14ac:dyDescent="0.25">
      <c r="A17" s="2268" t="s">
        <v>64</v>
      </c>
      <c r="B17" s="2269"/>
      <c r="C17" s="723"/>
      <c r="D17" s="582"/>
      <c r="E17" s="723"/>
      <c r="F17" s="1752">
        <f>SUM(C17+D17)-E17</f>
        <v>0</v>
      </c>
    </row>
    <row r="18" spans="1:11" ht="12.75" customHeight="1" thickTop="1" thickBot="1" x14ac:dyDescent="0.25">
      <c r="A18" s="2268" t="s">
        <v>6</v>
      </c>
      <c r="B18" s="2269"/>
      <c r="C18" s="723"/>
      <c r="D18" s="582"/>
      <c r="E18" s="723"/>
      <c r="F18" s="1752">
        <f>SUM(C18+D18)-E18</f>
        <v>0</v>
      </c>
    </row>
    <row r="19" spans="1:11" ht="12.75" customHeight="1" thickTop="1" thickBot="1" x14ac:dyDescent="0.25">
      <c r="A19" s="2268" t="s">
        <v>388</v>
      </c>
      <c r="B19" s="2269"/>
      <c r="C19" s="723"/>
      <c r="D19" s="582"/>
      <c r="E19" s="723"/>
      <c r="F19" s="1752">
        <f>SUM(C19+D19)-E19</f>
        <v>0</v>
      </c>
    </row>
    <row r="20" spans="1:11" ht="12.75" customHeight="1" thickTop="1" thickBot="1" x14ac:dyDescent="0.25">
      <c r="A20" s="2268" t="s">
        <v>448</v>
      </c>
      <c r="B20" s="2269"/>
      <c r="C20" s="723"/>
      <c r="D20" s="582"/>
      <c r="E20" s="723"/>
      <c r="F20" s="1752">
        <f>SUM(C20+D20)-E20</f>
        <v>0</v>
      </c>
    </row>
    <row r="21" spans="1:11" ht="14.25" thickTop="1" thickBot="1" x14ac:dyDescent="0.25">
      <c r="A21" s="2273" t="s">
        <v>632</v>
      </c>
      <c r="B21" s="2274"/>
      <c r="C21" s="1752">
        <f>SUM(C17:C20)</f>
        <v>0</v>
      </c>
      <c r="D21" s="1752">
        <f>SUM(D17:D20)</f>
        <v>0</v>
      </c>
      <c r="E21" s="1752">
        <f>SUM(E17:E20)</f>
        <v>0</v>
      </c>
      <c r="F21" s="1752">
        <f>SUM(F17:F20)</f>
        <v>0</v>
      </c>
      <c r="G21" s="549"/>
    </row>
    <row r="22" spans="1:11" ht="15.75" customHeight="1" thickTop="1" x14ac:dyDescent="0.2">
      <c r="A22" s="2275" t="s">
        <v>1112</v>
      </c>
      <c r="B22" s="2276"/>
      <c r="C22" s="2270"/>
      <c r="D22" s="2271"/>
      <c r="E22" s="2271"/>
      <c r="F22" s="2272"/>
    </row>
    <row r="23" spans="1:11" ht="13.5" thickBot="1" x14ac:dyDescent="0.25">
      <c r="A23" s="2277" t="s">
        <v>633</v>
      </c>
      <c r="B23" s="2278"/>
      <c r="C23" s="578"/>
      <c r="D23" s="578"/>
      <c r="E23" s="578"/>
      <c r="F23" s="1752">
        <f>SUM(C23+D23)-E23</f>
        <v>0</v>
      </c>
      <c r="G23" s="549"/>
    </row>
    <row r="24" spans="1:11" ht="15.75" customHeight="1" thickTop="1" x14ac:dyDescent="0.2">
      <c r="A24" s="2275" t="s">
        <v>1113</v>
      </c>
      <c r="B24" s="2276"/>
      <c r="C24" s="2270"/>
      <c r="D24" s="2271"/>
      <c r="E24" s="2271"/>
      <c r="F24" s="2272"/>
    </row>
    <row r="25" spans="1:11" ht="13.5" thickBot="1" x14ac:dyDescent="0.25">
      <c r="A25" s="2277" t="s">
        <v>634</v>
      </c>
      <c r="B25" s="2278"/>
      <c r="C25" s="578"/>
      <c r="D25" s="578"/>
      <c r="E25" s="578"/>
      <c r="F25" s="1752">
        <f>SUM(C25+D25)-E25</f>
        <v>0</v>
      </c>
      <c r="G25" s="549"/>
    </row>
    <row r="26" spans="1:11" ht="15.75" customHeight="1" thickTop="1" x14ac:dyDescent="0.2">
      <c r="A26" s="2281" t="s">
        <v>657</v>
      </c>
      <c r="B26" s="2276"/>
      <c r="C26" s="724"/>
      <c r="D26" s="724"/>
      <c r="E26" s="724"/>
      <c r="F26" s="725"/>
    </row>
    <row r="27" spans="1:11" ht="13.5" thickBot="1" x14ac:dyDescent="0.25">
      <c r="A27" s="2273" t="s">
        <v>1070</v>
      </c>
      <c r="B27" s="2274"/>
      <c r="C27" s="582"/>
      <c r="D27" s="582"/>
      <c r="E27" s="582"/>
      <c r="F27" s="1752">
        <f>SUM(C27+D27)-E27</f>
        <v>0</v>
      </c>
      <c r="G27" s="549"/>
    </row>
    <row r="28" spans="1:11" ht="7.5" customHeight="1" thickTop="1" x14ac:dyDescent="0.2">
      <c r="A28" s="590"/>
    </row>
    <row r="29" spans="1:11" ht="23.25" customHeight="1" x14ac:dyDescent="0.2">
      <c r="A29" s="2279" t="s">
        <v>582</v>
      </c>
      <c r="B29" s="2280"/>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2086</v>
      </c>
      <c r="B31" s="730">
        <v>41518</v>
      </c>
      <c r="C31" s="731">
        <v>2915000</v>
      </c>
      <c r="D31" s="732" t="s">
        <v>2089</v>
      </c>
      <c r="E31" s="731">
        <v>1650000</v>
      </c>
      <c r="F31" s="731"/>
      <c r="G31" s="731"/>
      <c r="H31" s="731">
        <v>785000</v>
      </c>
      <c r="I31" s="1753">
        <f>((E31+F31)-H31)+G31</f>
        <v>865000</v>
      </c>
      <c r="J31" s="731">
        <f>I31-663754</f>
        <v>201246</v>
      </c>
      <c r="K31" s="733"/>
    </row>
    <row r="32" spans="1:11" ht="12" customHeight="1" x14ac:dyDescent="0.2">
      <c r="A32" s="729" t="s">
        <v>2087</v>
      </c>
      <c r="B32" s="730">
        <v>42927</v>
      </c>
      <c r="C32" s="731">
        <v>7915000</v>
      </c>
      <c r="D32" s="732">
        <v>1</v>
      </c>
      <c r="E32" s="731">
        <v>7915000</v>
      </c>
      <c r="F32" s="731"/>
      <c r="G32" s="731"/>
      <c r="H32" s="731"/>
      <c r="I32" s="1753">
        <f>((E32+F32)-H32)+G32</f>
        <v>7915000</v>
      </c>
      <c r="J32" s="731">
        <f>I32-207840</f>
        <v>7707160</v>
      </c>
      <c r="K32" s="733"/>
    </row>
    <row r="33" spans="1:11" ht="12" customHeight="1" x14ac:dyDescent="0.2">
      <c r="A33" s="729" t="s">
        <v>2088</v>
      </c>
      <c r="B33" s="730">
        <v>42927</v>
      </c>
      <c r="C33" s="731">
        <v>305000</v>
      </c>
      <c r="D33" s="732">
        <v>1</v>
      </c>
      <c r="E33" s="731">
        <v>305000</v>
      </c>
      <c r="F33" s="731"/>
      <c r="G33" s="731"/>
      <c r="H33" s="731"/>
      <c r="I33" s="1753">
        <f t="shared" ref="I33:I48" si="1">((E33+F33)-H33)+G33</f>
        <v>305000</v>
      </c>
      <c r="J33" s="731">
        <f>I33-5974</f>
        <v>299026</v>
      </c>
      <c r="K33" s="733"/>
    </row>
    <row r="34" spans="1:11" ht="12" customHeight="1" x14ac:dyDescent="0.2">
      <c r="A34" s="729" t="s">
        <v>2160</v>
      </c>
      <c r="B34" s="730">
        <v>43594</v>
      </c>
      <c r="C34" s="731">
        <v>2499000</v>
      </c>
      <c r="D34" s="732">
        <v>7</v>
      </c>
      <c r="E34" s="731"/>
      <c r="F34" s="731">
        <v>2499000</v>
      </c>
      <c r="G34" s="731"/>
      <c r="H34" s="731"/>
      <c r="I34" s="1753">
        <f t="shared" si="1"/>
        <v>2499000</v>
      </c>
      <c r="J34" s="731">
        <f>I34-230618</f>
        <v>2268382</v>
      </c>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13634000</v>
      </c>
      <c r="D49" s="742"/>
      <c r="E49" s="1753">
        <f t="shared" ref="E49:J49" si="2">SUM(E31:E48)</f>
        <v>9870000</v>
      </c>
      <c r="F49" s="1753">
        <f t="shared" si="2"/>
        <v>2499000</v>
      </c>
      <c r="G49" s="1753">
        <f t="shared" si="2"/>
        <v>0</v>
      </c>
      <c r="H49" s="1753">
        <f t="shared" si="2"/>
        <v>785000</v>
      </c>
      <c r="I49" s="1753">
        <f t="shared" si="2"/>
        <v>11584000</v>
      </c>
      <c r="J49" s="1753">
        <f t="shared" si="2"/>
        <v>10475814</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62" t="s">
        <v>584</v>
      </c>
      <c r="C52" s="2263"/>
      <c r="D52" s="2263"/>
      <c r="E52" s="746" t="s">
        <v>845</v>
      </c>
      <c r="F52" s="2264" t="s">
        <v>2161</v>
      </c>
      <c r="G52" s="2265"/>
      <c r="H52" s="733"/>
      <c r="I52" s="733"/>
      <c r="J52" s="743"/>
    </row>
    <row r="53" spans="1:11" ht="11.25" customHeight="1" x14ac:dyDescent="0.2">
      <c r="A53" s="747" t="s">
        <v>913</v>
      </c>
      <c r="B53" s="748" t="s">
        <v>951</v>
      </c>
      <c r="C53" s="743"/>
      <c r="D53" s="734"/>
      <c r="E53" s="746" t="s">
        <v>497</v>
      </c>
      <c r="F53" s="2266"/>
      <c r="G53" s="2267"/>
      <c r="H53" s="733"/>
      <c r="I53" s="733"/>
      <c r="J53" s="743"/>
    </row>
    <row r="54" spans="1:11" ht="11.25" customHeight="1" x14ac:dyDescent="0.2">
      <c r="A54" s="749" t="s">
        <v>914</v>
      </c>
      <c r="B54" s="744" t="s">
        <v>952</v>
      </c>
      <c r="C54" s="743"/>
      <c r="D54" s="734"/>
      <c r="E54" s="746" t="s">
        <v>498</v>
      </c>
      <c r="F54" s="2266"/>
      <c r="G54" s="2267"/>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91" t="s">
        <v>856</v>
      </c>
      <c r="B1" s="2292"/>
      <c r="C1" s="2292"/>
      <c r="D1" s="2292"/>
      <c r="E1" s="2292"/>
      <c r="F1" s="2292"/>
      <c r="G1" s="2293"/>
      <c r="H1" s="1527"/>
      <c r="I1" s="757"/>
      <c r="J1" s="433"/>
    </row>
    <row r="2" spans="1:11" ht="26.25" x14ac:dyDescent="0.2">
      <c r="A2" s="2310" t="s">
        <v>1677</v>
      </c>
      <c r="B2" s="2311"/>
      <c r="C2" s="2311"/>
      <c r="D2" s="2311"/>
      <c r="E2" s="2312"/>
      <c r="F2" s="758" t="s">
        <v>904</v>
      </c>
      <c r="G2" s="759" t="s">
        <v>1674</v>
      </c>
      <c r="H2" s="759" t="s">
        <v>410</v>
      </c>
      <c r="I2" s="759" t="s">
        <v>1158</v>
      </c>
      <c r="J2" s="759" t="s">
        <v>1812</v>
      </c>
      <c r="K2" s="759" t="s">
        <v>138</v>
      </c>
    </row>
    <row r="3" spans="1:11" x14ac:dyDescent="0.2">
      <c r="A3" s="2313" t="s">
        <v>1964</v>
      </c>
      <c r="B3" s="2314"/>
      <c r="C3" s="2314"/>
      <c r="D3" s="2314"/>
      <c r="E3" s="2315"/>
      <c r="F3" s="760"/>
      <c r="G3" s="761"/>
      <c r="H3" s="761"/>
      <c r="I3" s="761"/>
      <c r="J3" s="762">
        <v>275324</v>
      </c>
      <c r="K3" s="762"/>
    </row>
    <row r="4" spans="1:11" x14ac:dyDescent="0.2">
      <c r="A4" s="2316" t="s">
        <v>369</v>
      </c>
      <c r="B4" s="2317"/>
      <c r="C4" s="2317"/>
      <c r="D4" s="2317"/>
      <c r="E4" s="2263"/>
      <c r="F4" s="763"/>
      <c r="G4" s="764"/>
      <c r="H4" s="765"/>
      <c r="I4" s="764"/>
      <c r="J4" s="766"/>
      <c r="K4" s="766"/>
    </row>
    <row r="5" spans="1:11" x14ac:dyDescent="0.2">
      <c r="A5" s="2294" t="s">
        <v>1069</v>
      </c>
      <c r="B5" s="2295"/>
      <c r="C5" s="2295"/>
      <c r="D5" s="2295"/>
      <c r="E5" s="2296"/>
      <c r="F5" s="767" t="s">
        <v>848</v>
      </c>
      <c r="G5" s="768"/>
      <c r="H5" s="761">
        <v>58598</v>
      </c>
      <c r="I5" s="769"/>
      <c r="J5" s="770"/>
      <c r="K5" s="770"/>
    </row>
    <row r="6" spans="1:11" x14ac:dyDescent="0.2">
      <c r="A6" s="771" t="s">
        <v>720</v>
      </c>
      <c r="B6" s="772"/>
      <c r="C6" s="772"/>
      <c r="D6" s="772"/>
      <c r="E6" s="773"/>
      <c r="F6" s="774" t="s">
        <v>849</v>
      </c>
      <c r="G6" s="761"/>
      <c r="H6" s="761">
        <v>29</v>
      </c>
      <c r="I6" s="761"/>
      <c r="J6" s="762">
        <v>2833</v>
      </c>
      <c r="K6" s="762"/>
    </row>
    <row r="7" spans="1:11" x14ac:dyDescent="0.2">
      <c r="A7" s="775" t="s">
        <v>246</v>
      </c>
      <c r="B7" s="776"/>
      <c r="C7" s="776"/>
      <c r="D7" s="776"/>
      <c r="E7" s="777"/>
      <c r="F7" s="767" t="s">
        <v>850</v>
      </c>
      <c r="G7" s="764"/>
      <c r="H7" s="764"/>
      <c r="I7" s="764"/>
      <c r="J7" s="778"/>
      <c r="K7" s="762">
        <v>4685</v>
      </c>
    </row>
    <row r="8" spans="1:11" x14ac:dyDescent="0.2">
      <c r="A8" s="775" t="s">
        <v>345</v>
      </c>
      <c r="B8" s="776"/>
      <c r="C8" s="776"/>
      <c r="D8" s="776"/>
      <c r="E8" s="777"/>
      <c r="F8" s="767" t="s">
        <v>851</v>
      </c>
      <c r="G8" s="779"/>
      <c r="H8" s="779"/>
      <c r="I8" s="779"/>
      <c r="J8" s="762">
        <f>230000+289352</f>
        <v>519352</v>
      </c>
      <c r="K8" s="766"/>
    </row>
    <row r="9" spans="1:11" x14ac:dyDescent="0.2">
      <c r="A9" s="775" t="s">
        <v>138</v>
      </c>
      <c r="B9" s="776"/>
      <c r="C9" s="776"/>
      <c r="D9" s="776"/>
      <c r="E9" s="777"/>
      <c r="F9" s="774" t="s">
        <v>853</v>
      </c>
      <c r="G9" s="779"/>
      <c r="H9" s="768"/>
      <c r="I9" s="768"/>
      <c r="J9" s="778"/>
      <c r="K9" s="762">
        <v>11925</v>
      </c>
    </row>
    <row r="10" spans="1:11" x14ac:dyDescent="0.2">
      <c r="A10" s="2294" t="s">
        <v>1813</v>
      </c>
      <c r="B10" s="2295"/>
      <c r="C10" s="2295"/>
      <c r="D10" s="2295"/>
      <c r="E10" s="2297"/>
      <c r="F10" s="780" t="s">
        <v>862</v>
      </c>
      <c r="G10" s="779"/>
      <c r="H10" s="781"/>
      <c r="I10" s="761"/>
      <c r="J10" s="762"/>
      <c r="K10" s="762"/>
    </row>
    <row r="11" spans="1:11" x14ac:dyDescent="0.2">
      <c r="A11" s="2294" t="s">
        <v>160</v>
      </c>
      <c r="B11" s="2295"/>
      <c r="C11" s="2295"/>
      <c r="D11" s="2295"/>
      <c r="E11" s="2296"/>
      <c r="F11" s="767" t="s">
        <v>852</v>
      </c>
      <c r="G11" s="768"/>
      <c r="H11" s="761"/>
      <c r="I11" s="761"/>
      <c r="J11" s="762"/>
      <c r="K11" s="770"/>
    </row>
    <row r="12" spans="1:11" ht="13.5" thickBot="1" x14ac:dyDescent="0.25">
      <c r="A12" s="2321" t="s">
        <v>905</v>
      </c>
      <c r="B12" s="2322"/>
      <c r="C12" s="2322"/>
      <c r="D12" s="2322"/>
      <c r="E12" s="2323"/>
      <c r="F12" s="1754"/>
      <c r="G12" s="1755">
        <f>SUM(G5:G11)</f>
        <v>0</v>
      </c>
      <c r="H12" s="1755">
        <f>SUM(H5:H11)</f>
        <v>58627</v>
      </c>
      <c r="I12" s="1755">
        <f>SUM(I5:I11)</f>
        <v>0</v>
      </c>
      <c r="J12" s="1755">
        <f>SUM(J5:J11)</f>
        <v>522185</v>
      </c>
      <c r="K12" s="1755">
        <f>SUM(K5:K11)</f>
        <v>16610</v>
      </c>
    </row>
    <row r="13" spans="1:11" ht="13.5" thickTop="1" x14ac:dyDescent="0.2">
      <c r="A13" s="2318" t="s">
        <v>370</v>
      </c>
      <c r="B13" s="2319"/>
      <c r="C13" s="2319"/>
      <c r="D13" s="2319"/>
      <c r="E13" s="2320"/>
      <c r="F13" s="782"/>
      <c r="G13" s="783"/>
      <c r="H13" s="784"/>
      <c r="I13" s="785"/>
      <c r="J13" s="785"/>
      <c r="K13" s="785"/>
    </row>
    <row r="14" spans="1:11" x14ac:dyDescent="0.2">
      <c r="A14" s="2301" t="s">
        <v>456</v>
      </c>
      <c r="B14" s="2301"/>
      <c r="C14" s="2301"/>
      <c r="D14" s="2301"/>
      <c r="E14" s="2302"/>
      <c r="F14" s="786" t="s">
        <v>854</v>
      </c>
      <c r="G14" s="779"/>
      <c r="H14" s="761">
        <v>48618</v>
      </c>
      <c r="I14" s="768"/>
      <c r="J14" s="770"/>
      <c r="K14" s="762">
        <v>16610</v>
      </c>
    </row>
    <row r="15" spans="1:11" x14ac:dyDescent="0.2">
      <c r="A15" s="2295" t="s">
        <v>4</v>
      </c>
      <c r="B15" s="2295"/>
      <c r="C15" s="2295"/>
      <c r="D15" s="2295"/>
      <c r="E15" s="2296"/>
      <c r="F15" s="786" t="s">
        <v>855</v>
      </c>
      <c r="G15" s="768"/>
      <c r="H15" s="761"/>
      <c r="I15" s="761"/>
      <c r="J15" s="762">
        <v>21141</v>
      </c>
      <c r="K15" s="762"/>
    </row>
    <row r="16" spans="1:11" x14ac:dyDescent="0.2">
      <c r="A16" s="2295" t="s">
        <v>298</v>
      </c>
      <c r="B16" s="2295"/>
      <c r="C16" s="2295"/>
      <c r="D16" s="2295"/>
      <c r="E16" s="2296"/>
      <c r="F16" s="786" t="s">
        <v>923</v>
      </c>
      <c r="G16" s="769"/>
      <c r="H16" s="764"/>
      <c r="I16" s="764"/>
      <c r="J16" s="766"/>
      <c r="K16" s="766"/>
    </row>
    <row r="17" spans="1:11" x14ac:dyDescent="0.2">
      <c r="A17" s="2326" t="s">
        <v>935</v>
      </c>
      <c r="B17" s="2326"/>
      <c r="C17" s="2326"/>
      <c r="D17" s="2326"/>
      <c r="E17" s="2327"/>
      <c r="F17" s="787"/>
      <c r="G17" s="788"/>
      <c r="H17" s="789"/>
      <c r="I17" s="789"/>
      <c r="J17" s="790"/>
      <c r="K17" s="791"/>
    </row>
    <row r="18" spans="1:11" x14ac:dyDescent="0.2">
      <c r="A18" s="2305" t="s">
        <v>368</v>
      </c>
      <c r="B18" s="2306"/>
      <c r="C18" s="2306"/>
      <c r="D18" s="2306"/>
      <c r="E18" s="2307"/>
      <c r="F18" s="786" t="s">
        <v>932</v>
      </c>
      <c r="G18" s="779"/>
      <c r="H18" s="779"/>
      <c r="I18" s="779"/>
      <c r="J18" s="762"/>
      <c r="K18" s="792"/>
    </row>
    <row r="19" spans="1:11" ht="21.75" customHeight="1" x14ac:dyDescent="0.2">
      <c r="A19" s="2303" t="s">
        <v>1809</v>
      </c>
      <c r="B19" s="2303"/>
      <c r="C19" s="2303"/>
      <c r="D19" s="2303"/>
      <c r="E19" s="2304"/>
      <c r="F19" s="786" t="s">
        <v>933</v>
      </c>
      <c r="G19" s="779"/>
      <c r="H19" s="779"/>
      <c r="I19" s="779"/>
      <c r="J19" s="762"/>
      <c r="K19" s="792"/>
    </row>
    <row r="20" spans="1:11" x14ac:dyDescent="0.2">
      <c r="A20" s="2305" t="s">
        <v>1814</v>
      </c>
      <c r="B20" s="2306"/>
      <c r="C20" s="2306"/>
      <c r="D20" s="2306"/>
      <c r="E20" s="2307"/>
      <c r="F20" s="786" t="s">
        <v>934</v>
      </c>
      <c r="G20" s="779"/>
      <c r="H20" s="779"/>
      <c r="I20" s="779"/>
      <c r="J20" s="762"/>
      <c r="K20" s="792"/>
    </row>
    <row r="21" spans="1:11" ht="13.5" thickBot="1" x14ac:dyDescent="0.25">
      <c r="A21" s="2324" t="s">
        <v>638</v>
      </c>
      <c r="B21" s="2324"/>
      <c r="C21" s="2324"/>
      <c r="D21" s="2324"/>
      <c r="E21" s="2324"/>
      <c r="F21" s="1756"/>
      <c r="G21" s="789"/>
      <c r="H21" s="793"/>
      <c r="I21" s="793"/>
      <c r="J21" s="1757">
        <f>SUM(J18:J20)</f>
        <v>0</v>
      </c>
      <c r="K21" s="790"/>
    </row>
    <row r="22" spans="1:11" ht="13.5" thickTop="1" x14ac:dyDescent="0.2">
      <c r="A22" s="2295" t="s">
        <v>1815</v>
      </c>
      <c r="B22" s="2295"/>
      <c r="C22" s="2295"/>
      <c r="D22" s="2295"/>
      <c r="E22" s="2296"/>
      <c r="F22" s="786" t="s">
        <v>862</v>
      </c>
      <c r="G22" s="779"/>
      <c r="H22" s="761"/>
      <c r="I22" s="761"/>
      <c r="J22" s="794"/>
      <c r="K22" s="762"/>
    </row>
    <row r="23" spans="1:11" ht="13.5" thickBot="1" x14ac:dyDescent="0.25">
      <c r="A23" s="2325" t="s">
        <v>906</v>
      </c>
      <c r="B23" s="2324"/>
      <c r="C23" s="2324"/>
      <c r="D23" s="2324"/>
      <c r="E23" s="2324"/>
      <c r="F23" s="1758"/>
      <c r="G23" s="1755">
        <f>SUM(G14:G16,G21,G22)</f>
        <v>0</v>
      </c>
      <c r="H23" s="1755">
        <f>SUM(H14:H16,H21,H22)</f>
        <v>48618</v>
      </c>
      <c r="I23" s="1755">
        <f>SUM(I14:I16,I21,I22)</f>
        <v>0</v>
      </c>
      <c r="J23" s="1755">
        <f>SUM(J14:J16,J21,J22)</f>
        <v>21141</v>
      </c>
      <c r="K23" s="1755">
        <f>SUM(K14:K16,K21,K22)</f>
        <v>16610</v>
      </c>
    </row>
    <row r="24" spans="1:11" ht="14.25" thickTop="1" thickBot="1" x14ac:dyDescent="0.25">
      <c r="A24" s="2325" t="s">
        <v>1965</v>
      </c>
      <c r="B24" s="2324"/>
      <c r="C24" s="2324"/>
      <c r="D24" s="2324"/>
      <c r="E24" s="2324"/>
      <c r="F24" s="1759"/>
      <c r="G24" s="1760">
        <f>SUM(G3,G12)-G23</f>
        <v>0</v>
      </c>
      <c r="H24" s="1760">
        <f>SUM(H3,H12)-H23</f>
        <v>10009</v>
      </c>
      <c r="I24" s="1760">
        <f>SUM(I3,I12)-I23</f>
        <v>0</v>
      </c>
      <c r="J24" s="1760">
        <f>SUM(J3,J12)-J23</f>
        <v>776368</v>
      </c>
      <c r="K24" s="1760">
        <f>SUM(K3,K12)-K23</f>
        <v>0</v>
      </c>
    </row>
    <row r="25" spans="1:11" ht="13.5" thickTop="1" x14ac:dyDescent="0.2">
      <c r="A25" s="795" t="s">
        <v>420</v>
      </c>
      <c r="B25" s="796"/>
      <c r="C25" s="796"/>
      <c r="D25" s="796"/>
      <c r="E25" s="797"/>
      <c r="F25" s="798">
        <v>714</v>
      </c>
      <c r="G25" s="799"/>
      <c r="H25" s="799"/>
      <c r="I25" s="799"/>
      <c r="J25" s="794">
        <v>776368</v>
      </c>
      <c r="K25" s="794"/>
    </row>
    <row r="26" spans="1:11" ht="13.5" thickBot="1" x14ac:dyDescent="0.25">
      <c r="A26" s="795" t="s">
        <v>342</v>
      </c>
      <c r="B26" s="796"/>
      <c r="C26" s="796"/>
      <c r="D26" s="796"/>
      <c r="E26" s="797"/>
      <c r="F26" s="798">
        <v>730</v>
      </c>
      <c r="G26" s="1755">
        <f>G24-G25</f>
        <v>0</v>
      </c>
      <c r="H26" s="1755">
        <f>H24-H25</f>
        <v>10009</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98"/>
      <c r="I31" s="2299"/>
      <c r="J31" s="2299"/>
      <c r="K31" s="2299"/>
    </row>
    <row r="32" spans="1:11" x14ac:dyDescent="0.2">
      <c r="A32" s="806"/>
      <c r="B32" s="237"/>
      <c r="C32" s="237"/>
      <c r="D32" s="237"/>
      <c r="E32" s="802"/>
      <c r="F32" s="808" t="s">
        <v>540</v>
      </c>
      <c r="G32" s="761"/>
      <c r="H32" s="2300"/>
      <c r="I32" s="2299"/>
      <c r="J32" s="2299"/>
      <c r="K32" s="2299"/>
    </row>
    <row r="33" spans="1:11" ht="1.5" customHeight="1" x14ac:dyDescent="0.2">
      <c r="A33" s="809" t="s">
        <v>1169</v>
      </c>
      <c r="B33" s="364"/>
      <c r="C33" s="364"/>
      <c r="D33" s="364"/>
      <c r="E33" s="364"/>
      <c r="F33" s="364"/>
      <c r="G33" s="810"/>
      <c r="H33" s="2300"/>
      <c r="I33" s="2299"/>
      <c r="J33" s="2299"/>
      <c r="K33" s="2299"/>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95" t="s">
        <v>541</v>
      </c>
      <c r="B41" s="2308"/>
      <c r="C41" s="2308"/>
      <c r="D41" s="2308"/>
      <c r="E41" s="2308"/>
      <c r="F41" s="2309"/>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30" t="s">
        <v>1909</v>
      </c>
      <c r="B1" s="2331"/>
      <c r="C1" s="2332"/>
      <c r="D1" s="823"/>
      <c r="E1" s="824"/>
      <c r="F1" s="824"/>
      <c r="G1" s="825"/>
      <c r="H1" s="826"/>
      <c r="I1" s="827"/>
      <c r="J1" s="2328"/>
      <c r="K1" s="2329"/>
      <c r="L1" s="2329"/>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v>0</v>
      </c>
      <c r="E3" s="832">
        <v>0</v>
      </c>
      <c r="F3" s="1757">
        <f>(C3+D3)-E3</f>
        <v>0</v>
      </c>
      <c r="G3" s="833"/>
      <c r="H3" s="832">
        <v>0</v>
      </c>
      <c r="I3" s="832">
        <v>0</v>
      </c>
      <c r="J3" s="832">
        <v>0</v>
      </c>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241825</v>
      </c>
      <c r="D5" s="838">
        <v>0</v>
      </c>
      <c r="E5" s="838">
        <v>0</v>
      </c>
      <c r="F5" s="1757">
        <f>(C5+D5)-E5</f>
        <v>241825</v>
      </c>
      <c r="G5" s="834"/>
      <c r="H5" s="839"/>
      <c r="I5" s="839"/>
      <c r="J5" s="839"/>
      <c r="K5" s="790"/>
      <c r="L5" s="1766">
        <f>F5-K5</f>
        <v>241825</v>
      </c>
    </row>
    <row r="6" spans="1:14" ht="14.25" thickTop="1" thickBot="1" x14ac:dyDescent="0.25">
      <c r="A6" s="775" t="s">
        <v>1117</v>
      </c>
      <c r="B6" s="837">
        <v>222</v>
      </c>
      <c r="C6" s="762">
        <v>0</v>
      </c>
      <c r="D6" s="762">
        <v>0</v>
      </c>
      <c r="E6" s="762">
        <v>0</v>
      </c>
      <c r="F6" s="1757">
        <f>(C6+D6)-E6</f>
        <v>0</v>
      </c>
      <c r="G6" s="834">
        <v>50</v>
      </c>
      <c r="H6" s="762">
        <v>0</v>
      </c>
      <c r="I6" s="762">
        <v>0</v>
      </c>
      <c r="J6" s="762">
        <v>0</v>
      </c>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16608414</v>
      </c>
      <c r="D8" s="841">
        <v>2008947</v>
      </c>
      <c r="E8" s="841">
        <v>0</v>
      </c>
      <c r="F8" s="1757">
        <f>(C8+D8)-E8</f>
        <v>18617361</v>
      </c>
      <c r="G8" s="840">
        <v>50</v>
      </c>
      <c r="H8" s="762">
        <v>8173592</v>
      </c>
      <c r="I8" s="762">
        <v>372348</v>
      </c>
      <c r="J8" s="762">
        <v>0</v>
      </c>
      <c r="K8" s="1766">
        <f>(H8+I8)-J8</f>
        <v>8545940</v>
      </c>
      <c r="L8" s="1766">
        <f>F8-K8</f>
        <v>10071421</v>
      </c>
    </row>
    <row r="9" spans="1:14" ht="14.25" thickTop="1" thickBot="1" x14ac:dyDescent="0.25">
      <c r="A9" s="775" t="s">
        <v>1119</v>
      </c>
      <c r="B9" s="837">
        <v>232</v>
      </c>
      <c r="C9" s="762">
        <v>0</v>
      </c>
      <c r="D9" s="762">
        <v>0</v>
      </c>
      <c r="E9" s="762">
        <v>0</v>
      </c>
      <c r="F9" s="1757">
        <f>(C9+D9)-E9</f>
        <v>0</v>
      </c>
      <c r="G9" s="840">
        <v>20</v>
      </c>
      <c r="H9" s="762">
        <v>0</v>
      </c>
      <c r="I9" s="762">
        <v>0</v>
      </c>
      <c r="J9" s="762">
        <v>0</v>
      </c>
      <c r="K9" s="1766">
        <f>(H9+I9)-J9</f>
        <v>0</v>
      </c>
      <c r="L9" s="1766">
        <f>F9-K9</f>
        <v>0</v>
      </c>
    </row>
    <row r="10" spans="1:14" ht="24" thickTop="1" thickBot="1" x14ac:dyDescent="0.25">
      <c r="A10" s="842" t="s">
        <v>1120</v>
      </c>
      <c r="B10" s="837">
        <v>240</v>
      </c>
      <c r="C10" s="843">
        <v>1752339</v>
      </c>
      <c r="D10" s="843">
        <v>0</v>
      </c>
      <c r="E10" s="843">
        <v>0</v>
      </c>
      <c r="F10" s="1761">
        <f>(C10+D10)-E10</f>
        <v>1752339</v>
      </c>
      <c r="G10" s="840">
        <v>20</v>
      </c>
      <c r="H10" s="844">
        <v>1086906</v>
      </c>
      <c r="I10" s="844">
        <v>60660</v>
      </c>
      <c r="J10" s="844">
        <v>0</v>
      </c>
      <c r="K10" s="1766">
        <f>(H10+I10)-J10</f>
        <v>1147566</v>
      </c>
      <c r="L10" s="1766">
        <f>F10-K10</f>
        <v>604773</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2111240</v>
      </c>
      <c r="D12" s="841">
        <v>358396</v>
      </c>
      <c r="E12" s="841">
        <v>160009</v>
      </c>
      <c r="F12" s="1757">
        <f>(C12+D12)-E12</f>
        <v>2309627</v>
      </c>
      <c r="G12" s="840">
        <v>10</v>
      </c>
      <c r="H12" s="762">
        <v>1287019</v>
      </c>
      <c r="I12" s="762">
        <v>230962</v>
      </c>
      <c r="J12" s="762">
        <v>160009</v>
      </c>
      <c r="K12" s="1766">
        <f>(H12+I12)-J12</f>
        <v>1357972</v>
      </c>
      <c r="L12" s="1766">
        <f>F12-K12</f>
        <v>951655</v>
      </c>
    </row>
    <row r="13" spans="1:14" ht="14.25" thickTop="1" thickBot="1" x14ac:dyDescent="0.25">
      <c r="A13" s="845" t="s">
        <v>1122</v>
      </c>
      <c r="B13" s="837">
        <v>252</v>
      </c>
      <c r="C13" s="841">
        <v>150558</v>
      </c>
      <c r="D13" s="841">
        <v>0</v>
      </c>
      <c r="E13" s="841">
        <v>0</v>
      </c>
      <c r="F13" s="1757">
        <f>(C13+D13)-E13</f>
        <v>150558</v>
      </c>
      <c r="G13" s="840">
        <v>5</v>
      </c>
      <c r="H13" s="762">
        <v>150558</v>
      </c>
      <c r="I13" s="762">
        <v>0</v>
      </c>
      <c r="J13" s="762">
        <v>0</v>
      </c>
      <c r="K13" s="1766">
        <f>(H13+I13)-J13</f>
        <v>150558</v>
      </c>
      <c r="L13" s="1766">
        <f>F13-K13</f>
        <v>0</v>
      </c>
    </row>
    <row r="14" spans="1:14" ht="14.25" thickTop="1" thickBot="1" x14ac:dyDescent="0.25">
      <c r="A14" s="845" t="s">
        <v>1123</v>
      </c>
      <c r="B14" s="837">
        <v>253</v>
      </c>
      <c r="C14" s="762">
        <v>0</v>
      </c>
      <c r="D14" s="762">
        <v>0</v>
      </c>
      <c r="E14" s="762">
        <v>0</v>
      </c>
      <c r="F14" s="1757">
        <f>(C14+D14)-E14</f>
        <v>0</v>
      </c>
      <c r="G14" s="840">
        <v>3</v>
      </c>
      <c r="H14" s="762">
        <v>0</v>
      </c>
      <c r="I14" s="762">
        <v>0</v>
      </c>
      <c r="J14" s="762">
        <v>0</v>
      </c>
      <c r="K14" s="1766">
        <f>(H14+I14)-J14</f>
        <v>0</v>
      </c>
      <c r="L14" s="1766">
        <f>F14-K14</f>
        <v>0</v>
      </c>
    </row>
    <row r="15" spans="1:14" ht="15" customHeight="1" thickTop="1" thickBot="1" x14ac:dyDescent="0.25">
      <c r="A15" s="1628" t="s">
        <v>528</v>
      </c>
      <c r="B15" s="1627">
        <v>260</v>
      </c>
      <c r="C15" s="841">
        <v>2774318</v>
      </c>
      <c r="D15" s="841">
        <v>2581153</v>
      </c>
      <c r="E15" s="841">
        <v>423214</v>
      </c>
      <c r="F15" s="1757">
        <f>(C15+D15)-E15</f>
        <v>4932257</v>
      </c>
      <c r="G15" s="846" t="s">
        <v>862</v>
      </c>
      <c r="H15" s="778"/>
      <c r="I15" s="778"/>
      <c r="J15" s="778"/>
      <c r="K15" s="778"/>
      <c r="L15" s="1766">
        <f>F15-K15</f>
        <v>4932257</v>
      </c>
    </row>
    <row r="16" spans="1:14" ht="15" customHeight="1" thickTop="1" thickBot="1" x14ac:dyDescent="0.25">
      <c r="A16" s="1762" t="s">
        <v>643</v>
      </c>
      <c r="B16" s="1763">
        <v>200</v>
      </c>
      <c r="C16" s="1757">
        <f>SUM(C3,C5:C6,C8:C10,C12:C15)</f>
        <v>23638694</v>
      </c>
      <c r="D16" s="1757">
        <f>SUM(D3,D5:D6,D8:D10,D12:D15)</f>
        <v>4948496</v>
      </c>
      <c r="E16" s="1757">
        <f>SUM(E3,E5:E6,E8:E10,E12:E15)</f>
        <v>583223</v>
      </c>
      <c r="F16" s="1757">
        <f>SUM(F3,F5:F6,F8:F10,F12:F15)</f>
        <v>28003967</v>
      </c>
      <c r="G16" s="840"/>
      <c r="H16" s="1757">
        <f>SUM(H3,H6,H8:H10,H12:H14,)</f>
        <v>10698075</v>
      </c>
      <c r="I16" s="1757">
        <f>SUM(I3,I6,I8:I10,I12:I14,)</f>
        <v>663970</v>
      </c>
      <c r="J16" s="1757">
        <f>SUM(J3,J6,J8:J10,J12:J14,)</f>
        <v>160009</v>
      </c>
      <c r="K16" s="1757">
        <f>(H16+I16)-J16</f>
        <v>11202036</v>
      </c>
      <c r="L16" s="1757">
        <f>F16-K16</f>
        <v>16801931</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663970</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J32" sqref="J32"/>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336" t="s">
        <v>1975</v>
      </c>
      <c r="B1" s="2337"/>
      <c r="C1" s="2337"/>
      <c r="D1" s="2337"/>
      <c r="E1" s="2337"/>
      <c r="F1" s="2338"/>
      <c r="G1" s="852"/>
    </row>
    <row r="2" spans="1:7" ht="15" customHeight="1" thickBot="1" x14ac:dyDescent="0.25">
      <c r="A2" s="2339" t="s">
        <v>477</v>
      </c>
      <c r="B2" s="2340"/>
      <c r="C2" s="2340"/>
      <c r="D2" s="2340"/>
      <c r="E2" s="2340"/>
      <c r="F2" s="2341"/>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342"/>
      <c r="B5" s="2343"/>
      <c r="C5" s="2343"/>
      <c r="D5" s="2343"/>
      <c r="E5" s="2343"/>
      <c r="F5" s="2343"/>
    </row>
    <row r="6" spans="1:7" ht="13.5" customHeight="1" thickBot="1" x14ac:dyDescent="0.25">
      <c r="A6" s="2333" t="s">
        <v>1104</v>
      </c>
      <c r="B6" s="2334"/>
      <c r="C6" s="2334"/>
      <c r="D6" s="2334"/>
      <c r="E6" s="2334"/>
      <c r="F6" s="2335"/>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8496093</v>
      </c>
      <c r="G8" s="862"/>
    </row>
    <row r="9" spans="1:7" x14ac:dyDescent="0.2">
      <c r="A9" s="866" t="s">
        <v>460</v>
      </c>
      <c r="B9" s="867" t="s">
        <v>1877</v>
      </c>
      <c r="C9" s="868"/>
      <c r="D9" s="866" t="s">
        <v>501</v>
      </c>
      <c r="E9" s="865"/>
      <c r="F9" s="1906">
        <f>'Expenditures 15-22'!K151</f>
        <v>817212</v>
      </c>
      <c r="G9" s="869"/>
    </row>
    <row r="10" spans="1:7" x14ac:dyDescent="0.2">
      <c r="A10" s="866" t="s">
        <v>499</v>
      </c>
      <c r="B10" s="867" t="s">
        <v>1878</v>
      </c>
      <c r="C10" s="868"/>
      <c r="D10" s="866" t="s">
        <v>501</v>
      </c>
      <c r="E10" s="865"/>
      <c r="F10" s="1906">
        <f>'Expenditures 15-22'!K174</f>
        <v>1148664</v>
      </c>
      <c r="G10" s="869"/>
    </row>
    <row r="11" spans="1:7" x14ac:dyDescent="0.2">
      <c r="A11" s="866" t="s">
        <v>461</v>
      </c>
      <c r="B11" s="867" t="s">
        <v>1879</v>
      </c>
      <c r="C11" s="868"/>
      <c r="D11" s="866" t="s">
        <v>501</v>
      </c>
      <c r="E11" s="865"/>
      <c r="F11" s="1906">
        <f>'Expenditures 15-22'!K210</f>
        <v>493197</v>
      </c>
      <c r="G11" s="869"/>
    </row>
    <row r="12" spans="1:7" x14ac:dyDescent="0.2">
      <c r="A12" s="866" t="s">
        <v>462</v>
      </c>
      <c r="B12" s="867" t="s">
        <v>1880</v>
      </c>
      <c r="C12" s="868"/>
      <c r="D12" s="866" t="s">
        <v>501</v>
      </c>
      <c r="E12" s="865"/>
      <c r="F12" s="1906">
        <f>'Expenditures 15-22'!K295</f>
        <v>200745</v>
      </c>
      <c r="G12" s="869"/>
    </row>
    <row r="13" spans="1:7" x14ac:dyDescent="0.2">
      <c r="A13" s="866" t="s">
        <v>106</v>
      </c>
      <c r="B13" s="867" t="s">
        <v>1881</v>
      </c>
      <c r="C13" s="868"/>
      <c r="D13" s="866" t="s">
        <v>501</v>
      </c>
      <c r="E13" s="865"/>
      <c r="F13" s="1906">
        <f>'Expenditures 15-22'!K342</f>
        <v>352456</v>
      </c>
      <c r="G13" s="870"/>
    </row>
    <row r="14" spans="1:7" ht="12" customHeight="1" thickBot="1" x14ac:dyDescent="0.25">
      <c r="A14" s="1767"/>
      <c r="B14" s="1768"/>
      <c r="C14" s="1769"/>
      <c r="D14" s="1770" t="s">
        <v>501</v>
      </c>
      <c r="E14" s="1771" t="s">
        <v>958</v>
      </c>
      <c r="F14" s="1772">
        <f>SUM(F8:F13)</f>
        <v>11508367</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114719</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228</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476097</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2500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6234</v>
      </c>
      <c r="G52" s="862"/>
    </row>
    <row r="53" spans="1:7" x14ac:dyDescent="0.2">
      <c r="A53" s="866" t="s">
        <v>459</v>
      </c>
      <c r="B53" s="866" t="s">
        <v>1475</v>
      </c>
      <c r="C53" s="886">
        <f>'Expenditures 15-22'!B102</f>
        <v>4000</v>
      </c>
      <c r="D53" s="885" t="str">
        <f>'Expenditures 15-22'!A102</f>
        <v>Total Payments to Other Govt Units</v>
      </c>
      <c r="E53" s="865"/>
      <c r="F53" s="1910">
        <f>'Expenditures 15-22'!K102</f>
        <v>235778</v>
      </c>
      <c r="G53" s="862"/>
    </row>
    <row r="54" spans="1:7" x14ac:dyDescent="0.2">
      <c r="A54" s="866" t="s">
        <v>459</v>
      </c>
      <c r="B54" s="866" t="s">
        <v>1476</v>
      </c>
      <c r="C54" s="886" t="s">
        <v>982</v>
      </c>
      <c r="D54" s="882" t="s">
        <v>1095</v>
      </c>
      <c r="E54" s="865"/>
      <c r="F54" s="1910">
        <f>'Expenditures 15-22'!G114</f>
        <v>330496</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9797</v>
      </c>
      <c r="G56" s="862"/>
    </row>
    <row r="57" spans="1:7" x14ac:dyDescent="0.2">
      <c r="A57" s="866" t="s">
        <v>460</v>
      </c>
      <c r="B57" s="866" t="s">
        <v>1882</v>
      </c>
      <c r="C57" s="886">
        <f>'Expenditures 15-22'!B139</f>
        <v>4000</v>
      </c>
      <c r="D57" s="884" t="str">
        <f>'Expenditures 15-22'!A139</f>
        <v>Total Payments to Other Govt Units</v>
      </c>
      <c r="E57" s="865"/>
      <c r="F57" s="1910">
        <f>'Expenditures 15-22'!K139</f>
        <v>8564</v>
      </c>
      <c r="G57" s="862"/>
    </row>
    <row r="58" spans="1:7" x14ac:dyDescent="0.2">
      <c r="A58" s="866" t="s">
        <v>460</v>
      </c>
      <c r="B58" s="866" t="s">
        <v>1883</v>
      </c>
      <c r="C58" s="883" t="s">
        <v>982</v>
      </c>
      <c r="D58" s="882" t="s">
        <v>1095</v>
      </c>
      <c r="E58" s="865"/>
      <c r="F58" s="1912">
        <f>'Expenditures 15-22'!G151</f>
        <v>6123</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785000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3694</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173</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1979403</v>
      </c>
      <c r="G76" s="862"/>
    </row>
    <row r="77" spans="1:8" s="890" customFormat="1" ht="12" customHeight="1" thickTop="1" thickBot="1" x14ac:dyDescent="0.25">
      <c r="A77" s="1776"/>
      <c r="B77" s="1773"/>
      <c r="C77" s="1769"/>
      <c r="D77" s="1774" t="s">
        <v>1900</v>
      </c>
      <c r="E77" s="1771"/>
      <c r="F77" s="1777">
        <f>(F14-F76)</f>
        <v>9528964</v>
      </c>
      <c r="G77" s="866"/>
    </row>
    <row r="78" spans="1:8" s="890" customFormat="1" ht="12" customHeight="1" thickTop="1" x14ac:dyDescent="0.2">
      <c r="A78" s="1778"/>
      <c r="B78" s="1773"/>
      <c r="C78" s="1769"/>
      <c r="D78" s="1774" t="s">
        <v>2062</v>
      </c>
      <c r="E78" s="1771"/>
      <c r="F78" s="895">
        <v>873.6</v>
      </c>
      <c r="G78" s="896"/>
      <c r="H78" s="866"/>
    </row>
    <row r="79" spans="1:8" s="890" customFormat="1" ht="12" customHeight="1" thickBot="1" x14ac:dyDescent="0.25">
      <c r="A79" s="1779"/>
      <c r="B79" s="1773"/>
      <c r="C79" s="1769"/>
      <c r="D79" s="1774" t="s">
        <v>1901</v>
      </c>
      <c r="E79" s="1771" t="s">
        <v>958</v>
      </c>
      <c r="F79" s="1780">
        <f>IF(F78&gt;0,F77/F78," Complete Line 78")</f>
        <v>10907.696886446885</v>
      </c>
      <c r="G79" s="866"/>
    </row>
    <row r="80" spans="1:8" s="890" customFormat="1" ht="8.25" customHeight="1" thickTop="1" x14ac:dyDescent="0.2">
      <c r="A80" s="897"/>
      <c r="B80" s="866"/>
      <c r="C80" s="868"/>
      <c r="D80" s="898"/>
      <c r="E80" s="865"/>
      <c r="F80" s="899"/>
      <c r="G80" s="866"/>
    </row>
    <row r="81" spans="1:7" s="890" customFormat="1" ht="12" thickBot="1" x14ac:dyDescent="0.25">
      <c r="A81" s="2333" t="s">
        <v>1105</v>
      </c>
      <c r="B81" s="2334"/>
      <c r="C81" s="2334"/>
      <c r="D81" s="2334"/>
      <c r="E81" s="2334"/>
      <c r="F81" s="2335"/>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154991</v>
      </c>
      <c r="G94" s="909"/>
    </row>
    <row r="95" spans="1:7" x14ac:dyDescent="0.2">
      <c r="A95" s="905" t="s">
        <v>140</v>
      </c>
      <c r="B95" s="905" t="s">
        <v>175</v>
      </c>
      <c r="C95" s="907">
        <v>1700</v>
      </c>
      <c r="D95" s="915" t="str">
        <f>'Revenues 9-14'!A82</f>
        <v>Total District/School Activity Income</v>
      </c>
      <c r="E95" s="903"/>
      <c r="F95" s="1786">
        <f>SUM('Revenues 9-14'!C82,'Revenues 9-14'!D82)</f>
        <v>94824</v>
      </c>
      <c r="G95" s="909"/>
    </row>
    <row r="96" spans="1:7" x14ac:dyDescent="0.2">
      <c r="A96" s="905" t="s">
        <v>459</v>
      </c>
      <c r="B96" s="905" t="s">
        <v>176</v>
      </c>
      <c r="C96" s="907">
        <f>'Revenues 9-14'!B84</f>
        <v>1811</v>
      </c>
      <c r="D96" s="908" t="str">
        <f>'Revenues 9-14'!A84</f>
        <v>Rentals - Regular Textbooks</v>
      </c>
      <c r="E96" s="903"/>
      <c r="F96" s="1786">
        <f>'Revenues 9-14'!C84</f>
        <v>76542</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36080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177734</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63196</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2940</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11925</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197630</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2093</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202039</v>
      </c>
      <c r="G125" s="927"/>
    </row>
    <row r="126" spans="1:7" x14ac:dyDescent="0.2">
      <c r="A126" s="924" t="s">
        <v>668</v>
      </c>
      <c r="B126" s="924" t="s">
        <v>2024</v>
      </c>
      <c r="C126" s="929">
        <v>4300</v>
      </c>
      <c r="D126" s="930" t="str">
        <f>'Revenues 9-14'!A204</f>
        <v>Total Title I</v>
      </c>
      <c r="E126" s="903"/>
      <c r="F126" s="1786">
        <f>SUM('Revenues 9-14'!C204,'Revenues 9-14'!D204,'Revenues 9-14'!F204,'Revenues 9-14'!G204)</f>
        <v>26952</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0</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0</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10218</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1870</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254615.23</v>
      </c>
      <c r="G171" s="924"/>
    </row>
    <row r="172" spans="1:7" x14ac:dyDescent="0.2">
      <c r="A172" s="1915" t="s">
        <v>664</v>
      </c>
      <c r="B172" s="1916" t="s">
        <v>1920</v>
      </c>
      <c r="C172" s="1917">
        <v>3300</v>
      </c>
      <c r="D172" s="1918" t="s">
        <v>1923</v>
      </c>
      <c r="E172" s="903"/>
      <c r="F172" s="1903">
        <v>0</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1313649.23</v>
      </c>
    </row>
    <row r="175" spans="1:7" ht="12" customHeight="1" x14ac:dyDescent="0.2">
      <c r="A175" s="1767"/>
      <c r="B175" s="1781"/>
      <c r="C175" s="1782"/>
      <c r="D175" s="1783" t="s">
        <v>2057</v>
      </c>
      <c r="E175" s="1784"/>
      <c r="F175" s="1786">
        <f>'PCTC-OEPP 27-28'!F77-F174</f>
        <v>8215314.7699999996</v>
      </c>
    </row>
    <row r="176" spans="1:7" ht="12" customHeight="1" x14ac:dyDescent="0.2">
      <c r="A176" s="1767"/>
      <c r="B176" s="1781"/>
      <c r="C176" s="1782"/>
      <c r="D176" s="1783" t="s">
        <v>1817</v>
      </c>
      <c r="E176" s="1784"/>
      <c r="F176" s="1786">
        <f>'Cap Outlay Deprec 26'!I18</f>
        <v>663970</v>
      </c>
    </row>
    <row r="177" spans="1:7" ht="12" customHeight="1" x14ac:dyDescent="0.2">
      <c r="A177" s="1767"/>
      <c r="B177" s="1781"/>
      <c r="C177" s="1782"/>
      <c r="D177" s="1783" t="s">
        <v>2058</v>
      </c>
      <c r="E177" s="1784"/>
      <c r="F177" s="1786">
        <f>F175+F176</f>
        <v>8879284.7699999996</v>
      </c>
    </row>
    <row r="178" spans="1:7" ht="12" customHeight="1" x14ac:dyDescent="0.2">
      <c r="A178" s="1767"/>
      <c r="B178" s="1787"/>
      <c r="C178" s="1782"/>
      <c r="D178" s="1783" t="str">
        <f>D78</f>
        <v>9 Month ADA from District Average Daily Attendance/Prior General State Aid Inquiry 2018-2019</v>
      </c>
      <c r="E178" s="1784"/>
      <c r="F178" s="1788">
        <f>'PCTC-OEPP 27-28'!F78</f>
        <v>873.6</v>
      </c>
      <c r="G178" s="927"/>
    </row>
    <row r="179" spans="1:7" ht="12" customHeight="1" thickBot="1" x14ac:dyDescent="0.25">
      <c r="A179" s="1767"/>
      <c r="B179" s="1787"/>
      <c r="C179" s="1782"/>
      <c r="D179" s="1783" t="s">
        <v>2059</v>
      </c>
      <c r="E179" s="1784" t="s">
        <v>1545</v>
      </c>
      <c r="F179" s="1789">
        <f>F177/F178</f>
        <v>10164.016449175824</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J32" sqref="J32"/>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347" t="s">
        <v>1818</v>
      </c>
      <c r="B4" s="2348"/>
      <c r="C4" s="2348"/>
      <c r="D4" s="2348"/>
      <c r="E4" s="2348"/>
      <c r="F4" s="2348"/>
      <c r="G4" s="2349"/>
    </row>
    <row r="5" spans="1:7" x14ac:dyDescent="0.25">
      <c r="A5" s="2350"/>
      <c r="B5" s="2351"/>
      <c r="C5" s="2351"/>
      <c r="D5" s="2351"/>
      <c r="E5" s="2351"/>
      <c r="F5" s="2351"/>
      <c r="G5" s="2352"/>
    </row>
    <row r="6" spans="1:7" ht="18.75" x14ac:dyDescent="0.25">
      <c r="A6" s="1531" t="s">
        <v>1819</v>
      </c>
      <c r="B6" s="1532"/>
      <c r="C6" s="1532"/>
      <c r="D6" s="1532"/>
      <c r="E6" s="1532"/>
      <c r="F6" s="1532"/>
      <c r="G6" s="1533"/>
    </row>
    <row r="7" spans="1:7" ht="30.75" customHeight="1" x14ac:dyDescent="0.25">
      <c r="A7" s="2353" t="s">
        <v>1932</v>
      </c>
      <c r="B7" s="2354"/>
      <c r="C7" s="2354"/>
      <c r="D7" s="2354"/>
      <c r="E7" s="2354"/>
      <c r="F7" s="2354"/>
      <c r="G7" s="2355"/>
    </row>
    <row r="8" spans="1:7" ht="15.75" customHeight="1" x14ac:dyDescent="0.25">
      <c r="A8" s="2356" t="s">
        <v>1907</v>
      </c>
      <c r="B8" s="2357"/>
      <c r="C8" s="2357"/>
      <c r="D8" s="2357"/>
      <c r="E8" s="2357"/>
      <c r="F8" s="2357"/>
      <c r="G8" s="2358"/>
    </row>
    <row r="9" spans="1:7" ht="35.25" customHeight="1" x14ac:dyDescent="0.25">
      <c r="A9" s="2353" t="s">
        <v>1935</v>
      </c>
      <c r="B9" s="2354"/>
      <c r="C9" s="2354"/>
      <c r="D9" s="2354"/>
      <c r="E9" s="2354"/>
      <c r="F9" s="2354"/>
      <c r="G9" s="2355"/>
    </row>
    <row r="10" spans="1:7" ht="15" customHeight="1" x14ac:dyDescent="0.25">
      <c r="A10" s="1534" t="s">
        <v>1820</v>
      </c>
      <c r="B10" s="1535"/>
      <c r="C10" s="1535"/>
      <c r="D10" s="1535"/>
      <c r="E10" s="1535"/>
      <c r="F10" s="1535"/>
      <c r="G10" s="1536"/>
    </row>
    <row r="11" spans="1:7" ht="17.25" customHeight="1" x14ac:dyDescent="0.25">
      <c r="A11" s="2353" t="s">
        <v>1934</v>
      </c>
      <c r="B11" s="2354"/>
      <c r="C11" s="2354"/>
      <c r="D11" s="2354"/>
      <c r="E11" s="2354"/>
      <c r="F11" s="2354"/>
      <c r="G11" s="2355"/>
    </row>
    <row r="12" spans="1:7" ht="15" customHeight="1" x14ac:dyDescent="0.25">
      <c r="A12" s="1534" t="s">
        <v>1825</v>
      </c>
      <c r="B12" s="1535"/>
      <c r="C12" s="1535"/>
      <c r="D12" s="1535"/>
      <c r="E12" s="1535"/>
      <c r="F12" s="1535"/>
      <c r="G12" s="1536"/>
    </row>
    <row r="13" spans="1:7" ht="32.25" customHeight="1" x14ac:dyDescent="0.25">
      <c r="A13" s="2344" t="s">
        <v>1976</v>
      </c>
      <c r="B13" s="2345"/>
      <c r="C13" s="2345"/>
      <c r="D13" s="2345"/>
      <c r="E13" s="2345"/>
      <c r="F13" s="2345"/>
      <c r="G13" s="2346"/>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2015" t="s">
        <v>2092</v>
      </c>
      <c r="B17" s="2016" t="s">
        <v>2093</v>
      </c>
      <c r="C17" s="2017" t="s">
        <v>2094</v>
      </c>
      <c r="D17" s="1841">
        <v>325308</v>
      </c>
      <c r="E17" s="1537">
        <f t="shared" ref="E17:E141" si="0">IF(D17&lt;=25000,D17,IF(D17&gt;25000,25000,0))</f>
        <v>25000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0">
        <f>IF(F17=0,0,D17-F17)</f>
        <v>300308</v>
      </c>
      <c r="H17" s="1644"/>
    </row>
    <row r="18" spans="1:8" x14ac:dyDescent="0.25">
      <c r="A18" s="2015" t="s">
        <v>2095</v>
      </c>
      <c r="B18" s="2016" t="s">
        <v>2096</v>
      </c>
      <c r="C18" s="2017" t="s">
        <v>2094</v>
      </c>
      <c r="D18" s="1841">
        <v>36900</v>
      </c>
      <c r="E18" s="1537">
        <f t="shared" ref="E18:E140" si="2">IF(D18&lt;=25000,D18,IF(D18&gt;25000,25000,0))</f>
        <v>25000</v>
      </c>
      <c r="F18" s="1929">
        <f t="shared" si="1"/>
        <v>25000</v>
      </c>
      <c r="G18" s="1790">
        <f t="shared" ref="G18:G140" si="3">IF(F18=0,0,D18-F18)</f>
        <v>11900</v>
      </c>
    </row>
    <row r="19" spans="1:8" x14ac:dyDescent="0.25">
      <c r="A19" s="2015"/>
      <c r="B19" s="2016"/>
      <c r="C19" s="1934"/>
      <c r="D19" s="1841"/>
      <c r="E19" s="1537">
        <f t="shared" si="2"/>
        <v>0</v>
      </c>
      <c r="F19" s="1929">
        <f t="shared" si="1"/>
        <v>0</v>
      </c>
      <c r="G19" s="1790">
        <f t="shared" si="3"/>
        <v>0</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362208</v>
      </c>
      <c r="E141" s="1538">
        <f t="shared" si="0"/>
        <v>25000</v>
      </c>
      <c r="F141" s="1930">
        <f>SUM(F17:F140)</f>
        <v>50000</v>
      </c>
      <c r="G141" s="1792">
        <f>SUM(G17:G140)</f>
        <v>312208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59" t="s">
        <v>1679</v>
      </c>
      <c r="B5" s="2360"/>
      <c r="C5" s="2360"/>
      <c r="D5" s="2360"/>
      <c r="E5" s="2360"/>
      <c r="F5" s="2360"/>
      <c r="G5" s="2361"/>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203521.5</v>
      </c>
      <c r="F10" s="971"/>
      <c r="G10" s="972"/>
      <c r="H10" s="162"/>
      <c r="I10" s="162"/>
    </row>
    <row r="11" spans="1:9" s="665" customFormat="1" ht="22.5" customHeight="1" x14ac:dyDescent="0.2">
      <c r="A11" s="2364" t="s">
        <v>1977</v>
      </c>
      <c r="B11" s="2365"/>
      <c r="C11" s="2365"/>
      <c r="D11" s="2366"/>
      <c r="E11" s="974">
        <v>37914.89</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5939506</v>
      </c>
      <c r="F19" s="1796"/>
      <c r="G19" s="1798">
        <f>'Expenditures 15-22'!K33-SUM('Expenditures 15-22'!G33,'Expenditures 15-22'!I33)+'Expenditures 15-22'!D229</f>
        <v>5939506</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332452</v>
      </c>
      <c r="F21" s="1799"/>
      <c r="G21" s="1802">
        <f>'Expenditures 15-22'!K42-SUM('Expenditures 15-22'!G42,'Expenditures 15-22'!I42)+'Expenditures 15-22'!K120-SUM('Expenditures 15-22'!G120,'Expenditures 15-22'!I120)+'Expenditures 15-22'!K180-SUM('Expenditures 15-22'!G180,'Expenditures 15-22'!I180)+'Expenditures 15-22'!D238</f>
        <v>332452</v>
      </c>
      <c r="H21" s="984"/>
      <c r="I21" s="162"/>
    </row>
    <row r="22" spans="1:9" s="665" customFormat="1" ht="12" customHeight="1" x14ac:dyDescent="0.2">
      <c r="A22" s="991" t="s">
        <v>564</v>
      </c>
      <c r="B22" s="992"/>
      <c r="C22" s="990">
        <v>2200</v>
      </c>
      <c r="D22" s="1799"/>
      <c r="E22" s="1801">
        <f>'Expenditures 15-22'!K47-SUM('Expenditures 15-22'!G47,'Expenditures 15-22'!I47)+'Expenditures 15-22'!D243</f>
        <v>287822</v>
      </c>
      <c r="F22" s="1799"/>
      <c r="G22" s="1802">
        <f>'Expenditures 15-22'!K47-SUM('Expenditures 15-22'!G47,'Expenditures 15-22'!I47)+'Expenditures 15-22'!D243</f>
        <v>287822</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639682</v>
      </c>
      <c r="F23" s="1799"/>
      <c r="G23" s="1801">
        <f>'Expenditures 15-22'!K53-SUM('Expenditures 15-22'!G53,'Expenditures 15-22'!I53)+'Expenditures 15-22'!D257+'Expenditures 15-22'!K330-SUM('Expenditures 15-22'!G330,'Expenditures 15-22'!I330)</f>
        <v>639682</v>
      </c>
      <c r="H23" s="984"/>
      <c r="I23" s="162"/>
    </row>
    <row r="24" spans="1:9" s="665" customFormat="1" ht="12" customHeight="1" x14ac:dyDescent="0.2">
      <c r="A24" s="991" t="s">
        <v>566</v>
      </c>
      <c r="B24" s="992"/>
      <c r="C24" s="990">
        <v>2400</v>
      </c>
      <c r="D24" s="1799"/>
      <c r="E24" s="1801">
        <f>'Expenditures 15-22'!K57-SUM('Expenditures 15-22'!G57,'Expenditures 15-22'!I57)+'Expenditures 15-22'!D261</f>
        <v>532225</v>
      </c>
      <c r="F24" s="1799"/>
      <c r="G24" s="1802">
        <f>'Expenditures 15-22'!K57-SUM('Expenditures 15-22'!G57,'Expenditures 15-22'!I57)+'Expenditures 15-22'!D261</f>
        <v>532225</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86871</v>
      </c>
      <c r="E27" s="1801">
        <f>E8</f>
        <v>0</v>
      </c>
      <c r="F27" s="1801">
        <f>'Expenditures 15-22'!K60-SUM('Expenditures 15-22'!G60,'Expenditures 15-22'!I60)+'Expenditures 15-22'!D264-E8</f>
        <v>86871</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836381</v>
      </c>
      <c r="F28" s="1803">
        <f>'Expenditures 15-22'!K61-SUM('Expenditures 15-22'!G61,'Expenditures 15-22'!I61)+'Expenditures 15-22'!K124-SUM('Expenditures 15-22'!G124,'Expenditures 15-22'!I124)+'Expenditures 15-22'!D266-E9</f>
        <v>836381</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493309</v>
      </c>
      <c r="F29" s="1799"/>
      <c r="G29" s="1802">
        <f>'Expenditures 15-22'!K62-SUM('Expenditures 15-22'!G62,'Expenditures 15-22'!I62)+'Expenditures 15-22'!K125-SUM('Expenditures 15-22'!G125,'Expenditures 15-22'!I125)+'Expenditures 15-22'!K182-SUM('Expenditures 15-22'!G182,'Expenditures 15-22'!I182)+'Expenditures 15-22'!D267</f>
        <v>493309</v>
      </c>
      <c r="H29" s="982"/>
    </row>
    <row r="30" spans="1:9" ht="12" customHeight="1" x14ac:dyDescent="0.2">
      <c r="A30" s="991" t="s">
        <v>100</v>
      </c>
      <c r="B30" s="994"/>
      <c r="C30" s="990">
        <v>2560</v>
      </c>
      <c r="D30" s="1799"/>
      <c r="E30" s="1801">
        <f>'Expenditures 15-22'!K63-SUM('Expenditures 15-22'!G63,'Expenditures 15-22'!I63)+'Expenditures 15-22'!D268-E10</f>
        <v>200096.5</v>
      </c>
      <c r="F30" s="1799"/>
      <c r="G30" s="1801">
        <f>'Expenditures 15-22'!K63-SUM('Expenditures 15-22'!G63,'Expenditures 15-22'!I63)+'Expenditures 15-22'!D268-E10</f>
        <v>200096.5</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210584</v>
      </c>
      <c r="E37" s="1801">
        <f>E14</f>
        <v>0</v>
      </c>
      <c r="F37" s="1801">
        <f>'Expenditures 15-22'!K71-SUM('Expenditures 15-22'!G71,'Expenditures 15-22'!I71)+'Expenditures 15-22'!D276-E14</f>
        <v>210584</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88</v>
      </c>
      <c r="F38" s="1799"/>
      <c r="G38" s="1801">
        <f>'Expenditures 15-22'!K73-SUM('Expenditures 15-22'!G73,'Expenditures 15-22'!I73)+'Expenditures 15-22'!K128-SUM('Expenditures 15-22'!G128,'Expenditures 15-22'!I128)+'Expenditures 15-22'!K183-SUM('Expenditures 15-22'!G183,'Expenditures 15-22'!I183)+'Expenditures 15-22'!D278</f>
        <v>88</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16204</v>
      </c>
      <c r="F39" s="1799"/>
      <c r="G39" s="1801">
        <f>'Expenditures 15-22'!K75-SUM('Expenditures 15-22'!G75,'Expenditures 15-22'!I75)+'Expenditures 15-22'!K130-SUM('Expenditures 15-22'!G130,'Expenditures 15-22'!I130)+'Expenditures 15-22'!K185-SUM('Expenditures 15-22'!G185,'Expenditures 15-22'!I185)+'Expenditures 15-22'!D280</f>
        <v>16204</v>
      </c>
    </row>
    <row r="40" spans="1:7" ht="12" customHeight="1" x14ac:dyDescent="0.2">
      <c r="A40" s="987" t="s">
        <v>1823</v>
      </c>
      <c r="B40" s="988"/>
      <c r="C40" s="990"/>
      <c r="D40" s="1799"/>
      <c r="E40" s="1803">
        <f>-'Contracts Paid in CY 29'!G141</f>
        <v>-312208</v>
      </c>
      <c r="F40" s="1799"/>
      <c r="G40" s="1803">
        <f>-'Contracts Paid in CY 29'!G141</f>
        <v>-312208</v>
      </c>
    </row>
    <row r="41" spans="1:7" ht="12" customHeight="1" x14ac:dyDescent="0.2">
      <c r="A41" s="995" t="s">
        <v>156</v>
      </c>
      <c r="B41" s="996"/>
      <c r="C41" s="997"/>
      <c r="D41" s="1803">
        <f>SUM(D19:D39)</f>
        <v>297455</v>
      </c>
      <c r="E41" s="1803">
        <f>SUM(E19:E40)</f>
        <v>8965557.5</v>
      </c>
      <c r="F41" s="1803">
        <f>SUM(F19:F39)</f>
        <v>1133836</v>
      </c>
      <c r="G41" s="1803">
        <f>SUM(G19:G40)</f>
        <v>8129176.5</v>
      </c>
    </row>
    <row r="42" spans="1:7" x14ac:dyDescent="0.2">
      <c r="A42" s="984"/>
      <c r="B42" s="162"/>
      <c r="C42" s="998"/>
      <c r="D42" s="2362" t="s">
        <v>522</v>
      </c>
      <c r="E42" s="2363"/>
      <c r="F42" s="999" t="s">
        <v>523</v>
      </c>
      <c r="G42" s="1000"/>
    </row>
    <row r="43" spans="1:7" ht="12" customHeight="1" x14ac:dyDescent="0.2">
      <c r="A43" s="984"/>
      <c r="B43" s="162"/>
      <c r="C43" s="998"/>
      <c r="D43" s="1804" t="s">
        <v>473</v>
      </c>
      <c r="E43" s="1805">
        <f>D41</f>
        <v>297455</v>
      </c>
      <c r="F43" s="1804" t="s">
        <v>473</v>
      </c>
      <c r="G43" s="1805">
        <f>F41</f>
        <v>1133836</v>
      </c>
    </row>
    <row r="44" spans="1:7" ht="12" customHeight="1" x14ac:dyDescent="0.2">
      <c r="A44" s="984"/>
      <c r="B44" s="162"/>
      <c r="C44" s="998"/>
      <c r="D44" s="1804" t="s">
        <v>474</v>
      </c>
      <c r="E44" s="1805">
        <f>E41</f>
        <v>8965557.5</v>
      </c>
      <c r="F44" s="1804" t="s">
        <v>474</v>
      </c>
      <c r="G44" s="1805">
        <f>G41</f>
        <v>8129176.5</v>
      </c>
    </row>
    <row r="45" spans="1:7" ht="12" customHeight="1" x14ac:dyDescent="0.2">
      <c r="A45" s="984"/>
      <c r="B45" s="162"/>
      <c r="C45" s="162"/>
      <c r="D45" s="1806" t="s">
        <v>1006</v>
      </c>
      <c r="E45" s="1807">
        <f>(E43/E44)</f>
        <v>3.3177524097079296E-2</v>
      </c>
      <c r="F45" s="1806" t="s">
        <v>1006</v>
      </c>
      <c r="G45" s="1807">
        <f>(G43/G44)</f>
        <v>0.13947735050407628</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J32" sqref="J32"/>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81" t="s">
        <v>1379</v>
      </c>
      <c r="B1" s="2381"/>
      <c r="C1" s="2381"/>
      <c r="D1" s="2381"/>
      <c r="E1" s="2381"/>
      <c r="F1" s="2381"/>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382" t="s">
        <v>1546</v>
      </c>
      <c r="B5" s="2383"/>
      <c r="C5" s="2384"/>
      <c r="D5" s="2384"/>
      <c r="E5" s="2384"/>
      <c r="F5" s="2384"/>
    </row>
    <row r="6" spans="1:10" ht="12" customHeight="1" x14ac:dyDescent="0.25">
      <c r="A6" s="1847"/>
      <c r="B6" s="1848"/>
      <c r="C6" s="2385" t="str">
        <f>COVER!A17</f>
        <v>Morrison CUSD 6</v>
      </c>
      <c r="D6" s="2385"/>
      <c r="E6" s="2385"/>
      <c r="F6" s="1849"/>
    </row>
    <row r="7" spans="1:10" ht="11.25" customHeight="1" thickBot="1" x14ac:dyDescent="0.3">
      <c r="A7" s="1847"/>
      <c r="B7" s="1848"/>
      <c r="C7" s="2386">
        <f>COVER!A13</f>
        <v>47098006026</v>
      </c>
      <c r="D7" s="2386"/>
      <c r="E7" s="2386"/>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c r="D26" s="1862" t="s">
        <v>2080</v>
      </c>
      <c r="E26" s="1865"/>
      <c r="F26" s="1864" t="s">
        <v>2090</v>
      </c>
      <c r="H26" s="1875">
        <f t="shared" si="0"/>
        <v>0</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c r="D31" s="1862" t="s">
        <v>2080</v>
      </c>
      <c r="E31" s="1865"/>
      <c r="F31" s="1864" t="s">
        <v>2091</v>
      </c>
      <c r="H31" s="1875">
        <f t="shared" si="0"/>
        <v>0</v>
      </c>
      <c r="I31" s="1875">
        <f t="shared" si="1"/>
        <v>5</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0</v>
      </c>
      <c r="I34" s="1875">
        <f>SUM(I11:I32)</f>
        <v>10</v>
      </c>
      <c r="J34" s="1875">
        <f>SUM(J11:J32)</f>
        <v>0</v>
      </c>
      <c r="K34" s="1875">
        <f>SUM(H34:J34)</f>
        <v>10</v>
      </c>
    </row>
    <row r="35" spans="1:11" ht="12" customHeight="1" x14ac:dyDescent="0.2">
      <c r="A35" s="1868" t="s">
        <v>1392</v>
      </c>
      <c r="B35" s="1869"/>
      <c r="C35" s="2387"/>
      <c r="D35" s="2387"/>
      <c r="E35" s="2387"/>
      <c r="F35" s="2388"/>
    </row>
    <row r="36" spans="1:11" ht="12" customHeight="1" x14ac:dyDescent="0.2">
      <c r="A36" s="2370"/>
      <c r="B36" s="2371"/>
      <c r="C36" s="2371"/>
      <c r="D36" s="2371"/>
      <c r="E36" s="2371"/>
      <c r="F36" s="2372"/>
    </row>
    <row r="37" spans="1:11" ht="12" customHeight="1" x14ac:dyDescent="0.2">
      <c r="A37" s="2370"/>
      <c r="B37" s="2371"/>
      <c r="C37" s="2371"/>
      <c r="D37" s="2371"/>
      <c r="E37" s="2371"/>
      <c r="F37" s="2372"/>
    </row>
    <row r="38" spans="1:11" ht="12" customHeight="1" x14ac:dyDescent="0.2">
      <c r="A38" s="2373"/>
      <c r="B38" s="2374"/>
      <c r="C38" s="2374"/>
      <c r="D38" s="2374"/>
      <c r="E38" s="2374"/>
      <c r="F38" s="2375"/>
    </row>
    <row r="39" spans="1:11" ht="4.5" hidden="1" customHeight="1" x14ac:dyDescent="0.2">
      <c r="A39" s="1870"/>
      <c r="B39" s="1870"/>
      <c r="C39" s="1870"/>
      <c r="D39" s="1870"/>
      <c r="E39" s="1870"/>
      <c r="F39" s="1870"/>
    </row>
    <row r="40" spans="1:11" s="1867" customFormat="1" ht="12" customHeight="1" x14ac:dyDescent="0.25">
      <c r="A40" s="1871" t="s">
        <v>1391</v>
      </c>
      <c r="B40" s="1872"/>
      <c r="C40" s="2376"/>
      <c r="D40" s="2376"/>
      <c r="E40" s="2376"/>
      <c r="F40" s="2377"/>
      <c r="H40" s="1876"/>
      <c r="I40" s="1876"/>
      <c r="J40" s="1876"/>
      <c r="K40" s="1876"/>
    </row>
    <row r="41" spans="1:11" s="1867" customFormat="1" ht="12" customHeight="1" x14ac:dyDescent="0.25">
      <c r="A41" s="2378"/>
      <c r="B41" s="2379"/>
      <c r="C41" s="2379"/>
      <c r="D41" s="2379"/>
      <c r="E41" s="2379"/>
      <c r="F41" s="2380"/>
      <c r="H41" s="1876"/>
      <c r="I41" s="1876"/>
      <c r="J41" s="1876"/>
      <c r="K41" s="1876"/>
    </row>
    <row r="42" spans="1:11" s="1867" customFormat="1" ht="12" customHeight="1" x14ac:dyDescent="0.25">
      <c r="A42" s="2378"/>
      <c r="B42" s="2379"/>
      <c r="C42" s="2379"/>
      <c r="D42" s="2379"/>
      <c r="E42" s="2379"/>
      <c r="F42" s="2380"/>
      <c r="H42" s="1876"/>
      <c r="I42" s="1876"/>
      <c r="J42" s="1876"/>
      <c r="K42" s="1876"/>
    </row>
    <row r="43" spans="1:11" s="1867" customFormat="1" ht="15" x14ac:dyDescent="0.25">
      <c r="A43" s="2367"/>
      <c r="B43" s="2368"/>
      <c r="C43" s="2368"/>
      <c r="D43" s="2368"/>
      <c r="E43" s="2368"/>
      <c r="F43" s="2369"/>
      <c r="H43" s="1876"/>
      <c r="I43" s="1876"/>
      <c r="J43" s="1876"/>
      <c r="K43" s="1876"/>
    </row>
    <row r="44" spans="1:11" s="1867" customFormat="1" ht="12" hidden="1" customHeight="1" x14ac:dyDescent="0.25">
      <c r="A44" s="2367"/>
      <c r="B44" s="2368"/>
      <c r="C44" s="2368"/>
      <c r="D44" s="2368"/>
      <c r="E44" s="2368"/>
      <c r="F44" s="2369"/>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94" t="str">
        <f>COVER!A17</f>
        <v>Morrison CUSD 6</v>
      </c>
      <c r="J6" s="2395"/>
      <c r="Q6" s="1661"/>
    </row>
    <row r="7" spans="1:17" x14ac:dyDescent="0.2">
      <c r="A7" s="2396" t="s">
        <v>869</v>
      </c>
      <c r="B7" s="2397"/>
      <c r="C7" s="2397"/>
      <c r="D7" s="2397"/>
      <c r="E7" s="2398"/>
      <c r="F7" s="1014"/>
      <c r="G7" s="1006"/>
      <c r="H7" s="1013" t="s">
        <v>372</v>
      </c>
      <c r="I7" s="2399">
        <f>COVER!A13</f>
        <v>47098006026</v>
      </c>
      <c r="J7" s="2399"/>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400" t="s">
        <v>481</v>
      </c>
      <c r="B11" s="2401"/>
      <c r="C11" s="2402"/>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182016</v>
      </c>
      <c r="F12" s="1036"/>
      <c r="G12" s="1808">
        <f t="shared" ref="G12:G18" si="0">SUM(E12:F12)</f>
        <v>182016</v>
      </c>
      <c r="H12" s="1037">
        <v>186520</v>
      </c>
      <c r="I12" s="1036"/>
      <c r="J12" s="1808">
        <f t="shared" ref="J12:J18" si="1">SUM(H12:I12)</f>
        <v>186520</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403" t="s">
        <v>7</v>
      </c>
      <c r="C18" s="2404"/>
      <c r="D18" s="2405"/>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182016</v>
      </c>
      <c r="F19" s="1810">
        <f t="shared" si="2"/>
        <v>0</v>
      </c>
      <c r="G19" s="1810">
        <f t="shared" si="2"/>
        <v>182016</v>
      </c>
      <c r="H19" s="1810">
        <f t="shared" si="2"/>
        <v>186520</v>
      </c>
      <c r="I19" s="1810">
        <f t="shared" si="2"/>
        <v>0</v>
      </c>
      <c r="J19" s="1810">
        <f t="shared" si="2"/>
        <v>186520</v>
      </c>
    </row>
    <row r="20" spans="1:10" ht="13.5" thickTop="1" x14ac:dyDescent="0.2">
      <c r="A20" s="1032">
        <v>9</v>
      </c>
      <c r="B20" s="2406" t="s">
        <v>1981</v>
      </c>
      <c r="C20" s="2406"/>
      <c r="D20" s="2407"/>
      <c r="E20" s="1043"/>
      <c r="F20" s="1043"/>
      <c r="G20" s="1043"/>
      <c r="H20" s="1043"/>
      <c r="I20" s="1043"/>
      <c r="J20" s="1811">
        <f>IF(AND(G19&gt;0,J19&gt;0),(((J19-G19)/G19)),"Enter Budget Data")</f>
        <v>2.474507735583685E-2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412"/>
      <c r="D26" s="2412"/>
      <c r="E26" s="1047"/>
      <c r="F26" s="2411"/>
      <c r="G26" s="2411"/>
    </row>
    <row r="27" spans="1:10" x14ac:dyDescent="0.2">
      <c r="B27" s="1044"/>
      <c r="C27" s="1048" t="s">
        <v>1033</v>
      </c>
      <c r="D27" s="1049"/>
      <c r="E27" s="1050"/>
      <c r="F27" s="2408" t="s">
        <v>1509</v>
      </c>
      <c r="G27" s="2408"/>
    </row>
    <row r="28" spans="1:10" ht="28.5" customHeight="1" x14ac:dyDescent="0.2">
      <c r="B28" s="1044"/>
      <c r="C28" s="2410"/>
      <c r="D28" s="2410"/>
      <c r="E28" s="1051"/>
      <c r="F28" s="2410"/>
      <c r="G28" s="2410"/>
    </row>
    <row r="29" spans="1:10" x14ac:dyDescent="0.2">
      <c r="B29" s="1044"/>
      <c r="C29" s="1052" t="s">
        <v>1561</v>
      </c>
      <c r="E29" s="1053"/>
      <c r="F29" s="2409" t="s">
        <v>1510</v>
      </c>
      <c r="G29" s="2409"/>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91" t="s">
        <v>132</v>
      </c>
      <c r="D33" s="2392"/>
      <c r="E33" s="2392"/>
      <c r="F33" s="2392"/>
      <c r="G33" s="2392"/>
      <c r="H33" s="2392"/>
      <c r="I33" s="2392"/>
    </row>
    <row r="34" spans="1:10" ht="10.35" customHeight="1" x14ac:dyDescent="0.2">
      <c r="C34" s="2392"/>
      <c r="D34" s="2392"/>
      <c r="E34" s="2392"/>
      <c r="F34" s="2392"/>
      <c r="G34" s="2392"/>
      <c r="H34" s="2392"/>
      <c r="I34" s="2392"/>
    </row>
    <row r="35" spans="1:10" ht="7.5" customHeight="1" x14ac:dyDescent="0.2">
      <c r="C35" s="1059"/>
    </row>
    <row r="36" spans="1:10" ht="13.5" customHeight="1" x14ac:dyDescent="0.2">
      <c r="B36" s="1058"/>
      <c r="C36" s="2393" t="s">
        <v>1983</v>
      </c>
      <c r="D36" s="2392"/>
      <c r="E36" s="2392"/>
      <c r="F36" s="2392"/>
      <c r="G36" s="2392"/>
      <c r="H36" s="2392"/>
      <c r="I36" s="2392"/>
      <c r="J36" s="1060"/>
    </row>
    <row r="37" spans="1:10" ht="22.5" customHeight="1" x14ac:dyDescent="0.2">
      <c r="C37" s="2392"/>
      <c r="D37" s="2392"/>
      <c r="E37" s="2392"/>
      <c r="F37" s="2392"/>
      <c r="G37" s="2392"/>
      <c r="H37" s="2392"/>
      <c r="I37" s="2392"/>
      <c r="J37" s="1060"/>
    </row>
    <row r="38" spans="1:10" ht="7.5" customHeight="1" x14ac:dyDescent="0.2">
      <c r="C38" s="1059"/>
      <c r="D38" s="1061"/>
      <c r="E38" s="1062"/>
      <c r="F38" s="1063"/>
      <c r="G38" s="1062"/>
    </row>
    <row r="39" spans="1:10" ht="13.5" customHeight="1" x14ac:dyDescent="0.2">
      <c r="B39" s="1058"/>
      <c r="C39" s="2389" t="s">
        <v>882</v>
      </c>
      <c r="D39" s="2390"/>
      <c r="E39" s="2390"/>
      <c r="F39" s="2390"/>
      <c r="G39" s="2390"/>
      <c r="H39" s="2390"/>
      <c r="I39" s="2390"/>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2162</v>
      </c>
    </row>
    <row r="6" spans="1:2" x14ac:dyDescent="0.2">
      <c r="A6" s="1065">
        <v>2</v>
      </c>
      <c r="B6" s="329" t="s">
        <v>2163</v>
      </c>
    </row>
    <row r="7" spans="1:2" x14ac:dyDescent="0.2">
      <c r="A7" s="1065">
        <v>3</v>
      </c>
      <c r="B7" s="329" t="s">
        <v>2164</v>
      </c>
    </row>
    <row r="8" spans="1:2" x14ac:dyDescent="0.2">
      <c r="A8" s="1065">
        <v>4</v>
      </c>
      <c r="B8" s="329" t="s">
        <v>2172</v>
      </c>
    </row>
    <row r="9" spans="1:2" x14ac:dyDescent="0.2">
      <c r="A9" s="1065">
        <v>5</v>
      </c>
      <c r="B9" s="329" t="s">
        <v>2165</v>
      </c>
    </row>
    <row r="10" spans="1:2" x14ac:dyDescent="0.2">
      <c r="A10" s="1065">
        <v>6</v>
      </c>
      <c r="B10" s="329" t="s">
        <v>2166</v>
      </c>
    </row>
    <row r="11" spans="1:2" x14ac:dyDescent="0.2">
      <c r="A11" s="1065">
        <v>7</v>
      </c>
      <c r="B11" s="329" t="s">
        <v>2167</v>
      </c>
    </row>
    <row r="12" spans="1:2" x14ac:dyDescent="0.2">
      <c r="A12" s="1065">
        <v>8</v>
      </c>
      <c r="B12" s="329" t="s">
        <v>2168</v>
      </c>
    </row>
    <row r="13" spans="1:2" x14ac:dyDescent="0.2">
      <c r="A13" s="1065">
        <v>9</v>
      </c>
      <c r="B13" s="329" t="s">
        <v>2169</v>
      </c>
    </row>
    <row r="14" spans="1:2" x14ac:dyDescent="0.2">
      <c r="A14" s="1065">
        <v>10</v>
      </c>
      <c r="B14" s="329" t="s">
        <v>2170</v>
      </c>
    </row>
    <row r="15" spans="1:2" x14ac:dyDescent="0.2">
      <c r="A15" s="1065">
        <v>11</v>
      </c>
      <c r="B15" s="329" t="s">
        <v>2171</v>
      </c>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Morrison CUSD 6</v>
      </c>
    </row>
    <row r="65" spans="2:2" x14ac:dyDescent="0.2">
      <c r="B65" s="1067">
        <f>COVER!A13</f>
        <v>47098006026</v>
      </c>
    </row>
  </sheetData>
  <phoneticPr fontId="15" type="noConversion"/>
  <pageMargins left="0.2" right="0.2" top="1.17" bottom="0.75" header="0.19" footer="0.16"/>
  <pageSetup scale="81"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413" t="s">
        <v>1685</v>
      </c>
      <c r="B18" s="241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198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1985" r:id="rId4"/>
      </mc:Fallback>
    </mc:AlternateContent>
    <mc:AlternateContent xmlns:mc="http://schemas.openxmlformats.org/markup-compatibility/2006">
      <mc:Choice Requires="x14">
        <oleObject progId="Acrobat Document" dvAspect="DVASPECT_ICON" shapeId="41986" r:id="rId6">
          <objectPr defaultSize="0" r:id="rId7">
            <anchor moveWithCells="1">
              <from>
                <xdr:col>1</xdr:col>
                <xdr:colOff>1028700</xdr:colOff>
                <xdr:row>1</xdr:row>
                <xdr:rowOff>0</xdr:rowOff>
              </from>
              <to>
                <xdr:col>1</xdr:col>
                <xdr:colOff>1943100</xdr:colOff>
                <xdr:row>5</xdr:row>
                <xdr:rowOff>38100</xdr:rowOff>
              </to>
            </anchor>
          </objectPr>
        </oleObject>
      </mc:Choice>
      <mc:Fallback>
        <oleObject progId="Acrobat Document" dvAspect="DVASPECT_ICON" shapeId="4198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14" t="s">
        <v>1690</v>
      </c>
      <c r="B1" s="2415"/>
      <c r="C1" s="2415"/>
      <c r="D1" s="2415"/>
      <c r="E1" s="2415"/>
      <c r="F1" s="2416"/>
    </row>
    <row r="2" spans="1:8" ht="45" customHeight="1" x14ac:dyDescent="0.2">
      <c r="A2" s="2424" t="s">
        <v>1987</v>
      </c>
      <c r="B2" s="2425"/>
      <c r="C2" s="2425"/>
      <c r="D2" s="2425"/>
      <c r="E2" s="2425"/>
      <c r="F2" s="2426"/>
      <c r="G2" s="1071"/>
      <c r="H2" s="1071"/>
    </row>
    <row r="3" spans="1:8" ht="57" customHeight="1" x14ac:dyDescent="0.2">
      <c r="A3" s="2427" t="s">
        <v>1686</v>
      </c>
      <c r="B3" s="2428"/>
      <c r="C3" s="2428"/>
      <c r="D3" s="2428"/>
      <c r="E3" s="2428"/>
      <c r="F3" s="2429"/>
      <c r="G3" s="1071"/>
      <c r="H3" s="1071"/>
    </row>
    <row r="4" spans="1:8" ht="14.25" customHeight="1" x14ac:dyDescent="0.2">
      <c r="A4" s="2433" t="s">
        <v>1988</v>
      </c>
      <c r="B4" s="2434"/>
      <c r="C4" s="2434"/>
      <c r="D4" s="2434"/>
      <c r="E4" s="2434"/>
      <c r="F4" s="2435"/>
      <c r="G4" s="1071"/>
      <c r="H4" s="1071"/>
    </row>
    <row r="5" spans="1:8" ht="14.25" customHeight="1" x14ac:dyDescent="0.2">
      <c r="A5" s="2436" t="s">
        <v>1984</v>
      </c>
      <c r="B5" s="2437"/>
      <c r="C5" s="2437"/>
      <c r="D5" s="2437"/>
      <c r="E5" s="2437"/>
      <c r="F5" s="2438"/>
      <c r="G5" s="1071"/>
      <c r="H5" s="1071"/>
    </row>
    <row r="6" spans="1:8" s="1072" customFormat="1" ht="41.25" customHeight="1" x14ac:dyDescent="0.2">
      <c r="A6" s="2430" t="s">
        <v>1691</v>
      </c>
      <c r="B6" s="2431"/>
      <c r="C6" s="2431"/>
      <c r="D6" s="2431"/>
      <c r="E6" s="2431"/>
      <c r="F6" s="2432"/>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7938492</v>
      </c>
      <c r="C8" s="1812">
        <f>'Acct Summary 7-8'!D8</f>
        <v>667555</v>
      </c>
      <c r="D8" s="1812">
        <f>'Acct Summary 7-8'!F8</f>
        <v>467111</v>
      </c>
      <c r="E8" s="1812">
        <f>'Acct Summary 7-8'!I8</f>
        <v>67281</v>
      </c>
      <c r="F8" s="1812">
        <f>SUM(B8:E8)</f>
        <v>9140439</v>
      </c>
    </row>
    <row r="9" spans="1:8" s="1076" customFormat="1" ht="14.25" customHeight="1" thickBot="1" x14ac:dyDescent="0.25">
      <c r="A9" s="1075" t="s">
        <v>1369</v>
      </c>
      <c r="B9" s="1813">
        <f>'Acct Summary 7-8'!C17</f>
        <v>8496093</v>
      </c>
      <c r="C9" s="1813">
        <f>'Acct Summary 7-8'!D17</f>
        <v>817212</v>
      </c>
      <c r="D9" s="1813">
        <f>'Acct Summary 7-8'!F17</f>
        <v>493197</v>
      </c>
      <c r="E9" s="1812"/>
      <c r="F9" s="1812">
        <f>SUM(B9:E9)</f>
        <v>9806502</v>
      </c>
    </row>
    <row r="10" spans="1:8" s="1076" customFormat="1" ht="14.25" thickTop="1" thickBot="1" x14ac:dyDescent="0.25">
      <c r="A10" s="1077" t="s">
        <v>1370</v>
      </c>
      <c r="B10" s="1814">
        <f>(B8-B9)</f>
        <v>-557601</v>
      </c>
      <c r="C10" s="1814">
        <f>(C8-C9)</f>
        <v>-149657</v>
      </c>
      <c r="D10" s="1814">
        <f>(D8-D9)</f>
        <v>-26086</v>
      </c>
      <c r="E10" s="1813">
        <f>(E8-E9)</f>
        <v>67281</v>
      </c>
      <c r="F10" s="1815">
        <f>SUM(F8-F9)</f>
        <v>-666063</v>
      </c>
    </row>
    <row r="11" spans="1:8" s="1076" customFormat="1" ht="14.25" thickTop="1" thickBot="1" x14ac:dyDescent="0.25">
      <c r="A11" s="1078" t="s">
        <v>1985</v>
      </c>
      <c r="B11" s="1816">
        <f>'Acct Summary 7-8'!C81</f>
        <v>4342900</v>
      </c>
      <c r="C11" s="1816">
        <f>'Acct Summary 7-8'!D81</f>
        <v>498482</v>
      </c>
      <c r="D11" s="1816">
        <f>'Acct Summary 7-8'!F81</f>
        <v>440550</v>
      </c>
      <c r="E11" s="1816">
        <f>'Acct Summary 7-8'!I81</f>
        <v>640925</v>
      </c>
      <c r="F11" s="1817">
        <f>SUM(B11:E11)</f>
        <v>5922857</v>
      </c>
    </row>
    <row r="12" spans="1:8" ht="16.5" customHeight="1" thickTop="1" x14ac:dyDescent="0.2">
      <c r="A12" s="1079"/>
      <c r="B12" s="1080"/>
      <c r="C12" s="2418" t="str">
        <f>IF(AND(F10&lt;0,F11&gt;=0,ABS(F10*3)&gt;ABS(F11)),A16,IF(AND(F10&lt;0,F11&gt;0,ABS(F10*3)&lt;=ABS(F11)),A17,IF(AND(F10&lt;0,F11&lt;0),A16,IF(F11=0,A19,A18))))</f>
        <v>Unbalanced -  however, a deficit reduction plan is not required at this time.</v>
      </c>
      <c r="D12" s="2419"/>
      <c r="E12" s="2419"/>
      <c r="F12" s="2420"/>
    </row>
    <row r="13" spans="1:8" ht="19.5" customHeight="1" x14ac:dyDescent="0.2">
      <c r="A13" s="1081"/>
      <c r="B13" s="1082"/>
      <c r="C13" s="2418"/>
      <c r="D13" s="2419"/>
      <c r="E13" s="2419"/>
      <c r="F13" s="2420"/>
      <c r="H13" s="1071"/>
    </row>
    <row r="14" spans="1:8" ht="19.5" customHeight="1" x14ac:dyDescent="0.2">
      <c r="A14" s="1081"/>
      <c r="B14" s="1082"/>
      <c r="C14" s="2418"/>
      <c r="D14" s="2419"/>
      <c r="E14" s="2419"/>
      <c r="F14" s="2420"/>
      <c r="H14" s="1071"/>
    </row>
    <row r="15" spans="1:8" ht="17.25" customHeight="1" x14ac:dyDescent="0.2">
      <c r="A15" s="1081"/>
      <c r="B15" s="1082"/>
      <c r="C15" s="2421"/>
      <c r="D15" s="2422"/>
      <c r="E15" s="2422"/>
      <c r="F15" s="2423"/>
      <c r="H15" s="1071"/>
    </row>
    <row r="16" spans="1:8" s="310" customFormat="1" ht="51.75" hidden="1" customHeight="1" x14ac:dyDescent="0.2">
      <c r="A16" s="2417" t="s">
        <v>1687</v>
      </c>
      <c r="B16" s="2417"/>
      <c r="C16" s="2417"/>
      <c r="D16" s="2417"/>
      <c r="E16" s="2417"/>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439" t="s">
        <v>665</v>
      </c>
      <c r="B3" s="2440"/>
      <c r="C3" s="2440"/>
      <c r="D3" s="2441"/>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450" t="s">
        <v>1504</v>
      </c>
      <c r="D7" s="2451"/>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442" t="s">
        <v>1008</v>
      </c>
      <c r="B15" s="2443"/>
      <c r="C15" s="2443"/>
      <c r="D15" s="2444"/>
    </row>
    <row r="16" spans="1:4" s="665" customFormat="1" ht="24" customHeight="1" x14ac:dyDescent="0.2">
      <c r="A16" s="2445" t="s">
        <v>663</v>
      </c>
      <c r="B16" s="2446"/>
      <c r="C16" s="2446"/>
      <c r="D16" s="2447"/>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454" t="s">
        <v>314</v>
      </c>
      <c r="D21" s="2455"/>
    </row>
    <row r="22" spans="1:10" ht="12.75" x14ac:dyDescent="0.2">
      <c r="A22" s="1136"/>
      <c r="B22" s="1137">
        <v>2</v>
      </c>
      <c r="C22" s="2452" t="s">
        <v>1524</v>
      </c>
      <c r="D22" s="2453"/>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456" t="s">
        <v>536</v>
      </c>
      <c r="D43" s="2457"/>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448" t="s">
        <v>784</v>
      </c>
      <c r="D56" s="2449"/>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448" t="s">
        <v>1696</v>
      </c>
      <c r="D70" s="2449"/>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47098006026</v>
      </c>
    </row>
    <row r="3" spans="1:2" x14ac:dyDescent="0.2">
      <c r="A3" t="s">
        <v>956</v>
      </c>
      <c r="B3" s="138" t="str">
        <f>COVER!A15</f>
        <v>Whiteside</v>
      </c>
    </row>
    <row r="4" spans="1:2" x14ac:dyDescent="0.2">
      <c r="A4" t="s">
        <v>1007</v>
      </c>
      <c r="B4" s="138" t="str">
        <f>COVER!A17</f>
        <v>Morrison CUSD 6</v>
      </c>
    </row>
    <row r="5" spans="1:2" x14ac:dyDescent="0.2">
      <c r="A5" t="s">
        <v>704</v>
      </c>
      <c r="B5" s="138" t="str">
        <f>COVER!A38</f>
        <v>Scott Vance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Russell J. Rumbold II, CPA</v>
      </c>
    </row>
    <row r="18" spans="1:2" x14ac:dyDescent="0.2">
      <c r="A18" t="s">
        <v>1150</v>
      </c>
      <c r="B18" s="138" t="str">
        <f>COVER!T17</f>
        <v>4200 N Knoxville Ave</v>
      </c>
    </row>
    <row r="19" spans="1:2" x14ac:dyDescent="0.2">
      <c r="A19" t="s">
        <v>886</v>
      </c>
      <c r="B19" s="138" t="str">
        <f>COVER!T25</f>
        <v>rrumbold@gorenzcpa.com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4342900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4215395</v>
      </c>
      <c r="D92" s="2" t="str">
        <f t="shared" si="0"/>
        <v>Error?</v>
      </c>
    </row>
    <row r="93" spans="1:4" x14ac:dyDescent="0.2">
      <c r="A93" s="5">
        <v>32</v>
      </c>
      <c r="B93" s="138">
        <f>'Assets-Liab 5-6'!C41</f>
        <v>4342900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498635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153</v>
      </c>
      <c r="C122" s="2" t="s">
        <v>573</v>
      </c>
      <c r="D122" s="2" t="str">
        <f t="shared" si="0"/>
        <v>Error?</v>
      </c>
    </row>
    <row r="123" spans="1:4" x14ac:dyDescent="0.2">
      <c r="A123" s="5">
        <v>62</v>
      </c>
      <c r="B123" s="138">
        <f>'Assets-Liab 5-6'!D39</f>
        <v>498482</v>
      </c>
      <c r="D123" s="2" t="str">
        <f t="shared" si="0"/>
        <v>Error?</v>
      </c>
    </row>
    <row r="124" spans="1:4" x14ac:dyDescent="0.2">
      <c r="A124" s="5">
        <v>63</v>
      </c>
      <c r="B124" s="138">
        <f>'Assets-Liab 5-6'!D41</f>
        <v>498635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1108186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877568</v>
      </c>
      <c r="D140" s="2" t="str">
        <f t="shared" si="1"/>
        <v>Error?</v>
      </c>
    </row>
    <row r="141" spans="1:4" x14ac:dyDescent="0.2">
      <c r="A141" s="5">
        <v>80</v>
      </c>
      <c r="B141" s="138">
        <f>'Assets-Liab 5-6'!E41</f>
        <v>1108186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440550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440550</v>
      </c>
      <c r="D170" s="2" t="str">
        <f t="shared" si="1"/>
        <v>Error?</v>
      </c>
    </row>
    <row r="171" spans="1:4" x14ac:dyDescent="0.2">
      <c r="A171" s="5">
        <v>110</v>
      </c>
      <c r="B171" s="138">
        <f>'Assets-Liab 5-6'!F41</f>
        <v>440550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501634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121659</v>
      </c>
      <c r="D189" s="2" t="str">
        <f t="shared" si="1"/>
        <v>Error?</v>
      </c>
    </row>
    <row r="190" spans="1:4" x14ac:dyDescent="0.2">
      <c r="A190" s="5">
        <v>129</v>
      </c>
      <c r="B190" s="138">
        <f>'Assets-Liab 5-6'!G41</f>
        <v>501634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4698993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4153243</v>
      </c>
      <c r="D212" s="2" t="str">
        <f t="shared" si="2"/>
        <v>Error?</v>
      </c>
    </row>
    <row r="213" spans="1:4" x14ac:dyDescent="0.2">
      <c r="A213" s="12">
        <v>152</v>
      </c>
      <c r="B213" s="138">
        <f>'Assets-Liab 5-6'!H41</f>
        <v>4698993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241825</v>
      </c>
      <c r="D273" s="2" t="str">
        <f t="shared" si="3"/>
        <v>Error?</v>
      </c>
    </row>
    <row r="274" spans="1:4" x14ac:dyDescent="0.2">
      <c r="A274" s="5">
        <v>213</v>
      </c>
      <c r="B274" s="138">
        <f>'Assets-Liab 5-6'!M17</f>
        <v>18617361</v>
      </c>
      <c r="D274" s="2" t="str">
        <f t="shared" si="3"/>
        <v>Error?</v>
      </c>
    </row>
    <row r="275" spans="1:4" x14ac:dyDescent="0.2">
      <c r="A275" s="5">
        <v>214</v>
      </c>
      <c r="B275" s="138">
        <f>'Assets-Liab 5-6'!M18</f>
        <v>1752339</v>
      </c>
      <c r="D275" s="2" t="str">
        <f t="shared" si="3"/>
        <v>Error?</v>
      </c>
    </row>
    <row r="276" spans="1:4" x14ac:dyDescent="0.2">
      <c r="A276" s="5">
        <v>215</v>
      </c>
      <c r="B276" s="138">
        <f>'Assets-Liab 5-6'!M19</f>
        <v>2460185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28003967</v>
      </c>
      <c r="C279" s="2" t="s">
        <v>573</v>
      </c>
      <c r="D279" s="2" t="str">
        <f t="shared" si="3"/>
        <v>Error?</v>
      </c>
    </row>
    <row r="280" spans="1:4" x14ac:dyDescent="0.2">
      <c r="A280" s="5">
        <v>219</v>
      </c>
      <c r="B280" s="138">
        <f>'Assets-Liab 5-6'!M40</f>
        <v>28003967</v>
      </c>
      <c r="D280" s="2" t="str">
        <f t="shared" si="3"/>
        <v>Error?</v>
      </c>
    </row>
    <row r="281" spans="1:4" x14ac:dyDescent="0.2">
      <c r="A281" s="5">
        <v>220</v>
      </c>
      <c r="B281" s="138">
        <f>'Assets-Liab 5-6'!M41</f>
        <v>28003967</v>
      </c>
      <c r="C281" s="2" t="s">
        <v>573</v>
      </c>
      <c r="D281" s="2" t="str">
        <f t="shared" si="3"/>
        <v>Error?</v>
      </c>
    </row>
    <row r="282" spans="1:4" x14ac:dyDescent="0.2">
      <c r="A282" s="5">
        <v>221</v>
      </c>
      <c r="B282" s="138">
        <f>'Assets-Liab 5-6'!N21</f>
        <v>1108186</v>
      </c>
      <c r="D282" s="2" t="str">
        <f t="shared" si="3"/>
        <v>Error?</v>
      </c>
    </row>
    <row r="283" spans="1:4" x14ac:dyDescent="0.2">
      <c r="A283" s="5">
        <v>222</v>
      </c>
      <c r="B283" s="138">
        <f>'Assets-Liab 5-6'!N22</f>
        <v>10475814</v>
      </c>
      <c r="D283" s="2" t="str">
        <f t="shared" si="3"/>
        <v>Error?</v>
      </c>
    </row>
    <row r="284" spans="1:4" x14ac:dyDescent="0.2">
      <c r="A284" s="5">
        <v>223</v>
      </c>
      <c r="B284" s="138">
        <f>'Assets-Liab 5-6'!N23</f>
        <v>11584000</v>
      </c>
      <c r="C284" s="2" t="s">
        <v>573</v>
      </c>
      <c r="D284" s="2" t="str">
        <f t="shared" si="3"/>
        <v>Error?</v>
      </c>
    </row>
    <row r="285" spans="1:4" x14ac:dyDescent="0.2">
      <c r="A285" s="5">
        <v>224</v>
      </c>
      <c r="B285" s="138">
        <f>'Assets-Liab 5-6'!N36</f>
        <v>11584000</v>
      </c>
      <c r="D285" s="2" t="str">
        <f t="shared" si="3"/>
        <v>Error?</v>
      </c>
    </row>
    <row r="286" spans="1:4" x14ac:dyDescent="0.2">
      <c r="A286" s="10">
        <v>225</v>
      </c>
      <c r="D286" s="2" t="str">
        <f t="shared" si="3"/>
        <v>OK</v>
      </c>
    </row>
    <row r="287" spans="1:4" x14ac:dyDescent="0.2">
      <c r="A287" s="5">
        <v>226</v>
      </c>
      <c r="B287" s="138">
        <f>'Assets-Liab 5-6'!N37</f>
        <v>11584000</v>
      </c>
      <c r="C287" s="2" t="s">
        <v>573</v>
      </c>
      <c r="D287" s="2" t="str">
        <f t="shared" si="3"/>
        <v>Error?</v>
      </c>
    </row>
    <row r="288" spans="1:4" x14ac:dyDescent="0.2">
      <c r="A288" s="5">
        <v>227</v>
      </c>
      <c r="B288" s="138">
        <f>'Assets-Liab 5-6'!N41</f>
        <v>11584000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2499000</v>
      </c>
      <c r="D618" s="2" t="str">
        <f t="shared" si="8"/>
        <v>Error?</v>
      </c>
    </row>
    <row r="619" spans="1:4" x14ac:dyDescent="0.2">
      <c r="A619" s="5">
        <v>558</v>
      </c>
      <c r="B619" s="138">
        <f>'Acct Summary 7-8'!H34</f>
        <v>1663</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3189312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83026</v>
      </c>
      <c r="D717" s="2" t="str">
        <f t="shared" si="10"/>
        <v>Error?</v>
      </c>
    </row>
    <row r="718" spans="1:4" x14ac:dyDescent="0.2">
      <c r="A718" s="5">
        <v>657</v>
      </c>
      <c r="B718" s="138">
        <f>'Expenditures 15-22'!C14</f>
        <v>149930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4152367</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132237</v>
      </c>
      <c r="D722" s="2" t="str">
        <f t="shared" si="10"/>
        <v>Error?</v>
      </c>
    </row>
    <row r="723" spans="1:4" x14ac:dyDescent="0.2">
      <c r="A723" s="5">
        <v>662</v>
      </c>
      <c r="B723" s="138">
        <f>'Expenditures 15-22'!C38</f>
        <v>79816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39718</v>
      </c>
      <c r="D725" s="2" t="str">
        <f t="shared" si="10"/>
        <v>Error?</v>
      </c>
    </row>
    <row r="726" spans="1:4" x14ac:dyDescent="0.2">
      <c r="A726" s="5">
        <v>665</v>
      </c>
      <c r="B726" s="138">
        <f>'Expenditures 15-22'!C41</f>
        <v>9816</v>
      </c>
      <c r="D726" s="2" t="str">
        <f t="shared" si="10"/>
        <v>Error?</v>
      </c>
    </row>
    <row r="727" spans="1:4" x14ac:dyDescent="0.2">
      <c r="A727" s="5">
        <v>666</v>
      </c>
      <c r="B727" s="138">
        <f>'Expenditures 15-22'!C42</f>
        <v>261587</v>
      </c>
      <c r="C727" s="2" t="s">
        <v>573</v>
      </c>
      <c r="D727" s="2" t="str">
        <f t="shared" si="10"/>
        <v>Error?</v>
      </c>
    </row>
    <row r="728" spans="1:4" x14ac:dyDescent="0.2">
      <c r="A728" s="5">
        <v>667</v>
      </c>
      <c r="B728" s="138">
        <f>'Expenditures 15-22'!C44</f>
        <v>106916</v>
      </c>
      <c r="D728" s="2" t="str">
        <f t="shared" si="10"/>
        <v>Error?</v>
      </c>
    </row>
    <row r="729" spans="1:4" x14ac:dyDescent="0.2">
      <c r="A729" s="5">
        <v>668</v>
      </c>
      <c r="B729" s="138">
        <f>'Expenditures 15-22'!C45</f>
        <v>62614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169530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135901</v>
      </c>
      <c r="D733" s="2" t="str">
        <f t="shared" si="10"/>
        <v>Error?</v>
      </c>
    </row>
    <row r="734" spans="1:4" x14ac:dyDescent="0.2">
      <c r="A734" s="5">
        <v>673</v>
      </c>
      <c r="B734" s="138">
        <f>'Expenditures 15-22'!C53</f>
        <v>135901</v>
      </c>
      <c r="C734" s="2" t="s">
        <v>573</v>
      </c>
      <c r="D734" s="2" t="str">
        <f t="shared" si="10"/>
        <v>Error?</v>
      </c>
    </row>
    <row r="735" spans="1:4" x14ac:dyDescent="0.2">
      <c r="A735" s="5">
        <v>674</v>
      </c>
      <c r="B735" s="138">
        <f>'Expenditures 15-22'!C55</f>
        <v>405492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405492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70964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141803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212767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120089</v>
      </c>
      <c r="D751" s="2" t="str">
        <f t="shared" si="10"/>
        <v>Error?</v>
      </c>
    </row>
    <row r="752" spans="1:4" x14ac:dyDescent="0.2">
      <c r="A752" s="10">
        <v>691</v>
      </c>
      <c r="D752" s="2" t="str">
        <f t="shared" si="10"/>
        <v>OK</v>
      </c>
    </row>
    <row r="753" spans="1:4" x14ac:dyDescent="0.2">
      <c r="A753" s="5">
        <v>692</v>
      </c>
      <c r="B753" s="138">
        <f>'Expenditures 15-22'!C72</f>
        <v>120089</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1305366</v>
      </c>
      <c r="C755" s="2" t="s">
        <v>573</v>
      </c>
      <c r="D755" s="2" t="str">
        <f t="shared" si="10"/>
        <v>Error?</v>
      </c>
    </row>
    <row r="756" spans="1:4" x14ac:dyDescent="0.2">
      <c r="A756" s="5">
        <v>695</v>
      </c>
      <c r="B756" s="138">
        <f>'Expenditures 15-22'!C75</f>
        <v>3406</v>
      </c>
      <c r="D756" s="2" t="str">
        <f t="shared" si="10"/>
        <v>Error?</v>
      </c>
    </row>
    <row r="757" spans="1:4" x14ac:dyDescent="0.2">
      <c r="A757" s="5">
        <v>696</v>
      </c>
      <c r="B757" s="138">
        <f>'Expenditures 15-22'!C114</f>
        <v>5461139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781142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22564</v>
      </c>
      <c r="D775" s="2" t="str">
        <f t="shared" si="11"/>
        <v>Error?</v>
      </c>
    </row>
    <row r="776" spans="1:4" x14ac:dyDescent="0.2">
      <c r="A776" s="5">
        <v>715</v>
      </c>
      <c r="B776" s="138">
        <f>'Expenditures 15-22'!D14</f>
        <v>13681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962420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29396</v>
      </c>
      <c r="D780" s="2" t="str">
        <f t="shared" si="11"/>
        <v>Error?</v>
      </c>
    </row>
    <row r="781" spans="1:4" x14ac:dyDescent="0.2">
      <c r="A781" s="5">
        <v>720</v>
      </c>
      <c r="B781" s="138">
        <f>'Expenditures 15-22'!D38</f>
        <v>13240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11123</v>
      </c>
      <c r="D783" s="2" t="str">
        <f t="shared" si="11"/>
        <v>Error?</v>
      </c>
    </row>
    <row r="784" spans="1:4" x14ac:dyDescent="0.2">
      <c r="A784" s="5">
        <v>723</v>
      </c>
      <c r="B784" s="138">
        <f>'Expenditures 15-22'!D41</f>
        <v>853</v>
      </c>
      <c r="D784" s="2" t="str">
        <f t="shared" si="11"/>
        <v>Error?</v>
      </c>
    </row>
    <row r="785" spans="1:4" x14ac:dyDescent="0.2">
      <c r="A785" s="5">
        <v>724</v>
      </c>
      <c r="B785" s="138">
        <f>'Expenditures 15-22'!D42</f>
        <v>54612</v>
      </c>
      <c r="C785" s="2" t="s">
        <v>573</v>
      </c>
      <c r="D785" s="2" t="str">
        <f t="shared" si="11"/>
        <v>Error?</v>
      </c>
    </row>
    <row r="786" spans="1:4" x14ac:dyDescent="0.2">
      <c r="A786" s="5">
        <v>725</v>
      </c>
      <c r="B786" s="138">
        <f>'Expenditures 15-22'!D44</f>
        <v>31489</v>
      </c>
      <c r="D786" s="2" t="str">
        <f t="shared" si="11"/>
        <v>Error?</v>
      </c>
    </row>
    <row r="787" spans="1:4" x14ac:dyDescent="0.2">
      <c r="A787" s="5">
        <v>726</v>
      </c>
      <c r="B787" s="138">
        <f>'Expenditures 15-22'!D45</f>
        <v>12158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43647</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37814</v>
      </c>
      <c r="D791" s="2" t="str">
        <f t="shared" si="11"/>
        <v>Error?</v>
      </c>
    </row>
    <row r="792" spans="1:4" x14ac:dyDescent="0.2">
      <c r="A792" s="5">
        <v>731</v>
      </c>
      <c r="B792" s="138">
        <f>'Expenditures 15-22'!D53</f>
        <v>37814</v>
      </c>
      <c r="C792" s="2" t="s">
        <v>573</v>
      </c>
      <c r="D792" s="2" t="str">
        <f t="shared" si="11"/>
        <v>Error?</v>
      </c>
    </row>
    <row r="793" spans="1:4" x14ac:dyDescent="0.2">
      <c r="A793" s="5">
        <v>732</v>
      </c>
      <c r="B793" s="138">
        <f>'Expenditures 15-22'!D55</f>
        <v>108202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108202</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6014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1770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7784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18038</v>
      </c>
      <c r="D809" s="2" t="str">
        <f t="shared" si="11"/>
        <v>Error?</v>
      </c>
    </row>
    <row r="810" spans="1:4" x14ac:dyDescent="0.2">
      <c r="A810" s="10">
        <v>749</v>
      </c>
      <c r="D810" s="2" t="str">
        <f t="shared" si="11"/>
        <v>OK</v>
      </c>
    </row>
    <row r="811" spans="1:4" x14ac:dyDescent="0.2">
      <c r="A811" s="5">
        <v>750</v>
      </c>
      <c r="B811" s="138">
        <f>'Expenditures 15-22'!D72</f>
        <v>18038</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270097</v>
      </c>
      <c r="C813" s="2" t="s">
        <v>573</v>
      </c>
      <c r="D813" s="2" t="str">
        <f t="shared" si="11"/>
        <v>Error?</v>
      </c>
    </row>
    <row r="814" spans="1:4" x14ac:dyDescent="0.2">
      <c r="A814" s="5">
        <v>753</v>
      </c>
      <c r="B814" s="138">
        <f>'Expenditures 15-22'!D75</f>
        <v>521</v>
      </c>
      <c r="D814" s="2" t="str">
        <f t="shared" si="11"/>
        <v>Error?</v>
      </c>
    </row>
    <row r="815" spans="1:4" x14ac:dyDescent="0.2">
      <c r="A815" s="5">
        <v>754</v>
      </c>
      <c r="B815" s="138">
        <f>'Expenditures 15-22'!D114</f>
        <v>1233038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52553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21809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75544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849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849</v>
      </c>
      <c r="C843" s="2" t="s">
        <v>573</v>
      </c>
      <c r="D843" s="2" t="str">
        <f t="shared" si="12"/>
        <v>Error?</v>
      </c>
    </row>
    <row r="844" spans="1:4" x14ac:dyDescent="0.2">
      <c r="A844" s="5">
        <v>783</v>
      </c>
      <c r="B844" s="138">
        <f>'Expenditures 15-22'!E44</f>
        <v>6677</v>
      </c>
      <c r="D844" s="2" t="str">
        <f t="shared" si="12"/>
        <v>Error?</v>
      </c>
    </row>
    <row r="845" spans="1:4" x14ac:dyDescent="0.2">
      <c r="A845" s="5">
        <v>784</v>
      </c>
      <c r="B845" s="138">
        <f>'Expenditures 15-22'!E45</f>
        <v>28400</v>
      </c>
      <c r="D845" s="2" t="str">
        <f t="shared" si="12"/>
        <v>Error?</v>
      </c>
    </row>
    <row r="846" spans="1:4" x14ac:dyDescent="0.2">
      <c r="A846" s="5">
        <v>785</v>
      </c>
      <c r="B846" s="138">
        <f>'Expenditures 15-22'!E46</f>
        <v>21760</v>
      </c>
      <c r="D846" s="2" t="str">
        <f t="shared" si="12"/>
        <v>Error?</v>
      </c>
    </row>
    <row r="847" spans="1:4" x14ac:dyDescent="0.2">
      <c r="A847" s="5">
        <v>786</v>
      </c>
      <c r="B847" s="138">
        <f>'Expenditures 15-22'!E47</f>
        <v>56837</v>
      </c>
      <c r="C847" s="2" t="s">
        <v>573</v>
      </c>
      <c r="D847" s="2" t="str">
        <f t="shared" si="12"/>
        <v>Error?</v>
      </c>
    </row>
    <row r="848" spans="1:4" x14ac:dyDescent="0.2">
      <c r="A848" s="5">
        <v>787</v>
      </c>
      <c r="B848" s="138">
        <f>'Expenditures 15-22'!E49</f>
        <v>35174</v>
      </c>
      <c r="D848" s="2" t="str">
        <f t="shared" si="12"/>
        <v>Error?</v>
      </c>
    </row>
    <row r="849" spans="1:4" x14ac:dyDescent="0.2">
      <c r="A849" s="5">
        <v>788</v>
      </c>
      <c r="B849" s="138">
        <f>'Expenditures 15-22'!E50</f>
        <v>6201</v>
      </c>
      <c r="D849" s="2" t="str">
        <f t="shared" si="12"/>
        <v>Error?</v>
      </c>
    </row>
    <row r="850" spans="1:4" x14ac:dyDescent="0.2">
      <c r="A850" s="5">
        <v>789</v>
      </c>
      <c r="B850" s="138">
        <f>'Expenditures 15-22'!E53</f>
        <v>41375</v>
      </c>
      <c r="C850" s="2" t="s">
        <v>573</v>
      </c>
      <c r="D850" s="2" t="str">
        <f t="shared" si="12"/>
        <v>Error?</v>
      </c>
    </row>
    <row r="851" spans="1:4" x14ac:dyDescent="0.2">
      <c r="A851" s="5">
        <v>790</v>
      </c>
      <c r="B851" s="138">
        <f>'Expenditures 15-22'!E55</f>
        <v>1805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1805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258</v>
      </c>
      <c r="D855" s="2" t="str">
        <f t="shared" si="12"/>
        <v>Error?</v>
      </c>
    </row>
    <row r="856" spans="1:4" x14ac:dyDescent="0.2">
      <c r="A856" s="5">
        <v>795</v>
      </c>
      <c r="B856" s="138">
        <f>'Expenditures 15-22'!E61</f>
        <v>470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450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1178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21395</v>
      </c>
      <c r="D867" s="2" t="str">
        <f t="shared" si="12"/>
        <v>Error?</v>
      </c>
    </row>
    <row r="868" spans="1:4" x14ac:dyDescent="0.2">
      <c r="A868" s="10">
        <v>807</v>
      </c>
      <c r="D868" s="2" t="str">
        <f t="shared" si="12"/>
        <v>OK</v>
      </c>
    </row>
    <row r="869" spans="1:4" x14ac:dyDescent="0.2">
      <c r="A869" s="5">
        <v>808</v>
      </c>
      <c r="B869" s="138">
        <f>'Expenditures 15-22'!E72</f>
        <v>21395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123439</v>
      </c>
      <c r="C871" s="2" t="s">
        <v>573</v>
      </c>
      <c r="D871" s="2" t="str">
        <f t="shared" si="12"/>
        <v>Error?</v>
      </c>
    </row>
    <row r="872" spans="1:4" x14ac:dyDescent="0.2">
      <c r="A872" s="5">
        <v>811</v>
      </c>
      <c r="B872" s="138">
        <f>'Expenditures 15-22'!E75</f>
        <v>2196</v>
      </c>
      <c r="D872" s="2" t="str">
        <f t="shared" si="12"/>
        <v>Error?</v>
      </c>
    </row>
    <row r="873" spans="1:4" x14ac:dyDescent="0.2">
      <c r="A873" s="5">
        <v>812</v>
      </c>
      <c r="B873" s="138">
        <f>'Expenditures 15-22'!E114</f>
        <v>203953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121532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2279</v>
      </c>
      <c r="D891" s="2" t="str">
        <f t="shared" si="12"/>
        <v>Error?</v>
      </c>
    </row>
    <row r="892" spans="1:4" x14ac:dyDescent="0.2">
      <c r="A892" s="5">
        <v>831</v>
      </c>
      <c r="B892" s="138">
        <f>'Expenditures 15-22'!F14</f>
        <v>13521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169454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279</v>
      </c>
      <c r="D896" s="2" t="str">
        <f t="shared" si="13"/>
        <v>Error?</v>
      </c>
    </row>
    <row r="897" spans="1:4" x14ac:dyDescent="0.2">
      <c r="A897" s="5">
        <v>836</v>
      </c>
      <c r="B897" s="138">
        <f>'Expenditures 15-22'!F38</f>
        <v>2536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2815</v>
      </c>
      <c r="C901" s="2" t="s">
        <v>573</v>
      </c>
      <c r="D901" s="2" t="str">
        <f t="shared" si="13"/>
        <v>Error?</v>
      </c>
    </row>
    <row r="902" spans="1:4" x14ac:dyDescent="0.2">
      <c r="A902" s="5">
        <v>841</v>
      </c>
      <c r="B902" s="138">
        <f>'Expenditures 15-22'!F44</f>
        <v>6558</v>
      </c>
      <c r="D902" s="2" t="str">
        <f t="shared" si="13"/>
        <v>Error?</v>
      </c>
    </row>
    <row r="903" spans="1:4" x14ac:dyDescent="0.2">
      <c r="A903" s="5">
        <v>842</v>
      </c>
      <c r="B903" s="138">
        <f>'Expenditures 15-22'!F45</f>
        <v>6982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13540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964</v>
      </c>
      <c r="D907" s="2" t="str">
        <f t="shared" si="13"/>
        <v>Error?</v>
      </c>
    </row>
    <row r="908" spans="1:4" x14ac:dyDescent="0.2">
      <c r="A908" s="5">
        <v>847</v>
      </c>
      <c r="B908" s="138">
        <f>'Expenditures 15-22'!F53</f>
        <v>964</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1394</v>
      </c>
      <c r="D913" s="2" t="str">
        <f t="shared" si="13"/>
        <v>Error?</v>
      </c>
    </row>
    <row r="914" spans="1:4" x14ac:dyDescent="0.2">
      <c r="A914" s="5">
        <v>853</v>
      </c>
      <c r="B914" s="138">
        <f>'Expenditures 15-22'!F61</f>
        <v>5760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244317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251471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37970</v>
      </c>
      <c r="D925" s="2" t="str">
        <f t="shared" si="13"/>
        <v>Error?</v>
      </c>
    </row>
    <row r="926" spans="1:4" x14ac:dyDescent="0.2">
      <c r="A926" s="10">
        <v>865</v>
      </c>
      <c r="D926" s="2" t="str">
        <f t="shared" si="13"/>
        <v>OK</v>
      </c>
    </row>
    <row r="927" spans="1:4" x14ac:dyDescent="0.2">
      <c r="A927" s="5">
        <v>866</v>
      </c>
      <c r="B927" s="138">
        <f>'Expenditures 15-22'!F72</f>
        <v>37970</v>
      </c>
      <c r="C927" s="2" t="s">
        <v>573</v>
      </c>
      <c r="D927" s="2" t="str">
        <f t="shared" si="13"/>
        <v>Error?</v>
      </c>
    </row>
    <row r="928" spans="1:4" x14ac:dyDescent="0.2">
      <c r="A928" s="5">
        <v>867</v>
      </c>
      <c r="B928" s="138">
        <f>'Expenditures 15-22'!F73</f>
        <v>88</v>
      </c>
      <c r="D928" s="2" t="str">
        <f t="shared" si="13"/>
        <v>Error?</v>
      </c>
    </row>
    <row r="929" spans="1:4" x14ac:dyDescent="0.2">
      <c r="A929" s="5">
        <v>868</v>
      </c>
      <c r="B929" s="138">
        <f>'Expenditures 15-22'!F74</f>
        <v>306848</v>
      </c>
      <c r="C929" s="2" t="s">
        <v>573</v>
      </c>
      <c r="D929" s="2" t="str">
        <f t="shared" si="13"/>
        <v>Error?</v>
      </c>
    </row>
    <row r="930" spans="1:4" x14ac:dyDescent="0.2">
      <c r="A930" s="5">
        <v>869</v>
      </c>
      <c r="B930" s="138">
        <f>'Expenditures 15-22'!F75</f>
        <v>111</v>
      </c>
      <c r="D930" s="2" t="str">
        <f t="shared" si="13"/>
        <v>Error?</v>
      </c>
    </row>
    <row r="931" spans="1:4" x14ac:dyDescent="0.2">
      <c r="A931" s="5">
        <v>870</v>
      </c>
      <c r="B931" s="138">
        <f>'Expenditures 15-22'!F114</f>
        <v>476413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2679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2860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5539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1449</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1449</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1048</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1048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322460</v>
      </c>
      <c r="D983" s="2" t="str">
        <f t="shared" si="14"/>
        <v>Error?</v>
      </c>
    </row>
    <row r="984" spans="1:4" x14ac:dyDescent="0.2">
      <c r="A984" s="10">
        <v>923</v>
      </c>
      <c r="D984" s="2" t="str">
        <f t="shared" si="14"/>
        <v>OK</v>
      </c>
    </row>
    <row r="985" spans="1:4" x14ac:dyDescent="0.2">
      <c r="A985" s="5">
        <v>924</v>
      </c>
      <c r="B985" s="138">
        <f>'Expenditures 15-22'!G72</f>
        <v>322460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324957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330496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1670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13776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494271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401</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401</v>
      </c>
      <c r="C1021" s="2" t="s">
        <v>573</v>
      </c>
      <c r="D1021" s="2" t="str">
        <f t="shared" si="14"/>
        <v>Error?</v>
      </c>
    </row>
    <row r="1022" spans="1:4" x14ac:dyDescent="0.2">
      <c r="A1022" s="5">
        <v>961</v>
      </c>
      <c r="B1022" s="138">
        <f>'Expenditures 15-22'!H49</f>
        <v>60226</v>
      </c>
      <c r="D1022" s="2" t="str">
        <f t="shared" si="14"/>
        <v>Error?</v>
      </c>
    </row>
    <row r="1023" spans="1:4" x14ac:dyDescent="0.2">
      <c r="A1023" s="5">
        <v>962</v>
      </c>
      <c r="B1023" s="138">
        <f>'Expenditures 15-22'!H50</f>
        <v>1136</v>
      </c>
      <c r="D1023" s="2" t="str">
        <f t="shared" ref="D1023:D1086" si="15">IF(ISBLANK(B1023),"OK",IF(A1023-B1023=0,"OK","Error?"))</f>
        <v>Error?</v>
      </c>
    </row>
    <row r="1024" spans="1:4" x14ac:dyDescent="0.2">
      <c r="A1024" s="5">
        <v>963</v>
      </c>
      <c r="B1024" s="138">
        <f>'Expenditures 15-22'!H53</f>
        <v>61362</v>
      </c>
      <c r="C1024" s="2" t="s">
        <v>573</v>
      </c>
      <c r="D1024" s="2" t="str">
        <f t="shared" si="15"/>
        <v>Error?</v>
      </c>
    </row>
    <row r="1025" spans="1:4" x14ac:dyDescent="0.2">
      <c r="A1025" s="5">
        <v>964</v>
      </c>
      <c r="B1025" s="138">
        <f>'Expenditures 15-22'!H55</f>
        <v>1303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1303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713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713</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63779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233004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791054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4148888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110729</v>
      </c>
      <c r="C1105" s="2" t="s">
        <v>573</v>
      </c>
      <c r="D1105" s="2" t="str">
        <f t="shared" si="16"/>
        <v>Error?</v>
      </c>
    </row>
    <row r="1106" spans="1:4" x14ac:dyDescent="0.2">
      <c r="A1106" s="5">
        <v>1045</v>
      </c>
      <c r="B1106" s="138">
        <f>'Expenditures 15-22'!K14</f>
        <v>212717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5859595</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161912</v>
      </c>
      <c r="C1110" s="2" t="s">
        <v>573</v>
      </c>
      <c r="D1110" s="2" t="str">
        <f t="shared" si="16"/>
        <v>Error?</v>
      </c>
    </row>
    <row r="1111" spans="1:4" x14ac:dyDescent="0.2">
      <c r="A1111" s="5">
        <v>1050</v>
      </c>
      <c r="B1111" s="138">
        <f>'Expenditures 15-22'!K38</f>
        <v>96441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50841</v>
      </c>
      <c r="C1113" s="2" t="s">
        <v>573</v>
      </c>
      <c r="D1113" s="2" t="str">
        <f t="shared" si="16"/>
        <v>Error?</v>
      </c>
    </row>
    <row r="1114" spans="1:4" x14ac:dyDescent="0.2">
      <c r="A1114" s="5">
        <v>1053</v>
      </c>
      <c r="B1114" s="138">
        <f>'Expenditures 15-22'!K41</f>
        <v>10669</v>
      </c>
      <c r="C1114" s="2" t="s">
        <v>573</v>
      </c>
      <c r="D1114" s="2" t="str">
        <f t="shared" si="16"/>
        <v>Error?</v>
      </c>
    </row>
    <row r="1115" spans="1:4" x14ac:dyDescent="0.2">
      <c r="A1115" s="5">
        <v>1054</v>
      </c>
      <c r="B1115" s="138">
        <f>'Expenditures 15-22'!K42</f>
        <v>319863</v>
      </c>
      <c r="C1115" s="2" t="s">
        <v>573</v>
      </c>
      <c r="D1115" s="2" t="str">
        <f t="shared" si="16"/>
        <v>Error?</v>
      </c>
    </row>
    <row r="1116" spans="1:4" x14ac:dyDescent="0.2">
      <c r="A1116" s="5">
        <v>1055</v>
      </c>
      <c r="B1116" s="138">
        <f>'Expenditures 15-22'!K44</f>
        <v>153089</v>
      </c>
      <c r="C1116" s="2" t="s">
        <v>573</v>
      </c>
      <c r="D1116" s="2" t="str">
        <f t="shared" si="16"/>
        <v>Error?</v>
      </c>
    </row>
    <row r="1117" spans="1:4" x14ac:dyDescent="0.2">
      <c r="A1117" s="5">
        <v>1056</v>
      </c>
      <c r="B1117" s="138">
        <f>'Expenditures 15-22'!K45</f>
        <v>110555</v>
      </c>
      <c r="C1117" s="2" t="s">
        <v>573</v>
      </c>
      <c r="D1117" s="2" t="str">
        <f t="shared" si="16"/>
        <v>Error?</v>
      </c>
    </row>
    <row r="1118" spans="1:4" x14ac:dyDescent="0.2">
      <c r="A1118" s="5">
        <v>1057</v>
      </c>
      <c r="B1118" s="138">
        <f>'Expenditures 15-22'!K46</f>
        <v>21760</v>
      </c>
      <c r="C1118" s="2" t="s">
        <v>573</v>
      </c>
      <c r="D1118" s="2" t="str">
        <f t="shared" si="16"/>
        <v>Error?</v>
      </c>
    </row>
    <row r="1119" spans="1:4" x14ac:dyDescent="0.2">
      <c r="A1119" s="5">
        <v>1058</v>
      </c>
      <c r="B1119" s="138">
        <f>'Expenditures 15-22'!K47</f>
        <v>285404</v>
      </c>
      <c r="C1119" s="2" t="s">
        <v>573</v>
      </c>
      <c r="D1119" s="2" t="str">
        <f t="shared" si="16"/>
        <v>Error?</v>
      </c>
    </row>
    <row r="1120" spans="1:4" x14ac:dyDescent="0.2">
      <c r="A1120" s="5">
        <v>1059</v>
      </c>
      <c r="B1120" s="138">
        <f>'Expenditures 15-22'!K49</f>
        <v>95400</v>
      </c>
      <c r="C1120" s="2" t="s">
        <v>573</v>
      </c>
      <c r="D1120" s="2" t="str">
        <f t="shared" si="16"/>
        <v>Error?</v>
      </c>
    </row>
    <row r="1121" spans="1:4" x14ac:dyDescent="0.2">
      <c r="A1121" s="5">
        <v>1060</v>
      </c>
      <c r="B1121" s="138">
        <f>'Expenditures 15-22'!K50</f>
        <v>182016</v>
      </c>
      <c r="C1121" s="2" t="s">
        <v>573</v>
      </c>
      <c r="D1121" s="2" t="str">
        <f t="shared" si="16"/>
        <v>Error?</v>
      </c>
    </row>
    <row r="1122" spans="1:4" x14ac:dyDescent="0.2">
      <c r="A1122" s="5">
        <v>1061</v>
      </c>
      <c r="B1122" s="138">
        <f>'Expenditures 15-22'!K53</f>
        <v>277416</v>
      </c>
      <c r="C1122" s="2" t="s">
        <v>573</v>
      </c>
      <c r="D1122" s="2" t="str">
        <f t="shared" si="16"/>
        <v>Error?</v>
      </c>
    </row>
    <row r="1123" spans="1:4" x14ac:dyDescent="0.2">
      <c r="A1123" s="5">
        <v>1062</v>
      </c>
      <c r="B1123" s="138">
        <f>'Expenditures 15-22'!K55</f>
        <v>516802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516802</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79678</v>
      </c>
      <c r="C1127" s="2" t="s">
        <v>573</v>
      </c>
      <c r="D1127" s="2" t="str">
        <f t="shared" si="16"/>
        <v>Error?</v>
      </c>
    </row>
    <row r="1128" spans="1:4" x14ac:dyDescent="0.2">
      <c r="A1128" s="5">
        <v>1067</v>
      </c>
      <c r="B1128" s="138">
        <f>'Expenditures 15-22'!K61</f>
        <v>6230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389053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474961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519952</v>
      </c>
      <c r="C1139" s="2" t="s">
        <v>573</v>
      </c>
      <c r="D1139" s="2" t="str">
        <f t="shared" si="16"/>
        <v>Error?</v>
      </c>
    </row>
    <row r="1140" spans="1:4" x14ac:dyDescent="0.2">
      <c r="A1140" s="10">
        <v>1079</v>
      </c>
      <c r="D1140" s="2" t="str">
        <f t="shared" si="16"/>
        <v>OK</v>
      </c>
    </row>
    <row r="1141" spans="1:4" x14ac:dyDescent="0.2">
      <c r="A1141" s="5">
        <v>1080</v>
      </c>
      <c r="B1141" s="138">
        <f>'Expenditures 15-22'!K72</f>
        <v>519952</v>
      </c>
      <c r="C1141" s="2" t="s">
        <v>573</v>
      </c>
      <c r="D1141" s="2" t="str">
        <f t="shared" si="16"/>
        <v>Error?</v>
      </c>
    </row>
    <row r="1142" spans="1:4" x14ac:dyDescent="0.2">
      <c r="A1142" s="5">
        <v>1081</v>
      </c>
      <c r="B1142" s="138">
        <f>'Expenditures 15-22'!K73</f>
        <v>88</v>
      </c>
      <c r="C1142" s="2" t="s">
        <v>573</v>
      </c>
      <c r="D1142" s="2" t="str">
        <f t="shared" si="16"/>
        <v>Error?</v>
      </c>
    </row>
    <row r="1143" spans="1:4" x14ac:dyDescent="0.2">
      <c r="A1143" s="5">
        <v>1082</v>
      </c>
      <c r="B1143" s="138">
        <f>'Expenditures 15-22'!K74</f>
        <v>2394486</v>
      </c>
      <c r="C1143" s="2" t="s">
        <v>573</v>
      </c>
      <c r="D1143" s="2" t="str">
        <f t="shared" si="16"/>
        <v>Error?</v>
      </c>
    </row>
    <row r="1144" spans="1:4" x14ac:dyDescent="0.2">
      <c r="A1144" s="5">
        <v>1083</v>
      </c>
      <c r="B1144" s="138">
        <f>'Expenditures 15-22'!K75</f>
        <v>6234</v>
      </c>
      <c r="C1144" s="2" t="s">
        <v>573</v>
      </c>
      <c r="D1144" s="2" t="str">
        <f t="shared" si="16"/>
        <v>Error?</v>
      </c>
    </row>
    <row r="1145" spans="1:4" x14ac:dyDescent="0.2">
      <c r="A1145" s="5">
        <v>1084</v>
      </c>
      <c r="B1145" s="138">
        <f>'Expenditures 15-22'!K102</f>
        <v>235778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8496093</v>
      </c>
      <c r="C1152" s="2" t="s">
        <v>573</v>
      </c>
      <c r="D1152" s="2" t="str">
        <f t="shared" si="17"/>
        <v>Error?</v>
      </c>
    </row>
    <row r="1153" spans="1:4" x14ac:dyDescent="0.2">
      <c r="A1153" s="5">
        <v>1092</v>
      </c>
      <c r="B1153" s="138">
        <f>'Expenditures 15-22'!K115</f>
        <v>-557601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331306</v>
      </c>
      <c r="D1221" s="2" t="str">
        <f t="shared" si="18"/>
        <v>Error?</v>
      </c>
    </row>
    <row r="1222" spans="1:4" x14ac:dyDescent="0.2">
      <c r="A1222" s="10">
        <v>1161</v>
      </c>
      <c r="D1222" s="2" t="str">
        <f t="shared" si="18"/>
        <v>OK</v>
      </c>
    </row>
    <row r="1223" spans="1:4" x14ac:dyDescent="0.2">
      <c r="A1223" s="5">
        <v>1162</v>
      </c>
      <c r="B1223" s="138">
        <f>'Expenditures 15-22'!C127</f>
        <v>331306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331306</v>
      </c>
      <c r="C1225" s="2" t="s">
        <v>573</v>
      </c>
      <c r="D1225" s="2" t="str">
        <f t="shared" si="18"/>
        <v>Error?</v>
      </c>
    </row>
    <row r="1226" spans="1:4" x14ac:dyDescent="0.2">
      <c r="A1226" s="5">
        <v>1165</v>
      </c>
      <c r="B1226" s="138">
        <f>'Expenditures 15-22'!C151</f>
        <v>331306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44821</v>
      </c>
      <c r="D1229" s="2" t="str">
        <f t="shared" si="18"/>
        <v>Error?</v>
      </c>
    </row>
    <row r="1230" spans="1:4" x14ac:dyDescent="0.2">
      <c r="A1230" s="10">
        <v>1169</v>
      </c>
      <c r="D1230" s="2" t="str">
        <f t="shared" si="18"/>
        <v>OK</v>
      </c>
    </row>
    <row r="1231" spans="1:4" x14ac:dyDescent="0.2">
      <c r="A1231" s="5">
        <v>1170</v>
      </c>
      <c r="B1231" s="138">
        <f>'Expenditures 15-22'!D127</f>
        <v>44821</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44821</v>
      </c>
      <c r="C1233" s="2" t="s">
        <v>573</v>
      </c>
      <c r="D1233" s="2" t="str">
        <f t="shared" si="18"/>
        <v>Error?</v>
      </c>
    </row>
    <row r="1234" spans="1:4" x14ac:dyDescent="0.2">
      <c r="A1234" s="5">
        <v>1173</v>
      </c>
      <c r="B1234" s="138">
        <f>'Expenditures 15-22'!D151</f>
        <v>44821</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134199</v>
      </c>
      <c r="D1237" s="2" t="str">
        <f t="shared" si="18"/>
        <v>Error?</v>
      </c>
    </row>
    <row r="1238" spans="1:4" x14ac:dyDescent="0.2">
      <c r="A1238" s="10">
        <v>1177</v>
      </c>
      <c r="D1238" s="2" t="str">
        <f t="shared" si="18"/>
        <v>OK</v>
      </c>
    </row>
    <row r="1239" spans="1:4" x14ac:dyDescent="0.2">
      <c r="A1239" s="5">
        <v>1178</v>
      </c>
      <c r="B1239" s="138">
        <f>'Expenditures 15-22'!E127</f>
        <v>134199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134199</v>
      </c>
      <c r="C1241" s="2" t="s">
        <v>573</v>
      </c>
      <c r="D1241" s="2" t="str">
        <f t="shared" si="18"/>
        <v>Error?</v>
      </c>
    </row>
    <row r="1242" spans="1:4" x14ac:dyDescent="0.2">
      <c r="A1242" s="5">
        <v>1181</v>
      </c>
      <c r="B1242" s="138">
        <f>'Expenditures 15-22'!E151</f>
        <v>143996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282402</v>
      </c>
      <c r="D1245" s="2" t="str">
        <f t="shared" si="18"/>
        <v>Error?</v>
      </c>
    </row>
    <row r="1246" spans="1:4" x14ac:dyDescent="0.2">
      <c r="A1246" s="10">
        <v>1185</v>
      </c>
      <c r="D1246" s="2" t="str">
        <f t="shared" si="18"/>
        <v>OK</v>
      </c>
    </row>
    <row r="1247" spans="1:4" x14ac:dyDescent="0.2">
      <c r="A1247" s="5">
        <v>1186</v>
      </c>
      <c r="B1247" s="138">
        <f>'Expenditures 15-22'!F127</f>
        <v>282402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282402</v>
      </c>
      <c r="C1249" s="2" t="s">
        <v>573</v>
      </c>
      <c r="D1249" s="2" t="str">
        <f t="shared" si="18"/>
        <v>Error?</v>
      </c>
    </row>
    <row r="1250" spans="1:4" x14ac:dyDescent="0.2">
      <c r="A1250" s="5">
        <v>1189</v>
      </c>
      <c r="B1250" s="138">
        <f>'Expenditures 15-22'!F151</f>
        <v>282402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6123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6123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6123</v>
      </c>
      <c r="C1258" s="2" t="s">
        <v>573</v>
      </c>
      <c r="D1258" s="2" t="str">
        <f t="shared" si="18"/>
        <v>Error?</v>
      </c>
    </row>
    <row r="1259" spans="1:4" x14ac:dyDescent="0.2">
      <c r="A1259" s="5">
        <v>1198</v>
      </c>
      <c r="B1259" s="138">
        <f>'Expenditures 15-22'!G151</f>
        <v>6123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8564</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8564</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798851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798851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798851</v>
      </c>
      <c r="C1281" s="2" t="s">
        <v>573</v>
      </c>
      <c r="D1281" s="2" t="str">
        <f t="shared" si="19"/>
        <v>Error?</v>
      </c>
    </row>
    <row r="1282" spans="1:4" x14ac:dyDescent="0.2">
      <c r="A1282" s="5">
        <v>1221</v>
      </c>
      <c r="B1282" s="138">
        <f>'Expenditures 15-22'!K139</f>
        <v>8564</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817212</v>
      </c>
      <c r="C1288" s="2" t="s">
        <v>573</v>
      </c>
      <c r="D1288" s="2" t="str">
        <f t="shared" si="19"/>
        <v>Error?</v>
      </c>
    </row>
    <row r="1289" spans="1:4" x14ac:dyDescent="0.2">
      <c r="A1289" s="5">
        <v>1228</v>
      </c>
      <c r="B1289" s="138">
        <f>'Expenditures 15-22'!K152</f>
        <v>-149657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362464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785000</v>
      </c>
      <c r="D1315" s="2" t="str">
        <f t="shared" si="19"/>
        <v>Error?</v>
      </c>
    </row>
    <row r="1316" spans="1:4" x14ac:dyDescent="0.2">
      <c r="A1316" s="5">
        <v>1255</v>
      </c>
      <c r="B1316" s="138">
        <f>'Expenditures 15-22'!H171</f>
        <v>1200</v>
      </c>
      <c r="D1316" s="2" t="str">
        <f t="shared" si="19"/>
        <v>Error?</v>
      </c>
    </row>
    <row r="1317" spans="1:4" x14ac:dyDescent="0.2">
      <c r="A1317" s="5">
        <v>1256</v>
      </c>
      <c r="B1317" s="138">
        <f>'Expenditures 15-22'!H172</f>
        <v>1148664</v>
      </c>
      <c r="C1317" s="2" t="s">
        <v>573</v>
      </c>
      <c r="D1317" s="2" t="str">
        <f t="shared" si="19"/>
        <v>Error?</v>
      </c>
    </row>
    <row r="1318" spans="1:4" x14ac:dyDescent="0.2">
      <c r="A1318" s="5">
        <v>1257</v>
      </c>
      <c r="B1318" s="138">
        <f>'Expenditures 15-22'!H174</f>
        <v>1148664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362464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785000</v>
      </c>
      <c r="C1329" s="2" t="s">
        <v>573</v>
      </c>
      <c r="D1329" s="2" t="str">
        <f t="shared" si="19"/>
        <v>Error?</v>
      </c>
    </row>
    <row r="1330" spans="1:4" x14ac:dyDescent="0.2">
      <c r="A1330" s="5">
        <v>1269</v>
      </c>
      <c r="B1330" s="138">
        <f>'Expenditures 15-22'!K171</f>
        <v>1200</v>
      </c>
      <c r="C1330" s="2" t="s">
        <v>573</v>
      </c>
      <c r="D1330" s="2" t="str">
        <f t="shared" si="19"/>
        <v>Error?</v>
      </c>
    </row>
    <row r="1331" spans="1:4" x14ac:dyDescent="0.2">
      <c r="A1331" s="5">
        <v>1270</v>
      </c>
      <c r="B1331" s="138">
        <f>'Expenditures 15-22'!K172</f>
        <v>1148664</v>
      </c>
      <c r="C1331" s="2" t="s">
        <v>573</v>
      </c>
      <c r="D1331" s="2" t="str">
        <f t="shared" si="19"/>
        <v>Error?</v>
      </c>
    </row>
    <row r="1332" spans="1:4" x14ac:dyDescent="0.2">
      <c r="A1332" s="5">
        <v>1271</v>
      </c>
      <c r="B1332" s="138">
        <f>'Expenditures 15-22'!K174</f>
        <v>1148664</v>
      </c>
      <c r="C1332" s="2" t="s">
        <v>573</v>
      </c>
      <c r="D1332" s="2" t="str">
        <f t="shared" si="19"/>
        <v>Error?</v>
      </c>
    </row>
    <row r="1333" spans="1:4" x14ac:dyDescent="0.2">
      <c r="A1333" s="5">
        <v>1272</v>
      </c>
      <c r="B1333" s="138">
        <f>'Expenditures 15-22'!K175</f>
        <v>163441</v>
      </c>
      <c r="C1333" s="2" t="s">
        <v>573</v>
      </c>
      <c r="D1333" s="2" t="str">
        <f t="shared" si="19"/>
        <v>Error?</v>
      </c>
    </row>
    <row r="1334" spans="1:4" x14ac:dyDescent="0.2">
      <c r="A1334" s="10">
        <v>1273</v>
      </c>
      <c r="D1334" s="2" t="str">
        <f t="shared" si="19"/>
        <v>OK</v>
      </c>
    </row>
    <row r="1335" spans="1:4" x14ac:dyDescent="0.2">
      <c r="A1335" s="5">
        <v>1274</v>
      </c>
      <c r="B1335" s="138">
        <f>'Expenditures 15-22'!C182</f>
        <v>6836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6836</v>
      </c>
      <c r="C1339" s="2" t="s">
        <v>573</v>
      </c>
      <c r="D1339" s="2" t="str">
        <f t="shared" si="19"/>
        <v>Error?</v>
      </c>
    </row>
    <row r="1340" spans="1:4" x14ac:dyDescent="0.2">
      <c r="A1340" s="5">
        <v>1279</v>
      </c>
      <c r="B1340" s="138">
        <f>'Expenditures 15-22'!C210</f>
        <v>6836</v>
      </c>
      <c r="C1340" s="2" t="s">
        <v>573</v>
      </c>
      <c r="D1340" s="2" t="str">
        <f t="shared" si="19"/>
        <v>Error?</v>
      </c>
    </row>
    <row r="1341" spans="1:4" x14ac:dyDescent="0.2">
      <c r="A1341" s="5">
        <v>1280</v>
      </c>
      <c r="B1341" s="138">
        <f>'Expenditures 15-22'!D182</f>
        <v>795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795</v>
      </c>
      <c r="C1345" s="2" t="s">
        <v>573</v>
      </c>
      <c r="D1345" s="2" t="str">
        <f t="shared" si="20"/>
        <v>Error?</v>
      </c>
    </row>
    <row r="1346" spans="1:4" x14ac:dyDescent="0.2">
      <c r="A1346" s="5">
        <v>1285</v>
      </c>
      <c r="B1346" s="138">
        <f>'Expenditures 15-22'!D210</f>
        <v>795</v>
      </c>
      <c r="C1346" s="2" t="s">
        <v>573</v>
      </c>
      <c r="D1346" s="2" t="str">
        <f t="shared" si="20"/>
        <v>Error?</v>
      </c>
    </row>
    <row r="1347" spans="1:4" x14ac:dyDescent="0.2">
      <c r="A1347" s="5">
        <v>1286</v>
      </c>
      <c r="B1347" s="138">
        <f>'Expenditures 15-22'!E182</f>
        <v>442692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442692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442692</v>
      </c>
      <c r="C1353" s="2" t="s">
        <v>573</v>
      </c>
      <c r="D1353" s="2" t="str">
        <f t="shared" si="20"/>
        <v>Error?</v>
      </c>
    </row>
    <row r="1354" spans="1:4" x14ac:dyDescent="0.2">
      <c r="A1354" s="5">
        <v>1293</v>
      </c>
      <c r="B1354" s="138">
        <f>'Expenditures 15-22'!F182</f>
        <v>42548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42548</v>
      </c>
      <c r="C1358" s="2" t="s">
        <v>573</v>
      </c>
      <c r="D1358" s="2" t="str">
        <f t="shared" si="20"/>
        <v>Error?</v>
      </c>
    </row>
    <row r="1359" spans="1:4" x14ac:dyDescent="0.2">
      <c r="A1359" s="5">
        <v>1298</v>
      </c>
      <c r="B1359" s="138">
        <f>'Expenditures 15-22'!F210</f>
        <v>42548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326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326</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326</v>
      </c>
      <c r="C1376" s="2" t="s">
        <v>573</v>
      </c>
      <c r="D1376" s="2" t="str">
        <f t="shared" si="20"/>
        <v>Error?</v>
      </c>
    </row>
    <row r="1377" spans="1:4" x14ac:dyDescent="0.2">
      <c r="A1377" s="5">
        <v>1316</v>
      </c>
      <c r="B1377" s="138">
        <f>'Expenditures 15-22'!K182</f>
        <v>493197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493197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493197</v>
      </c>
      <c r="C1388" s="2" t="s">
        <v>573</v>
      </c>
      <c r="D1388" s="2" t="str">
        <f t="shared" si="20"/>
        <v>Error?</v>
      </c>
    </row>
    <row r="1389" spans="1:4" x14ac:dyDescent="0.2">
      <c r="A1389" s="5">
        <v>1328</v>
      </c>
      <c r="B1389" s="138">
        <f>'Expenditures 15-22'!K211</f>
        <v>-26086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594</v>
      </c>
      <c r="D1407" s="2" t="str">
        <f t="shared" ref="D1407:D1470" si="21">IF(ISBLANK(B1407),"OK",IF(A1407-B1407=0,"OK","Error?"))</f>
        <v>Error?</v>
      </c>
    </row>
    <row r="1408" spans="1:4" x14ac:dyDescent="0.2">
      <c r="A1408" s="5">
        <v>1347</v>
      </c>
      <c r="B1408" s="138">
        <f>'Expenditures 15-22'!D223</f>
        <v>5662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85450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2800</v>
      </c>
      <c r="D1412" s="2" t="str">
        <f t="shared" si="21"/>
        <v>Error?</v>
      </c>
    </row>
    <row r="1413" spans="1:4" x14ac:dyDescent="0.2">
      <c r="A1413" s="5">
        <v>1352</v>
      </c>
      <c r="B1413" s="138">
        <f>'Expenditures 15-22'!D234</f>
        <v>8901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570</v>
      </c>
      <c r="D1415" s="2" t="str">
        <f t="shared" si="21"/>
        <v>Error?</v>
      </c>
    </row>
    <row r="1416" spans="1:4" x14ac:dyDescent="0.2">
      <c r="A1416" s="5">
        <v>1355</v>
      </c>
      <c r="B1416" s="138">
        <f>'Expenditures 15-22'!D237</f>
        <v>318</v>
      </c>
      <c r="D1416" s="2" t="str">
        <f t="shared" si="21"/>
        <v>Error?</v>
      </c>
    </row>
    <row r="1417" spans="1:4" x14ac:dyDescent="0.2">
      <c r="A1417" s="5">
        <v>1356</v>
      </c>
      <c r="B1417" s="138">
        <f>'Expenditures 15-22'!D238</f>
        <v>12589</v>
      </c>
      <c r="C1417" s="2" t="s">
        <v>573</v>
      </c>
      <c r="D1417" s="2" t="str">
        <f t="shared" si="21"/>
        <v>Error?</v>
      </c>
    </row>
    <row r="1418" spans="1:4" x14ac:dyDescent="0.2">
      <c r="A1418" s="5">
        <v>1357</v>
      </c>
      <c r="B1418" s="138">
        <f>'Expenditures 15-22'!D240</f>
        <v>1494</v>
      </c>
      <c r="D1418" s="2" t="str">
        <f t="shared" si="21"/>
        <v>Error?</v>
      </c>
    </row>
    <row r="1419" spans="1:4" x14ac:dyDescent="0.2">
      <c r="A1419" s="5">
        <v>1358</v>
      </c>
      <c r="B1419" s="138">
        <f>'Expenditures 15-22'!D241</f>
        <v>2373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3867</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4980</v>
      </c>
      <c r="D1423" s="2" t="str">
        <f t="shared" si="21"/>
        <v>Error?</v>
      </c>
    </row>
    <row r="1424" spans="1:4" x14ac:dyDescent="0.2">
      <c r="A1424" s="5">
        <v>1363</v>
      </c>
      <c r="B1424" s="138">
        <f>'Expenditures 15-22'!D257</f>
        <v>9810</v>
      </c>
      <c r="C1424" s="2" t="s">
        <v>573</v>
      </c>
      <c r="D1424" s="2" t="str">
        <f t="shared" si="21"/>
        <v>Error?</v>
      </c>
    </row>
    <row r="1425" spans="1:4" x14ac:dyDescent="0.2">
      <c r="A1425" s="5">
        <v>1364</v>
      </c>
      <c r="B1425" s="138">
        <f>'Expenditures 15-22'!D259</f>
        <v>15423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15423</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8241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37423</v>
      </c>
      <c r="D1431" s="2" t="str">
        <f t="shared" si="21"/>
        <v>Error?</v>
      </c>
    </row>
    <row r="1432" spans="1:4" x14ac:dyDescent="0.2">
      <c r="A1432" s="5">
        <v>1371</v>
      </c>
      <c r="B1432" s="138">
        <f>'Expenditures 15-22'!D267</f>
        <v>112</v>
      </c>
      <c r="D1432" s="2" t="str">
        <f t="shared" si="21"/>
        <v>Error?</v>
      </c>
    </row>
    <row r="1433" spans="1:4" x14ac:dyDescent="0.2">
      <c r="A1433" s="5">
        <v>1372</v>
      </c>
      <c r="B1433" s="138">
        <f>'Expenditures 15-22'!D268</f>
        <v>14565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60341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13092</v>
      </c>
      <c r="D1442" s="2" t="str">
        <f t="shared" si="21"/>
        <v>Error?</v>
      </c>
    </row>
    <row r="1443" spans="1:4" x14ac:dyDescent="0.2">
      <c r="A1443" s="10">
        <v>1382</v>
      </c>
      <c r="D1443" s="2" t="str">
        <f t="shared" si="21"/>
        <v>OK</v>
      </c>
    </row>
    <row r="1444" spans="1:4" x14ac:dyDescent="0.2">
      <c r="A1444" s="5">
        <v>1383</v>
      </c>
      <c r="B1444" s="138">
        <f>'Expenditures 15-22'!D277</f>
        <v>13092</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115122</v>
      </c>
      <c r="C1446" s="2" t="s">
        <v>573</v>
      </c>
      <c r="D1446" s="2" t="str">
        <f t="shared" si="21"/>
        <v>Error?</v>
      </c>
    </row>
    <row r="1447" spans="1:4" x14ac:dyDescent="0.2">
      <c r="A1447" s="5">
        <v>1386</v>
      </c>
      <c r="B1447" s="138">
        <f>'Expenditures 15-22'!D280</f>
        <v>173</v>
      </c>
      <c r="D1447" s="2" t="str">
        <f t="shared" si="21"/>
        <v>Error?</v>
      </c>
    </row>
    <row r="1448" spans="1:4" x14ac:dyDescent="0.2">
      <c r="A1448" s="5">
        <v>1387</v>
      </c>
      <c r="B1448" s="138">
        <f>'Expenditures 15-22'!D295</f>
        <v>200745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594</v>
      </c>
      <c r="C1471" s="2" t="s">
        <v>573</v>
      </c>
      <c r="D1471" s="2" t="str">
        <f t="shared" ref="D1471:D1534" si="22">IF(ISBLANK(B1471),"OK",IF(A1471-B1471=0,"OK","Error?"))</f>
        <v>Error?</v>
      </c>
    </row>
    <row r="1472" spans="1:4" x14ac:dyDescent="0.2">
      <c r="A1472" s="5">
        <v>1411</v>
      </c>
      <c r="B1472" s="138">
        <f>'Expenditures 15-22'!K223</f>
        <v>5662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85450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2800</v>
      </c>
      <c r="C1476" s="2" t="s">
        <v>573</v>
      </c>
      <c r="D1476" s="2" t="str">
        <f t="shared" si="22"/>
        <v>Error?</v>
      </c>
    </row>
    <row r="1477" spans="1:4" x14ac:dyDescent="0.2">
      <c r="A1477" s="5">
        <v>1416</v>
      </c>
      <c r="B1477" s="138">
        <f>'Expenditures 15-22'!K234</f>
        <v>8901</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570</v>
      </c>
      <c r="C1479" s="2" t="s">
        <v>573</v>
      </c>
      <c r="D1479" s="2" t="str">
        <f t="shared" si="22"/>
        <v>Error?</v>
      </c>
    </row>
    <row r="1480" spans="1:4" x14ac:dyDescent="0.2">
      <c r="A1480" s="5">
        <v>1419</v>
      </c>
      <c r="B1480" s="138">
        <f>'Expenditures 15-22'!K237</f>
        <v>318</v>
      </c>
      <c r="C1480" s="2" t="s">
        <v>573</v>
      </c>
      <c r="D1480" s="2" t="str">
        <f t="shared" si="22"/>
        <v>Error?</v>
      </c>
    </row>
    <row r="1481" spans="1:4" x14ac:dyDescent="0.2">
      <c r="A1481" s="5">
        <v>1420</v>
      </c>
      <c r="B1481" s="138">
        <f>'Expenditures 15-22'!K238</f>
        <v>12589</v>
      </c>
      <c r="C1481" s="2" t="s">
        <v>573</v>
      </c>
      <c r="D1481" s="2" t="str">
        <f t="shared" si="22"/>
        <v>Error?</v>
      </c>
    </row>
    <row r="1482" spans="1:4" x14ac:dyDescent="0.2">
      <c r="A1482" s="5">
        <v>1421</v>
      </c>
      <c r="B1482" s="138">
        <f>'Expenditures 15-22'!K240</f>
        <v>1494</v>
      </c>
      <c r="C1482" s="2" t="s">
        <v>573</v>
      </c>
      <c r="D1482" s="2" t="str">
        <f t="shared" si="22"/>
        <v>Error?</v>
      </c>
    </row>
    <row r="1483" spans="1:4" x14ac:dyDescent="0.2">
      <c r="A1483" s="5">
        <v>1422</v>
      </c>
      <c r="B1483" s="138">
        <f>'Expenditures 15-22'!K241</f>
        <v>2373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3867</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4980</v>
      </c>
      <c r="C1487" s="2" t="s">
        <v>573</v>
      </c>
      <c r="D1487" s="2" t="str">
        <f t="shared" si="22"/>
        <v>Error?</v>
      </c>
    </row>
    <row r="1488" spans="1:4" x14ac:dyDescent="0.2">
      <c r="A1488" s="5">
        <v>1427</v>
      </c>
      <c r="B1488" s="138">
        <f>'Expenditures 15-22'!K257</f>
        <v>9810</v>
      </c>
      <c r="C1488" s="2" t="s">
        <v>573</v>
      </c>
      <c r="D1488" s="2" t="str">
        <f t="shared" si="22"/>
        <v>Error?</v>
      </c>
    </row>
    <row r="1489" spans="1:4" x14ac:dyDescent="0.2">
      <c r="A1489" s="5">
        <v>1428</v>
      </c>
      <c r="B1489" s="138">
        <f>'Expenditures 15-22'!K259</f>
        <v>15423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15423</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8241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37423</v>
      </c>
      <c r="C1495" s="2" t="s">
        <v>573</v>
      </c>
      <c r="D1495" s="2" t="str">
        <f t="shared" si="22"/>
        <v>Error?</v>
      </c>
    </row>
    <row r="1496" spans="1:4" x14ac:dyDescent="0.2">
      <c r="A1496" s="5">
        <v>1435</v>
      </c>
      <c r="B1496" s="138">
        <f>'Expenditures 15-22'!K267</f>
        <v>112</v>
      </c>
      <c r="C1496" s="2" t="s">
        <v>573</v>
      </c>
      <c r="D1496" s="2" t="str">
        <f t="shared" si="22"/>
        <v>Error?</v>
      </c>
    </row>
    <row r="1497" spans="1:4" x14ac:dyDescent="0.2">
      <c r="A1497" s="5">
        <v>1436</v>
      </c>
      <c r="B1497" s="138">
        <f>'Expenditures 15-22'!K268</f>
        <v>14565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60341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13092</v>
      </c>
      <c r="C1506" s="2" t="s">
        <v>573</v>
      </c>
      <c r="D1506" s="2" t="str">
        <f t="shared" si="22"/>
        <v>Error?</v>
      </c>
    </row>
    <row r="1507" spans="1:4" x14ac:dyDescent="0.2">
      <c r="A1507" s="10">
        <v>1446</v>
      </c>
      <c r="D1507" s="2" t="str">
        <f t="shared" si="22"/>
        <v>OK</v>
      </c>
    </row>
    <row r="1508" spans="1:4" x14ac:dyDescent="0.2">
      <c r="A1508" s="5">
        <v>1447</v>
      </c>
      <c r="B1508" s="138">
        <f>'Expenditures 15-22'!K277</f>
        <v>13092</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115122</v>
      </c>
      <c r="C1510" s="2" t="s">
        <v>573</v>
      </c>
      <c r="D1510" s="2" t="str">
        <f t="shared" si="22"/>
        <v>Error?</v>
      </c>
    </row>
    <row r="1511" spans="1:4" x14ac:dyDescent="0.2">
      <c r="A1511" s="5">
        <v>1450</v>
      </c>
      <c r="B1511" s="138">
        <f>'Expenditures 15-22'!K280</f>
        <v>173</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200745</v>
      </c>
      <c r="C1517" s="2" t="s">
        <v>573</v>
      </c>
      <c r="D1517" s="2" t="str">
        <f t="shared" si="22"/>
        <v>Error?</v>
      </c>
    </row>
    <row r="1518" spans="1:4" x14ac:dyDescent="0.2">
      <c r="A1518" s="5">
        <v>1457</v>
      </c>
      <c r="B1518" s="138">
        <f>'Expenditures 15-22'!K296</f>
        <v>-39537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363727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363727</v>
      </c>
      <c r="C1535" s="2" t="s">
        <v>573</v>
      </c>
      <c r="D1535" s="2" t="str">
        <f t="shared" ref="D1535:D1598" si="23">IF(ISBLANK(B1535),"OK",IF(A1535-B1535=0,"OK","Error?"))</f>
        <v>Error?</v>
      </c>
    </row>
    <row r="1536" spans="1:4" x14ac:dyDescent="0.2">
      <c r="A1536" s="5">
        <v>1475</v>
      </c>
      <c r="B1536" s="138">
        <f>'Expenditures 15-22'!E312</f>
        <v>363727</v>
      </c>
      <c r="C1536" s="2" t="s">
        <v>573</v>
      </c>
      <c r="D1536" s="2" t="str">
        <f t="shared" si="23"/>
        <v>Error?</v>
      </c>
    </row>
    <row r="1537" spans="1:4" x14ac:dyDescent="0.2">
      <c r="A1537" s="5">
        <v>1476</v>
      </c>
      <c r="B1537" s="138">
        <f>'Expenditures 15-22'!F301</f>
        <v>293</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293</v>
      </c>
      <c r="C1541" s="2" t="s">
        <v>573</v>
      </c>
      <c r="D1541" s="2" t="str">
        <f t="shared" si="23"/>
        <v>Error?</v>
      </c>
    </row>
    <row r="1542" spans="1:4" x14ac:dyDescent="0.2">
      <c r="A1542" s="5">
        <v>1481</v>
      </c>
      <c r="B1542" s="138">
        <f>'Expenditures 15-22'!F312</f>
        <v>293</v>
      </c>
      <c r="C1542" s="2" t="s">
        <v>573</v>
      </c>
      <c r="D1542" s="2" t="str">
        <f t="shared" si="23"/>
        <v>Error?</v>
      </c>
    </row>
    <row r="1543" spans="1:4" x14ac:dyDescent="0.2">
      <c r="A1543" s="5">
        <v>1482</v>
      </c>
      <c r="B1543" s="138">
        <f>'Expenditures 15-22'!G301</f>
        <v>21141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21141</v>
      </c>
      <c r="C1547" s="2" t="s">
        <v>573</v>
      </c>
      <c r="D1547" s="2" t="str">
        <f t="shared" si="23"/>
        <v>Error?</v>
      </c>
    </row>
    <row r="1548" spans="1:4" x14ac:dyDescent="0.2">
      <c r="A1548" s="5">
        <v>1487</v>
      </c>
      <c r="B1548" s="138">
        <f>'Expenditures 15-22'!G312</f>
        <v>21141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385161</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385161</v>
      </c>
      <c r="C1559" s="2" t="s">
        <v>573</v>
      </c>
      <c r="D1559" s="2" t="str">
        <f t="shared" si="23"/>
        <v>Error?</v>
      </c>
    </row>
    <row r="1560" spans="1:4" x14ac:dyDescent="0.2">
      <c r="A1560" s="5">
        <v>1499</v>
      </c>
      <c r="B1560" s="138">
        <f>'Expenditures 15-22'!K312</f>
        <v>385161</v>
      </c>
      <c r="C1560" s="2" t="s">
        <v>573</v>
      </c>
      <c r="D1560" s="2" t="str">
        <f t="shared" si="23"/>
        <v>Error?</v>
      </c>
    </row>
    <row r="1561" spans="1:4" x14ac:dyDescent="0.2">
      <c r="A1561" s="5">
        <v>1500</v>
      </c>
      <c r="B1561" s="138">
        <f>'Expenditures 15-22'!K313</f>
        <v>-76994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4581001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4342900</v>
      </c>
      <c r="C1630" s="2" t="s">
        <v>573</v>
      </c>
      <c r="D1630" s="2" t="str">
        <f t="shared" si="24"/>
        <v>Error?</v>
      </c>
    </row>
    <row r="1631" spans="1:4" x14ac:dyDescent="0.2">
      <c r="A1631" s="5">
        <v>1570</v>
      </c>
      <c r="B1631" s="138">
        <f>'Acct Summary 7-8'!D79</f>
        <v>648139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498482</v>
      </c>
      <c r="C1644" s="2" t="s">
        <v>573</v>
      </c>
      <c r="D1644" s="2" t="str">
        <f t="shared" si="24"/>
        <v>Error?</v>
      </c>
    </row>
    <row r="1645" spans="1:4" x14ac:dyDescent="0.2">
      <c r="A1645" s="5">
        <v>1584</v>
      </c>
      <c r="B1645" s="138">
        <f>'Acct Summary 7-8'!E79</f>
        <v>944745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1108186</v>
      </c>
      <c r="C1658" s="2" t="s">
        <v>573</v>
      </c>
      <c r="D1658" s="2" t="str">
        <f t="shared" si="24"/>
        <v>Error?</v>
      </c>
    </row>
    <row r="1659" spans="1:4" x14ac:dyDescent="0.2">
      <c r="A1659" s="5">
        <v>1598</v>
      </c>
      <c r="B1659" s="138">
        <f>'Acct Summary 7-8'!F79</f>
        <v>466636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440550</v>
      </c>
      <c r="C1672" s="2" t="s">
        <v>573</v>
      </c>
      <c r="D1672" s="2" t="str">
        <f t="shared" si="25"/>
        <v>Error?</v>
      </c>
    </row>
    <row r="1673" spans="1:4" x14ac:dyDescent="0.2">
      <c r="A1673" s="5">
        <v>1612</v>
      </c>
      <c r="B1673" s="138">
        <f>'Acct Summary 7-8'!G79</f>
        <v>541171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501634</v>
      </c>
      <c r="C1686" s="2" t="s">
        <v>573</v>
      </c>
      <c r="D1686" s="2" t="str">
        <f t="shared" si="25"/>
        <v>Error?</v>
      </c>
    </row>
    <row r="1687" spans="1:4" x14ac:dyDescent="0.2">
      <c r="A1687" s="5">
        <v>1626</v>
      </c>
      <c r="B1687" s="138">
        <f>'Acct Summary 7-8'!H79</f>
        <v>2275324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4698993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3207505</v>
      </c>
      <c r="C1744" s="2" t="s">
        <v>573</v>
      </c>
      <c r="D1744" s="2" t="str">
        <f t="shared" si="26"/>
        <v>Error?</v>
      </c>
    </row>
    <row r="1745" spans="1:5" x14ac:dyDescent="0.2">
      <c r="A1745" s="5">
        <v>1684</v>
      </c>
      <c r="B1745" s="138">
        <f>'Tax Sched 23'!B5</f>
        <v>607481</v>
      </c>
      <c r="C1745" s="2" t="s">
        <v>573</v>
      </c>
      <c r="D1745" s="2" t="str">
        <f t="shared" si="26"/>
        <v>Error?</v>
      </c>
    </row>
    <row r="1746" spans="1:5" x14ac:dyDescent="0.2">
      <c r="A1746" s="5">
        <v>1685</v>
      </c>
      <c r="B1746" s="138">
        <f>'Tax Sched 23'!B6</f>
        <v>1076952</v>
      </c>
      <c r="C1746" s="2" t="s">
        <v>573</v>
      </c>
      <c r="D1746" s="2" t="str">
        <f t="shared" si="26"/>
        <v>Error?</v>
      </c>
    </row>
    <row r="1747" spans="1:5" x14ac:dyDescent="0.2">
      <c r="A1747" s="5">
        <v>1686</v>
      </c>
      <c r="B1747" s="138">
        <f>'Tax Sched 23'!B7</f>
        <v>242993</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60748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339914</v>
      </c>
      <c r="C1752" s="2" t="s">
        <v>573</v>
      </c>
      <c r="D1752" s="2" t="str">
        <f t="shared" si="26"/>
        <v>Error?</v>
      </c>
    </row>
    <row r="1753" spans="1:5" x14ac:dyDescent="0.2">
      <c r="A1753" s="5">
        <v>1692</v>
      </c>
      <c r="B1753" s="138">
        <f>'Tax Sched 23'!B12</f>
        <v>60748</v>
      </c>
      <c r="C1753" s="2" t="s">
        <v>573</v>
      </c>
      <c r="D1753" s="2" t="str">
        <f t="shared" si="26"/>
        <v>Error?</v>
      </c>
    </row>
    <row r="1754" spans="1:5" x14ac:dyDescent="0.2">
      <c r="A1754" s="5">
        <v>1693</v>
      </c>
      <c r="B1754" s="138">
        <f>'Tax Sched 23'!B14</f>
        <v>48598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5852790</v>
      </c>
      <c r="C1759" s="2" t="s">
        <v>573</v>
      </c>
      <c r="D1759" s="2" t="str">
        <f t="shared" si="26"/>
        <v>Error?</v>
      </c>
    </row>
    <row r="1760" spans="1:5" x14ac:dyDescent="0.2">
      <c r="A1760" s="5">
        <v>1699</v>
      </c>
      <c r="B1760" s="138">
        <f>'Tax Sched 23'!D4</f>
        <v>1298995</v>
      </c>
      <c r="C1760" s="2" t="s">
        <v>573</v>
      </c>
      <c r="D1760" s="2" t="str">
        <f t="shared" si="26"/>
        <v>Error?</v>
      </c>
    </row>
    <row r="1761" spans="1:5" x14ac:dyDescent="0.2">
      <c r="A1761" s="5">
        <v>1700</v>
      </c>
      <c r="B1761" s="138">
        <f>'Tax Sched 23'!D5</f>
        <v>246021</v>
      </c>
      <c r="C1761" s="2" t="s">
        <v>573</v>
      </c>
      <c r="D1761" s="2" t="str">
        <f t="shared" si="26"/>
        <v>Error?</v>
      </c>
    </row>
    <row r="1762" spans="1:5" s="8" customFormat="1" x14ac:dyDescent="0.2">
      <c r="A1762" s="5">
        <v>1701</v>
      </c>
      <c r="B1762" s="138">
        <f>'Tax Sched 23'!D6</f>
        <v>385840</v>
      </c>
      <c r="C1762" s="2" t="s">
        <v>573</v>
      </c>
      <c r="D1762" s="2" t="str">
        <f t="shared" si="26"/>
        <v>Error?</v>
      </c>
      <c r="E1762" s="9"/>
    </row>
    <row r="1763" spans="1:5" x14ac:dyDescent="0.2">
      <c r="A1763" s="5">
        <v>1702</v>
      </c>
      <c r="B1763" s="138">
        <f>'Tax Sched 23'!D7</f>
        <v>98409</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24602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122387</v>
      </c>
      <c r="C1768" s="2" t="s">
        <v>573</v>
      </c>
      <c r="D1768" s="2" t="str">
        <f t="shared" si="26"/>
        <v>Error?</v>
      </c>
    </row>
    <row r="1769" spans="1:5" x14ac:dyDescent="0.2">
      <c r="A1769" s="5">
        <v>1708</v>
      </c>
      <c r="B1769" s="138">
        <f>'Tax Sched 23'!D12</f>
        <v>24602</v>
      </c>
      <c r="C1769" s="2" t="s">
        <v>573</v>
      </c>
      <c r="D1769" s="2" t="str">
        <f t="shared" si="26"/>
        <v>Error?</v>
      </c>
    </row>
    <row r="1770" spans="1:5" x14ac:dyDescent="0.2">
      <c r="A1770" s="5">
        <v>1709</v>
      </c>
      <c r="B1770" s="138">
        <f>'Tax Sched 23'!D14</f>
        <v>19681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2306359</v>
      </c>
      <c r="C1775" s="2" t="s">
        <v>573</v>
      </c>
      <c r="D1775" s="2" t="str">
        <f t="shared" si="26"/>
        <v>Error?</v>
      </c>
    </row>
    <row r="1776" spans="1:5" x14ac:dyDescent="0.2">
      <c r="A1776" s="5">
        <v>1715</v>
      </c>
      <c r="B1776" s="138">
        <f>'Tax Sched 23'!C4</f>
        <v>1908510</v>
      </c>
      <c r="D1776" s="2" t="str">
        <f t="shared" si="26"/>
        <v>Error?</v>
      </c>
    </row>
    <row r="1777" spans="1:4" x14ac:dyDescent="0.2">
      <c r="A1777" s="5">
        <v>1716</v>
      </c>
      <c r="B1777" s="138">
        <f>'Tax Sched 23'!C5</f>
        <v>361460</v>
      </c>
      <c r="D1777" s="2" t="str">
        <f t="shared" si="26"/>
        <v>Error?</v>
      </c>
    </row>
    <row r="1778" spans="1:4" x14ac:dyDescent="0.2">
      <c r="A1778" s="5">
        <v>1717</v>
      </c>
      <c r="B1778" s="138">
        <f>'Tax Sched 23'!C6</f>
        <v>691112</v>
      </c>
      <c r="D1778" s="2" t="str">
        <f t="shared" si="26"/>
        <v>Error?</v>
      </c>
    </row>
    <row r="1779" spans="1:4" x14ac:dyDescent="0.2">
      <c r="A1779" s="5">
        <v>1718</v>
      </c>
      <c r="B1779" s="138">
        <f>'Tax Sched 23'!C7</f>
        <v>144584</v>
      </c>
      <c r="D1779" s="2" t="str">
        <f t="shared" si="26"/>
        <v>Error?</v>
      </c>
    </row>
    <row r="1780" spans="1:4" x14ac:dyDescent="0.2">
      <c r="A1780" s="5">
        <v>1719</v>
      </c>
      <c r="B1780" s="138">
        <f>'Tax Sched 23'!C8</f>
        <v>0</v>
      </c>
      <c r="D1780" s="2" t="str">
        <f t="shared" si="26"/>
        <v>Error?</v>
      </c>
    </row>
    <row r="1781" spans="1:4" x14ac:dyDescent="0.2">
      <c r="A1781" s="5">
        <v>1720</v>
      </c>
      <c r="B1781" s="138">
        <f>'Tax Sched 23'!C10</f>
        <v>36146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217527</v>
      </c>
      <c r="D1784" s="2" t="str">
        <f t="shared" si="26"/>
        <v>Error?</v>
      </c>
    </row>
    <row r="1785" spans="1:4" x14ac:dyDescent="0.2">
      <c r="A1785" s="5">
        <v>1724</v>
      </c>
      <c r="B1785" s="138">
        <f>'Tax Sched 23'!C12</f>
        <v>36146</v>
      </c>
      <c r="D1785" s="2" t="str">
        <f t="shared" si="26"/>
        <v>Error?</v>
      </c>
    </row>
    <row r="1786" spans="1:4" x14ac:dyDescent="0.2">
      <c r="A1786" s="5">
        <v>1725</v>
      </c>
      <c r="B1786" s="138">
        <f>'Tax Sched 23'!C14</f>
        <v>28917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3546431</v>
      </c>
      <c r="C1791" s="2" t="s">
        <v>573</v>
      </c>
      <c r="D1791" s="2" t="str">
        <f t="shared" ref="D1791:D1854" si="27">IF(ISBLANK(B1791),"OK",IF(A1791-B1791=0,"OK","Error?"))</f>
        <v>Error?</v>
      </c>
    </row>
    <row r="1792" spans="1:4" x14ac:dyDescent="0.2">
      <c r="A1792" s="5">
        <v>1731</v>
      </c>
      <c r="B1792" s="138">
        <f>'Tax Sched 23'!F4</f>
        <v>1426197</v>
      </c>
      <c r="C1792" s="2" t="s">
        <v>573</v>
      </c>
      <c r="D1792" s="2" t="str">
        <f t="shared" si="27"/>
        <v>Error?</v>
      </c>
    </row>
    <row r="1793" spans="1:4" x14ac:dyDescent="0.2">
      <c r="A1793" s="5">
        <v>1732</v>
      </c>
      <c r="B1793" s="138">
        <f>'Tax Sched 23'!F5</f>
        <v>270113</v>
      </c>
      <c r="C1793" s="2" t="s">
        <v>573</v>
      </c>
      <c r="D1793" s="2" t="str">
        <f t="shared" si="27"/>
        <v>Error?</v>
      </c>
    </row>
    <row r="1794" spans="1:4" x14ac:dyDescent="0.2">
      <c r="A1794" s="5">
        <v>1733</v>
      </c>
      <c r="B1794" s="138">
        <f>'Tax Sched 23'!F6</f>
        <v>516456</v>
      </c>
      <c r="C1794" s="2" t="s">
        <v>573</v>
      </c>
      <c r="D1794" s="2" t="str">
        <f t="shared" si="27"/>
        <v>Error?</v>
      </c>
    </row>
    <row r="1795" spans="1:4" x14ac:dyDescent="0.2">
      <c r="A1795" s="5">
        <v>1734</v>
      </c>
      <c r="B1795" s="138">
        <f>'Tax Sched 23'!F7</f>
        <v>108045</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27011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162554</v>
      </c>
      <c r="C1800" s="2" t="s">
        <v>573</v>
      </c>
      <c r="D1800" s="2" t="str">
        <f t="shared" si="27"/>
        <v>Error?</v>
      </c>
    </row>
    <row r="1801" spans="1:4" x14ac:dyDescent="0.2">
      <c r="A1801" s="5">
        <v>1740</v>
      </c>
      <c r="B1801" s="138">
        <f>'Tax Sched 23'!F12</f>
        <v>27011</v>
      </c>
      <c r="C1801" s="2" t="s">
        <v>573</v>
      </c>
      <c r="D1801" s="2" t="str">
        <f t="shared" si="27"/>
        <v>Error?</v>
      </c>
    </row>
    <row r="1802" spans="1:4" x14ac:dyDescent="0.2">
      <c r="A1802" s="5">
        <v>1741</v>
      </c>
      <c r="B1802" s="138">
        <f>'Tax Sched 23'!F14</f>
        <v>21609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2650186</v>
      </c>
      <c r="C1807" s="2" t="s">
        <v>573</v>
      </c>
      <c r="D1807" s="2" t="str">
        <f t="shared" si="27"/>
        <v>Error?</v>
      </c>
    </row>
    <row r="1808" spans="1:4" x14ac:dyDescent="0.2">
      <c r="A1808" s="5">
        <v>1747</v>
      </c>
      <c r="B1808" s="138">
        <f>'Tax Sched 23'!E4</f>
        <v>3334707</v>
      </c>
      <c r="D1808" s="2" t="str">
        <f t="shared" si="27"/>
        <v>Error?</v>
      </c>
    </row>
    <row r="1809" spans="1:4" x14ac:dyDescent="0.2">
      <c r="A1809" s="5">
        <v>1748</v>
      </c>
      <c r="B1809" s="138">
        <f>'Tax Sched 23'!E5</f>
        <v>631573</v>
      </c>
      <c r="D1809" s="2" t="str">
        <f t="shared" si="27"/>
        <v>Error?</v>
      </c>
    </row>
    <row r="1810" spans="1:4" x14ac:dyDescent="0.2">
      <c r="A1810" s="5">
        <v>1749</v>
      </c>
      <c r="B1810" s="138">
        <f>'Tax Sched 23'!E6</f>
        <v>1207568</v>
      </c>
      <c r="D1810" s="2" t="str">
        <f t="shared" si="27"/>
        <v>Error?</v>
      </c>
    </row>
    <row r="1811" spans="1:4" x14ac:dyDescent="0.2">
      <c r="A1811" s="5">
        <v>1750</v>
      </c>
      <c r="B1811" s="138">
        <f>'Tax Sched 23'!E7</f>
        <v>252629</v>
      </c>
      <c r="D1811" s="2" t="str">
        <f t="shared" si="27"/>
        <v>Error?</v>
      </c>
    </row>
    <row r="1812" spans="1:4" x14ac:dyDescent="0.2">
      <c r="A1812" s="5">
        <v>1751</v>
      </c>
      <c r="B1812" s="138">
        <f>'Tax Sched 23'!E8</f>
        <v>0</v>
      </c>
      <c r="D1812" s="2" t="str">
        <f t="shared" si="27"/>
        <v>Error?</v>
      </c>
    </row>
    <row r="1813" spans="1:4" x14ac:dyDescent="0.2">
      <c r="A1813" s="5">
        <v>1752</v>
      </c>
      <c r="B1813" s="138">
        <f>'Tax Sched 23'!E10</f>
        <v>63157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380081</v>
      </c>
      <c r="D1816" s="2" t="str">
        <f t="shared" si="27"/>
        <v>Error?</v>
      </c>
    </row>
    <row r="1817" spans="1:4" x14ac:dyDescent="0.2">
      <c r="A1817" s="5">
        <v>1756</v>
      </c>
      <c r="B1817" s="138">
        <f>'Tax Sched 23'!E12</f>
        <v>63157</v>
      </c>
      <c r="D1817" s="2" t="str">
        <f t="shared" si="27"/>
        <v>Error?</v>
      </c>
    </row>
    <row r="1818" spans="1:4" x14ac:dyDescent="0.2">
      <c r="A1818" s="5">
        <v>1757</v>
      </c>
      <c r="B1818" s="138">
        <f>'Tax Sched 23'!E14</f>
        <v>50526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6196617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9870000</v>
      </c>
      <c r="C1939" s="2" t="s">
        <v>573</v>
      </c>
      <c r="D1939" s="2" t="str">
        <f t="shared" si="29"/>
        <v>Error?</v>
      </c>
    </row>
    <row r="1940" spans="1:5" x14ac:dyDescent="0.2">
      <c r="A1940" s="5">
        <v>1879</v>
      </c>
      <c r="B1940" s="138">
        <f>'Short-Term Long-Term Debt 24'!F49</f>
        <v>2499000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58598</v>
      </c>
      <c r="D1972" s="2" t="str">
        <f t="shared" si="29"/>
        <v>Error?</v>
      </c>
    </row>
    <row r="1973" spans="1:5" x14ac:dyDescent="0.2">
      <c r="A1973" s="5">
        <v>1912</v>
      </c>
      <c r="B1973" s="138">
        <f>'Rest Tax Levies-Tort Im 25'!H6</f>
        <v>29</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58627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48618</v>
      </c>
      <c r="C1982" s="2" t="s">
        <v>573</v>
      </c>
      <c r="D1982" s="2" t="str">
        <f t="shared" si="29"/>
        <v>Error?</v>
      </c>
    </row>
    <row r="1983" spans="1:5" x14ac:dyDescent="0.2">
      <c r="A1983" s="5">
        <v>1922</v>
      </c>
      <c r="B1983" s="138">
        <f>'Rest Tax Levies-Tort Im 25'!H24</f>
        <v>10009</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241825</v>
      </c>
      <c r="D2008" s="2" t="str">
        <f t="shared" si="30"/>
        <v>Error?</v>
      </c>
    </row>
    <row r="2009" spans="1:4" x14ac:dyDescent="0.2">
      <c r="A2009" s="5">
        <v>1948</v>
      </c>
      <c r="B2009" s="138">
        <f>'Cap Outlay Deprec 26'!C8</f>
        <v>16608414</v>
      </c>
      <c r="D2009" s="2" t="str">
        <f t="shared" si="30"/>
        <v>Error?</v>
      </c>
    </row>
    <row r="2010" spans="1:4" x14ac:dyDescent="0.2">
      <c r="A2010" s="5">
        <v>1949</v>
      </c>
      <c r="B2010" s="138">
        <f>'Cap Outlay Deprec 26'!C10</f>
        <v>1752339</v>
      </c>
      <c r="D2010" s="2" t="str">
        <f t="shared" si="30"/>
        <v>Error?</v>
      </c>
    </row>
    <row r="2011" spans="1:4" x14ac:dyDescent="0.2">
      <c r="A2011" s="5">
        <v>1950</v>
      </c>
      <c r="B2011" s="138">
        <f>'Cap Outlay Deprec 26'!C12</f>
        <v>2111240</v>
      </c>
      <c r="D2011" s="2" t="str">
        <f t="shared" si="30"/>
        <v>Error?</v>
      </c>
    </row>
    <row r="2012" spans="1:4" x14ac:dyDescent="0.2">
      <c r="A2012" s="5">
        <v>1951</v>
      </c>
      <c r="B2012" s="138">
        <f>'Cap Outlay Deprec 26'!C13</f>
        <v>150558</v>
      </c>
      <c r="D2012" s="2" t="str">
        <f t="shared" si="30"/>
        <v>Error?</v>
      </c>
    </row>
    <row r="2013" spans="1:4" x14ac:dyDescent="0.2">
      <c r="A2013" s="5">
        <v>1952</v>
      </c>
      <c r="B2013" s="138">
        <f>'Cap Outlay Deprec 26'!C16</f>
        <v>23638694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2008947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358396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4948496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160009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583223</v>
      </c>
      <c r="C2025" s="2" t="s">
        <v>573</v>
      </c>
      <c r="D2025" s="2" t="str">
        <f t="shared" si="30"/>
        <v>Error?</v>
      </c>
    </row>
    <row r="2026" spans="1:4" x14ac:dyDescent="0.2">
      <c r="A2026" s="5">
        <v>1965</v>
      </c>
      <c r="B2026" s="138">
        <f>'Cap Outlay Deprec 26'!F5</f>
        <v>241825</v>
      </c>
      <c r="C2026" s="2" t="s">
        <v>573</v>
      </c>
      <c r="D2026" s="2" t="str">
        <f t="shared" si="30"/>
        <v>Error?</v>
      </c>
    </row>
    <row r="2027" spans="1:4" x14ac:dyDescent="0.2">
      <c r="A2027" s="5">
        <v>1966</v>
      </c>
      <c r="B2027" s="138">
        <f>'Cap Outlay Deprec 26'!F8</f>
        <v>18617361</v>
      </c>
      <c r="C2027" s="2" t="s">
        <v>573</v>
      </c>
      <c r="D2027" s="2" t="str">
        <f t="shared" si="30"/>
        <v>Error?</v>
      </c>
    </row>
    <row r="2028" spans="1:4" x14ac:dyDescent="0.2">
      <c r="A2028" s="5">
        <v>1967</v>
      </c>
      <c r="B2028" s="138">
        <f>'Cap Outlay Deprec 26'!F10</f>
        <v>1752339</v>
      </c>
      <c r="C2028" s="2" t="s">
        <v>573</v>
      </c>
      <c r="D2028" s="2" t="str">
        <f t="shared" si="30"/>
        <v>Error?</v>
      </c>
    </row>
    <row r="2029" spans="1:4" x14ac:dyDescent="0.2">
      <c r="A2029" s="5">
        <v>1968</v>
      </c>
      <c r="B2029" s="138">
        <f>'Cap Outlay Deprec 26'!F12</f>
        <v>2309627</v>
      </c>
      <c r="C2029" s="2" t="s">
        <v>573</v>
      </c>
      <c r="D2029" s="2" t="str">
        <f t="shared" si="30"/>
        <v>Error?</v>
      </c>
    </row>
    <row r="2030" spans="1:4" x14ac:dyDescent="0.2">
      <c r="A2030" s="5">
        <v>1969</v>
      </c>
      <c r="B2030" s="138">
        <f>'Cap Outlay Deprec 26'!F13</f>
        <v>150558</v>
      </c>
      <c r="C2030" s="2" t="s">
        <v>573</v>
      </c>
      <c r="D2030" s="2" t="str">
        <f t="shared" si="30"/>
        <v>Error?</v>
      </c>
    </row>
    <row r="2031" spans="1:4" x14ac:dyDescent="0.2">
      <c r="A2031" s="5">
        <v>1970</v>
      </c>
      <c r="B2031" s="138">
        <f>'Cap Outlay Deprec 26'!F16</f>
        <v>28003967</v>
      </c>
      <c r="C2031" s="2" t="s">
        <v>573</v>
      </c>
      <c r="D2031" s="2" t="str">
        <f t="shared" si="30"/>
        <v>Error?</v>
      </c>
    </row>
    <row r="2032" spans="1:4" x14ac:dyDescent="0.2">
      <c r="A2032" s="10">
        <v>1971</v>
      </c>
      <c r="D2032" s="2" t="str">
        <f t="shared" si="30"/>
        <v>OK</v>
      </c>
    </row>
    <row r="2033" spans="1:4" x14ac:dyDescent="0.2">
      <c r="A2033" s="5">
        <v>1972</v>
      </c>
      <c r="B2033" s="138">
        <f>'Cap Outlay Deprec 26'!H8</f>
        <v>8173592</v>
      </c>
      <c r="D2033" s="2" t="str">
        <f t="shared" si="30"/>
        <v>Error?</v>
      </c>
    </row>
    <row r="2034" spans="1:4" x14ac:dyDescent="0.2">
      <c r="A2034" s="5">
        <v>1973</v>
      </c>
      <c r="B2034" s="138">
        <f>'Cap Outlay Deprec 26'!H10</f>
        <v>1086906</v>
      </c>
      <c r="D2034" s="2" t="str">
        <f t="shared" si="30"/>
        <v>Error?</v>
      </c>
    </row>
    <row r="2035" spans="1:4" x14ac:dyDescent="0.2">
      <c r="A2035" s="5">
        <v>1974</v>
      </c>
      <c r="B2035" s="138">
        <f>'Cap Outlay Deprec 26'!H12</f>
        <v>1287019</v>
      </c>
      <c r="D2035" s="2" t="str">
        <f t="shared" si="30"/>
        <v>Error?</v>
      </c>
    </row>
    <row r="2036" spans="1:4" x14ac:dyDescent="0.2">
      <c r="A2036" s="5">
        <v>1975</v>
      </c>
      <c r="B2036" s="138">
        <f>'Cap Outlay Deprec 26'!H13</f>
        <v>150558</v>
      </c>
      <c r="D2036" s="2" t="str">
        <f t="shared" si="30"/>
        <v>Error?</v>
      </c>
    </row>
    <row r="2037" spans="1:4" x14ac:dyDescent="0.2">
      <c r="A2037" s="5">
        <v>1976</v>
      </c>
      <c r="B2037" s="138">
        <f>'Cap Outlay Deprec 26'!H16</f>
        <v>10698075</v>
      </c>
      <c r="C2037" s="2" t="s">
        <v>573</v>
      </c>
      <c r="D2037" s="2" t="str">
        <f t="shared" si="30"/>
        <v>Error?</v>
      </c>
    </row>
    <row r="2038" spans="1:4" x14ac:dyDescent="0.2">
      <c r="A2038" s="10">
        <v>1977</v>
      </c>
      <c r="D2038" s="2" t="str">
        <f t="shared" si="30"/>
        <v>OK</v>
      </c>
    </row>
    <row r="2039" spans="1:4" x14ac:dyDescent="0.2">
      <c r="A2039" s="5">
        <v>1978</v>
      </c>
      <c r="B2039" s="138">
        <f>'Cap Outlay Deprec 26'!I8</f>
        <v>372348</v>
      </c>
      <c r="D2039" s="2" t="str">
        <f t="shared" si="30"/>
        <v>Error?</v>
      </c>
    </row>
    <row r="2040" spans="1:4" x14ac:dyDescent="0.2">
      <c r="A2040" s="5">
        <v>1979</v>
      </c>
      <c r="B2040" s="138">
        <f>'Cap Outlay Deprec 26'!I10</f>
        <v>60660</v>
      </c>
      <c r="D2040" s="2" t="str">
        <f t="shared" si="30"/>
        <v>Error?</v>
      </c>
    </row>
    <row r="2041" spans="1:4" x14ac:dyDescent="0.2">
      <c r="A2041" s="5">
        <v>1980</v>
      </c>
      <c r="B2041" s="138">
        <f>'Cap Outlay Deprec 26'!I12</f>
        <v>230962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663970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160009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160009</v>
      </c>
      <c r="C2049" s="2" t="s">
        <v>573</v>
      </c>
      <c r="D2049" s="2" t="str">
        <f t="shared" si="31"/>
        <v>Error?</v>
      </c>
    </row>
    <row r="2050" spans="1:4" x14ac:dyDescent="0.2">
      <c r="A2050" s="10">
        <v>1989</v>
      </c>
      <c r="D2050" s="2" t="str">
        <f t="shared" si="31"/>
        <v>OK</v>
      </c>
    </row>
    <row r="2051" spans="1:4" x14ac:dyDescent="0.2">
      <c r="A2051" s="5">
        <v>1990</v>
      </c>
      <c r="B2051" s="138">
        <f>'Cap Outlay Deprec 26'!K8</f>
        <v>8545940</v>
      </c>
      <c r="C2051" s="2" t="s">
        <v>573</v>
      </c>
      <c r="D2051" s="2" t="str">
        <f t="shared" si="31"/>
        <v>Error?</v>
      </c>
    </row>
    <row r="2052" spans="1:4" x14ac:dyDescent="0.2">
      <c r="A2052" s="5">
        <v>1991</v>
      </c>
      <c r="B2052" s="138">
        <f>'Cap Outlay Deprec 26'!K10</f>
        <v>1147566</v>
      </c>
      <c r="C2052" s="2" t="s">
        <v>573</v>
      </c>
      <c r="D2052" s="2" t="str">
        <f t="shared" si="31"/>
        <v>Error?</v>
      </c>
    </row>
    <row r="2053" spans="1:4" x14ac:dyDescent="0.2">
      <c r="A2053" s="5">
        <v>1992</v>
      </c>
      <c r="B2053" s="138">
        <f>'Cap Outlay Deprec 26'!K12</f>
        <v>1357972</v>
      </c>
      <c r="C2053" s="2" t="s">
        <v>573</v>
      </c>
      <c r="D2053" s="2" t="str">
        <f t="shared" si="31"/>
        <v>Error?</v>
      </c>
    </row>
    <row r="2054" spans="1:4" x14ac:dyDescent="0.2">
      <c r="A2054" s="5">
        <v>1993</v>
      </c>
      <c r="B2054" s="138">
        <f>'Cap Outlay Deprec 26'!K13</f>
        <v>150558</v>
      </c>
      <c r="C2054" s="2" t="s">
        <v>573</v>
      </c>
      <c r="D2054" s="2" t="str">
        <f t="shared" si="31"/>
        <v>Error?</v>
      </c>
    </row>
    <row r="2055" spans="1:4" x14ac:dyDescent="0.2">
      <c r="A2055" s="5">
        <v>1994</v>
      </c>
      <c r="B2055" s="138">
        <f>'Cap Outlay Deprec 26'!K16</f>
        <v>11202036</v>
      </c>
      <c r="C2055" s="2" t="s">
        <v>573</v>
      </c>
      <c r="D2055" s="2" t="str">
        <f t="shared" si="31"/>
        <v>Error?</v>
      </c>
    </row>
    <row r="2056" spans="1:4" x14ac:dyDescent="0.2">
      <c r="A2056" s="5">
        <v>1995</v>
      </c>
      <c r="B2056" s="138">
        <f>'Cap Outlay Deprec 26'!L5</f>
        <v>241825</v>
      </c>
      <c r="C2056" s="2" t="s">
        <v>573</v>
      </c>
      <c r="D2056" s="2" t="str">
        <f t="shared" si="31"/>
        <v>Error?</v>
      </c>
    </row>
    <row r="2057" spans="1:4" x14ac:dyDescent="0.2">
      <c r="A2057" s="5">
        <v>1996</v>
      </c>
      <c r="B2057" s="138">
        <f>'Cap Outlay Deprec 26'!L8</f>
        <v>10071421</v>
      </c>
      <c r="C2057" s="2" t="s">
        <v>573</v>
      </c>
      <c r="D2057" s="2" t="str">
        <f t="shared" si="31"/>
        <v>Error?</v>
      </c>
    </row>
    <row r="2058" spans="1:4" x14ac:dyDescent="0.2">
      <c r="A2058" s="5">
        <v>1997</v>
      </c>
      <c r="B2058" s="138">
        <f>'Cap Outlay Deprec 26'!L10</f>
        <v>604773</v>
      </c>
      <c r="C2058" s="2" t="s">
        <v>573</v>
      </c>
      <c r="D2058" s="2" t="str">
        <f t="shared" si="31"/>
        <v>Error?</v>
      </c>
    </row>
    <row r="2059" spans="1:4" x14ac:dyDescent="0.2">
      <c r="A2059" s="5">
        <v>1998</v>
      </c>
      <c r="B2059" s="138">
        <f>'Cap Outlay Deprec 26'!L12</f>
        <v>951655</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16801931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2774</v>
      </c>
      <c r="C2088" s="2" t="s">
        <v>573</v>
      </c>
      <c r="D2088" s="2" t="str">
        <f t="shared" si="31"/>
        <v>Error?</v>
      </c>
    </row>
    <row r="2089" spans="1:4" x14ac:dyDescent="0.2">
      <c r="A2089" s="5">
        <v>2028</v>
      </c>
      <c r="B2089" s="138">
        <f>'Expenditures 15-22'!K92</f>
        <v>233004</v>
      </c>
      <c r="C2089" s="2" t="s">
        <v>573</v>
      </c>
      <c r="D2089" s="2" t="str">
        <f t="shared" si="31"/>
        <v>Error?</v>
      </c>
    </row>
    <row r="2090" spans="1:4" x14ac:dyDescent="0.2">
      <c r="A2090" s="10">
        <v>2029</v>
      </c>
      <c r="D2090" s="2" t="str">
        <f t="shared" si="31"/>
        <v>OK</v>
      </c>
    </row>
    <row r="2091" spans="1:4" x14ac:dyDescent="0.2">
      <c r="A2091" s="5">
        <v>2030</v>
      </c>
      <c r="B2091" s="138">
        <f>'Expenditures 15-22'!H137</f>
        <v>8564</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8564</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319500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127505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379975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230618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545750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4134653</v>
      </c>
      <c r="C2551" s="2" t="s">
        <v>573</v>
      </c>
      <c r="D2551" s="2" t="str">
        <f t="shared" si="38"/>
        <v>Error?</v>
      </c>
    </row>
    <row r="2552" spans="1:4" x14ac:dyDescent="0.2">
      <c r="A2552" s="10">
        <v>2491</v>
      </c>
      <c r="D2552" s="2" t="str">
        <f t="shared" si="38"/>
        <v>OK</v>
      </c>
    </row>
    <row r="2553" spans="1:4" x14ac:dyDescent="0.2">
      <c r="A2553" s="5">
        <v>2492</v>
      </c>
      <c r="B2553" s="138">
        <f>'Acct Summary 7-8'!C6</f>
        <v>3562760</v>
      </c>
      <c r="C2553" s="2" t="s">
        <v>573</v>
      </c>
      <c r="D2553" s="2" t="str">
        <f t="shared" si="38"/>
        <v>Error?</v>
      </c>
    </row>
    <row r="2554" spans="1:4" x14ac:dyDescent="0.2">
      <c r="A2554" s="5">
        <v>2493</v>
      </c>
      <c r="B2554" s="138">
        <f>'Acct Summary 7-8'!C7</f>
        <v>241079</v>
      </c>
      <c r="C2554" s="2" t="s">
        <v>573</v>
      </c>
      <c r="D2554" s="2" t="str">
        <f t="shared" si="38"/>
        <v>Error?</v>
      </c>
    </row>
    <row r="2555" spans="1:4" x14ac:dyDescent="0.2">
      <c r="A2555" s="5">
        <v>2494</v>
      </c>
      <c r="B2555" s="138">
        <f>'Acct Summary 7-8'!C8</f>
        <v>7938492</v>
      </c>
      <c r="C2555" s="2" t="s">
        <v>573</v>
      </c>
      <c r="D2555" s="2" t="str">
        <f t="shared" si="38"/>
        <v>Error?</v>
      </c>
    </row>
    <row r="2556" spans="1:4" x14ac:dyDescent="0.2">
      <c r="A2556" s="5">
        <v>2495</v>
      </c>
      <c r="B2556" s="138">
        <f>'Acct Summary 7-8'!C12</f>
        <v>5859595</v>
      </c>
      <c r="C2556" s="2" t="s">
        <v>573</v>
      </c>
      <c r="D2556" s="2" t="str">
        <f t="shared" si="38"/>
        <v>Error?</v>
      </c>
    </row>
    <row r="2557" spans="1:4" x14ac:dyDescent="0.2">
      <c r="A2557" s="5">
        <v>2496</v>
      </c>
      <c r="B2557" s="138">
        <f>'Acct Summary 7-8'!C13</f>
        <v>2394486</v>
      </c>
      <c r="C2557" s="2" t="s">
        <v>573</v>
      </c>
      <c r="D2557" s="2" t="str">
        <f t="shared" si="38"/>
        <v>Error?</v>
      </c>
    </row>
    <row r="2558" spans="1:4" x14ac:dyDescent="0.2">
      <c r="A2558" s="5">
        <v>2497</v>
      </c>
      <c r="B2558" s="138">
        <f>'Acct Summary 7-8'!C14</f>
        <v>6234</v>
      </c>
      <c r="C2558" s="2" t="s">
        <v>573</v>
      </c>
      <c r="D2558" s="2" t="str">
        <f t="shared" si="38"/>
        <v>Error?</v>
      </c>
    </row>
    <row r="2559" spans="1:4" x14ac:dyDescent="0.2">
      <c r="A2559" s="5">
        <v>2498</v>
      </c>
      <c r="B2559" s="138">
        <f>'Acct Summary 7-8'!C15</f>
        <v>235778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8496093</v>
      </c>
      <c r="C2561" s="2" t="s">
        <v>573</v>
      </c>
      <c r="D2561" s="2" t="str">
        <f t="shared" si="39"/>
        <v>Error?</v>
      </c>
    </row>
    <row r="2562" spans="1:4" x14ac:dyDescent="0.2">
      <c r="A2562" s="5">
        <v>2501</v>
      </c>
      <c r="B2562" s="138">
        <f>'Acct Summary 7-8'!C20</f>
        <v>-557601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667555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667555</v>
      </c>
      <c r="C2568" s="2" t="s">
        <v>573</v>
      </c>
      <c r="D2568" s="2" t="str">
        <f t="shared" si="39"/>
        <v>Error?</v>
      </c>
    </row>
    <row r="2569" spans="1:4" x14ac:dyDescent="0.2">
      <c r="A2569" s="5">
        <v>2508</v>
      </c>
      <c r="B2569" s="138">
        <f>'Acct Summary 7-8'!D13</f>
        <v>798851</v>
      </c>
      <c r="C2569" s="2" t="s">
        <v>573</v>
      </c>
      <c r="D2569" s="2" t="str">
        <f t="shared" si="39"/>
        <v>Error?</v>
      </c>
    </row>
    <row r="2570" spans="1:4" x14ac:dyDescent="0.2">
      <c r="A2570" s="5">
        <v>2509</v>
      </c>
      <c r="B2570" s="138">
        <f>'Acct Summary 7-8'!D14</f>
        <v>9797</v>
      </c>
      <c r="C2570" s="2" t="s">
        <v>573</v>
      </c>
      <c r="D2570" s="2" t="str">
        <f t="shared" si="39"/>
        <v>Error?</v>
      </c>
    </row>
    <row r="2571" spans="1:4" x14ac:dyDescent="0.2">
      <c r="A2571" s="5">
        <v>2510</v>
      </c>
      <c r="B2571" s="138">
        <f>'Acct Summary 7-8'!D15</f>
        <v>8564</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817212</v>
      </c>
      <c r="C2573" s="2" t="s">
        <v>573</v>
      </c>
      <c r="D2573" s="2" t="str">
        <f t="shared" si="39"/>
        <v>Error?</v>
      </c>
    </row>
    <row r="2574" spans="1:4" x14ac:dyDescent="0.2">
      <c r="A2574" s="5">
        <v>2513</v>
      </c>
      <c r="B2574" s="138">
        <f>'Acct Summary 7-8'!D20</f>
        <v>-149657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246388</v>
      </c>
      <c r="C2591" s="2" t="s">
        <v>573</v>
      </c>
      <c r="D2591" s="2" t="str">
        <f t="shared" si="39"/>
        <v>Error?</v>
      </c>
    </row>
    <row r="2592" spans="1:4" x14ac:dyDescent="0.2">
      <c r="A2592" s="10">
        <v>2531</v>
      </c>
      <c r="D2592" s="2" t="str">
        <f t="shared" si="39"/>
        <v>OK</v>
      </c>
    </row>
    <row r="2593" spans="1:4" x14ac:dyDescent="0.2">
      <c r="A2593" s="5">
        <v>2532</v>
      </c>
      <c r="B2593" s="138">
        <f>'Acct Summary 7-8'!F6</f>
        <v>220723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467111</v>
      </c>
      <c r="C2595" s="2" t="s">
        <v>573</v>
      </c>
      <c r="D2595" s="2" t="str">
        <f t="shared" si="39"/>
        <v>Error?</v>
      </c>
    </row>
    <row r="2596" spans="1:4" x14ac:dyDescent="0.2">
      <c r="A2596" s="5">
        <v>2535</v>
      </c>
      <c r="B2596" s="138">
        <f>'Acct Summary 7-8'!F13</f>
        <v>493197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493197</v>
      </c>
      <c r="C2600" s="2" t="s">
        <v>573</v>
      </c>
      <c r="D2600" s="2" t="str">
        <f t="shared" si="39"/>
        <v>Error?</v>
      </c>
    </row>
    <row r="2601" spans="1:4" x14ac:dyDescent="0.2">
      <c r="A2601" s="5">
        <v>2540</v>
      </c>
      <c r="B2601" s="138">
        <f>'Acct Summary 7-8'!F20</f>
        <v>-26086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161208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161208</v>
      </c>
      <c r="C2606" s="2" t="s">
        <v>573</v>
      </c>
      <c r="D2606" s="2" t="str">
        <f t="shared" si="39"/>
        <v>Error?</v>
      </c>
    </row>
    <row r="2607" spans="1:4" x14ac:dyDescent="0.2">
      <c r="A2607" s="5">
        <v>2546</v>
      </c>
      <c r="B2607" s="138">
        <f>'Acct Summary 7-8'!G12</f>
        <v>85450</v>
      </c>
      <c r="C2607" s="2" t="s">
        <v>573</v>
      </c>
      <c r="D2607" s="2" t="str">
        <f t="shared" si="39"/>
        <v>Error?</v>
      </c>
    </row>
    <row r="2608" spans="1:4" x14ac:dyDescent="0.2">
      <c r="A2608" s="5">
        <v>2547</v>
      </c>
      <c r="B2608" s="138">
        <f>'Acct Summary 7-8'!G13</f>
        <v>115122</v>
      </c>
      <c r="C2608" s="2" t="s">
        <v>573</v>
      </c>
      <c r="D2608" s="2" t="str">
        <f t="shared" si="39"/>
        <v>Error?</v>
      </c>
    </row>
    <row r="2609" spans="1:4" x14ac:dyDescent="0.2">
      <c r="A2609" s="5">
        <v>2548</v>
      </c>
      <c r="B2609" s="138">
        <f>'Acct Summary 7-8'!G14</f>
        <v>173</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200745</v>
      </c>
      <c r="C2612" s="2" t="s">
        <v>573</v>
      </c>
      <c r="D2612" s="2" t="str">
        <f t="shared" si="39"/>
        <v>Error?</v>
      </c>
    </row>
    <row r="2613" spans="1:4" x14ac:dyDescent="0.2">
      <c r="A2613" s="5">
        <v>2552</v>
      </c>
      <c r="B2613" s="138">
        <f>'Acct Summary 7-8'!G20</f>
        <v>-39537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1312105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1312105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1148664</v>
      </c>
      <c r="C2634" s="2" t="s">
        <v>573</v>
      </c>
      <c r="D2634" s="2" t="str">
        <f t="shared" si="40"/>
        <v>Error?</v>
      </c>
    </row>
    <row r="2635" spans="1:4" x14ac:dyDescent="0.2">
      <c r="A2635" s="5">
        <v>2574</v>
      </c>
      <c r="B2635" s="138">
        <f>'Acct Summary 7-8'!E17</f>
        <v>1148664</v>
      </c>
      <c r="C2635" s="2" t="s">
        <v>573</v>
      </c>
      <c r="D2635" s="2" t="str">
        <f t="shared" si="40"/>
        <v>Error?</v>
      </c>
    </row>
    <row r="2636" spans="1:4" x14ac:dyDescent="0.2">
      <c r="A2636" s="5">
        <v>2575</v>
      </c>
      <c r="B2636" s="138">
        <f>'Acct Summary 7-8'!E20</f>
        <v>163441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308167</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308167</v>
      </c>
      <c r="C2658" s="2" t="s">
        <v>573</v>
      </c>
      <c r="D2658" s="2" t="str">
        <f t="shared" si="40"/>
        <v>Error?</v>
      </c>
    </row>
    <row r="2659" spans="1:4" x14ac:dyDescent="0.2">
      <c r="A2659" s="5">
        <v>2598</v>
      </c>
      <c r="B2659" s="138">
        <f>'Acct Summary 7-8'!H13</f>
        <v>385161</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385161</v>
      </c>
      <c r="C2661" s="2" t="s">
        <v>573</v>
      </c>
      <c r="D2661" s="2" t="str">
        <f t="shared" si="40"/>
        <v>Error?</v>
      </c>
    </row>
    <row r="2662" spans="1:4" x14ac:dyDescent="0.2">
      <c r="A2662" s="5">
        <v>2601</v>
      </c>
      <c r="B2662" s="138">
        <f>'Acct Summary 7-8'!H20</f>
        <v>-76994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2774</v>
      </c>
      <c r="C2789" s="2" t="s">
        <v>573</v>
      </c>
      <c r="D2789" s="2" t="str">
        <f t="shared" si="42"/>
        <v>Error?</v>
      </c>
    </row>
    <row r="2790" spans="1:4" x14ac:dyDescent="0.2">
      <c r="A2790" s="5">
        <v>2729</v>
      </c>
      <c r="B2790" s="138">
        <f>'Expenditures 15-22'!E102</f>
        <v>2774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9797</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9797</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4932257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640925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206755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640925</v>
      </c>
      <c r="D2912" s="2" t="str">
        <f t="shared" si="44"/>
        <v>Error?</v>
      </c>
    </row>
    <row r="2913" spans="1:4" x14ac:dyDescent="0.2">
      <c r="A2913" s="5">
        <v>2852</v>
      </c>
      <c r="B2913" s="138">
        <f>'Assets-Liab 5-6'!I41</f>
        <v>640925</v>
      </c>
      <c r="C2913" s="2" t="s">
        <v>573</v>
      </c>
      <c r="D2913" s="2" t="str">
        <f t="shared" si="44"/>
        <v>Error?</v>
      </c>
    </row>
    <row r="2914" spans="1:4" x14ac:dyDescent="0.2">
      <c r="A2914" s="5">
        <v>2853</v>
      </c>
      <c r="B2914" s="138">
        <f>'Assets-Liab 5-6'!L33</f>
        <v>195717</v>
      </c>
      <c r="D2914" s="2" t="str">
        <f t="shared" si="44"/>
        <v>Error?</v>
      </c>
    </row>
    <row r="2915" spans="1:4" x14ac:dyDescent="0.2">
      <c r="A2915" s="10">
        <v>2854</v>
      </c>
      <c r="D2915" s="2" t="str">
        <f t="shared" si="44"/>
        <v>OK</v>
      </c>
    </row>
    <row r="2916" spans="1:4" x14ac:dyDescent="0.2">
      <c r="A2916" s="5">
        <v>2855</v>
      </c>
      <c r="B2916" s="138">
        <f>'Assets-Liab 5-6'!L34</f>
        <v>195717</v>
      </c>
      <c r="C2916" s="2" t="s">
        <v>573</v>
      </c>
      <c r="D2916" s="2" t="str">
        <f t="shared" si="44"/>
        <v>Error?</v>
      </c>
    </row>
    <row r="2917" spans="1:4" x14ac:dyDescent="0.2">
      <c r="A2917" s="5">
        <v>2856</v>
      </c>
      <c r="B2917" s="138">
        <f>'Assets-Liab 5-6'!L41</f>
        <v>206755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2774</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2774</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8564</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8564</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66748</v>
      </c>
      <c r="D3055" s="2" t="str">
        <f t="shared" si="46"/>
        <v>Error?</v>
      </c>
    </row>
    <row r="3056" spans="1:4" x14ac:dyDescent="0.2">
      <c r="A3056" s="5">
        <v>2995</v>
      </c>
      <c r="B3056" s="138">
        <f>'Expenditures 15-22'!D10</f>
        <v>2759</v>
      </c>
      <c r="D3056" s="2" t="str">
        <f t="shared" si="46"/>
        <v>Error?</v>
      </c>
    </row>
    <row r="3057" spans="1:4" x14ac:dyDescent="0.2">
      <c r="A3057" s="5">
        <v>2996</v>
      </c>
      <c r="B3057" s="138">
        <f>'Expenditures 15-22'!E10</f>
        <v>84</v>
      </c>
      <c r="D3057" s="2" t="str">
        <f t="shared" si="46"/>
        <v>Error?</v>
      </c>
    </row>
    <row r="3058" spans="1:4" x14ac:dyDescent="0.2">
      <c r="A3058" s="5">
        <v>2997</v>
      </c>
      <c r="B3058" s="138">
        <f>'Expenditures 15-22'!F10</f>
        <v>21127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90718</v>
      </c>
      <c r="C3062" s="2" t="s">
        <v>573</v>
      </c>
      <c r="D3062" s="2" t="str">
        <f t="shared" si="46"/>
        <v>Error?</v>
      </c>
    </row>
    <row r="3063" spans="1:4" x14ac:dyDescent="0.2">
      <c r="A3063" s="10">
        <v>3002</v>
      </c>
      <c r="D3063" s="2" t="str">
        <f t="shared" si="46"/>
        <v>OK</v>
      </c>
    </row>
    <row r="3064" spans="1:4" x14ac:dyDescent="0.2">
      <c r="A3064" s="5">
        <v>3003</v>
      </c>
      <c r="B3064" s="138">
        <f>'Expenditures 15-22'!D219</f>
        <v>4028</v>
      </c>
      <c r="D3064" s="2" t="str">
        <f t="shared" si="46"/>
        <v>Error?</v>
      </c>
    </row>
    <row r="3065" spans="1:4" x14ac:dyDescent="0.2">
      <c r="A3065" s="5">
        <v>3004</v>
      </c>
      <c r="B3065" s="138">
        <f>'Expenditures 15-22'!K219</f>
        <v>4028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11038</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67281</v>
      </c>
      <c r="C3225" s="2" t="s">
        <v>573</v>
      </c>
      <c r="D3225" s="2" t="str">
        <f t="shared" si="49"/>
        <v>Error?</v>
      </c>
    </row>
    <row r="3226" spans="1:4" x14ac:dyDescent="0.2">
      <c r="A3226" s="5">
        <v>3165</v>
      </c>
      <c r="B3226" s="138">
        <f>'Acct Summary 7-8'!I8</f>
        <v>67281</v>
      </c>
      <c r="C3226" s="2" t="s">
        <v>573</v>
      </c>
      <c r="D3226" s="2" t="str">
        <f t="shared" si="49"/>
        <v>Error?</v>
      </c>
    </row>
    <row r="3227" spans="1:4" x14ac:dyDescent="0.2">
      <c r="A3227" s="5">
        <v>3166</v>
      </c>
      <c r="B3227" s="138">
        <f>'Acct Summary 7-8'!I20</f>
        <v>67281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319500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319500</v>
      </c>
      <c r="C3232" s="2" t="s">
        <v>573</v>
      </c>
      <c r="D3232" s="2" t="str">
        <f t="shared" si="49"/>
        <v>Error?</v>
      </c>
    </row>
    <row r="3233" spans="1:4" x14ac:dyDescent="0.2">
      <c r="A3233" s="5">
        <v>3172</v>
      </c>
      <c r="B3233" s="138">
        <f>'Acct Summary 7-8'!C78</f>
        <v>-238101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-149657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-26086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-39537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163441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2500663</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2500663</v>
      </c>
      <c r="C3299" s="2" t="s">
        <v>573</v>
      </c>
      <c r="D3299" s="2" t="str">
        <f t="shared" si="50"/>
        <v>Error?</v>
      </c>
    </row>
    <row r="3300" spans="1:4" x14ac:dyDescent="0.2">
      <c r="A3300" s="5">
        <v>3239</v>
      </c>
      <c r="B3300" s="138">
        <f>'Acct Summary 7-8'!H78</f>
        <v>2423669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319500</v>
      </c>
      <c r="C3318" s="2" t="s">
        <v>573</v>
      </c>
      <c r="D3318" s="2" t="str">
        <f t="shared" si="50"/>
        <v>Error?</v>
      </c>
    </row>
    <row r="3319" spans="1:4" x14ac:dyDescent="0.2">
      <c r="A3319" s="5">
        <v>3258</v>
      </c>
      <c r="B3319" s="138">
        <f>'Acct Summary 7-8'!I77</f>
        <v>-319500</v>
      </c>
      <c r="C3319" s="2" t="s">
        <v>573</v>
      </c>
      <c r="D3319" s="2" t="str">
        <f t="shared" si="50"/>
        <v>Error?</v>
      </c>
    </row>
    <row r="3320" spans="1:4" x14ac:dyDescent="0.2">
      <c r="A3320" s="5">
        <v>3259</v>
      </c>
      <c r="B3320" s="138">
        <f>'Acct Summary 7-8'!I78</f>
        <v>-252219</v>
      </c>
      <c r="C3320" s="2" t="s">
        <v>573</v>
      </c>
      <c r="D3320" s="2" t="str">
        <f t="shared" si="50"/>
        <v>Error?</v>
      </c>
    </row>
    <row r="3321" spans="1:4" x14ac:dyDescent="0.2">
      <c r="A3321" s="5">
        <v>3260</v>
      </c>
      <c r="B3321" s="138">
        <f>'Acct Summary 7-8'!I79</f>
        <v>893144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640925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480786</v>
      </c>
      <c r="D3366" s="2" t="str">
        <f t="shared" si="51"/>
        <v>Error?</v>
      </c>
    </row>
    <row r="3367" spans="1:4" x14ac:dyDescent="0.2">
      <c r="A3367" s="5">
        <v>3306</v>
      </c>
      <c r="B3367" s="138">
        <f>'Expenditures 15-22'!C19</f>
        <v>68239</v>
      </c>
      <c r="D3367" s="2" t="str">
        <f t="shared" si="51"/>
        <v>Error?</v>
      </c>
    </row>
    <row r="3368" spans="1:4" x14ac:dyDescent="0.2">
      <c r="A3368" s="5">
        <v>3307</v>
      </c>
      <c r="B3368" s="138">
        <f>'Expenditures 15-22'!D8</f>
        <v>92944</v>
      </c>
      <c r="D3368" s="2" t="str">
        <f t="shared" si="51"/>
        <v>Error?</v>
      </c>
    </row>
    <row r="3369" spans="1:4" x14ac:dyDescent="0.2">
      <c r="A3369" s="5">
        <v>3308</v>
      </c>
      <c r="B3369" s="138">
        <f>'Expenditures 15-22'!D19</f>
        <v>14751</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1131</v>
      </c>
      <c r="D3372" s="2" t="str">
        <f t="shared" si="51"/>
        <v>Error?</v>
      </c>
    </row>
    <row r="3373" spans="1:4" x14ac:dyDescent="0.2">
      <c r="A3373" s="5">
        <v>3312</v>
      </c>
      <c r="B3373" s="138">
        <f>'Expenditures 15-22'!F19</f>
        <v>151</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574861</v>
      </c>
      <c r="C3380" s="2" t="s">
        <v>573</v>
      </c>
      <c r="D3380" s="2" t="str">
        <f t="shared" si="51"/>
        <v>Error?</v>
      </c>
    </row>
    <row r="3381" spans="1:4" x14ac:dyDescent="0.2">
      <c r="A3381" s="5">
        <v>3320</v>
      </c>
      <c r="B3381" s="138">
        <f>'Expenditures 15-22'!K19</f>
        <v>83141</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55997</v>
      </c>
      <c r="D3387" s="2" t="str">
        <f t="shared" si="51"/>
        <v>Error?</v>
      </c>
    </row>
    <row r="3388" spans="1:4" x14ac:dyDescent="0.2">
      <c r="A3388" s="5">
        <v>3327</v>
      </c>
      <c r="B3388" s="138">
        <f>'Expenditures 15-22'!D217</f>
        <v>14085</v>
      </c>
      <c r="D3388" s="2" t="str">
        <f t="shared" si="51"/>
        <v>Error?</v>
      </c>
    </row>
    <row r="3389" spans="1:4" x14ac:dyDescent="0.2">
      <c r="A3389" s="5">
        <v>3328</v>
      </c>
      <c r="B3389" s="138">
        <f>'Expenditures 15-22'!D228</f>
        <v>948</v>
      </c>
      <c r="D3389" s="2" t="str">
        <f t="shared" si="51"/>
        <v>Error?</v>
      </c>
    </row>
    <row r="3390" spans="1:4" x14ac:dyDescent="0.2">
      <c r="A3390" s="5">
        <v>3329</v>
      </c>
      <c r="B3390" s="138">
        <f>'Expenditures 15-22'!K215</f>
        <v>55997</v>
      </c>
      <c r="C3390" s="2" t="s">
        <v>573</v>
      </c>
      <c r="D3390" s="2" t="str">
        <f t="shared" si="51"/>
        <v>Error?</v>
      </c>
    </row>
    <row r="3391" spans="1:4" x14ac:dyDescent="0.2">
      <c r="A3391" s="5">
        <v>3330</v>
      </c>
      <c r="B3391" s="138">
        <f>'Expenditures 15-22'!K217</f>
        <v>14085</v>
      </c>
      <c r="C3391" s="2" t="s">
        <v>573</v>
      </c>
      <c r="D3391" s="2" t="str">
        <f t="shared" ref="D3391:D3454" si="52">IF(ISBLANK(B3391),"OK",IF(A3391-B3391=0,"OK","Error?"))</f>
        <v>Error?</v>
      </c>
    </row>
    <row r="3392" spans="1:4" x14ac:dyDescent="0.2">
      <c r="A3392" s="5">
        <v>3331</v>
      </c>
      <c r="B3392" s="138">
        <f>'Expenditures 15-22'!K228</f>
        <v>948</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4342900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498635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1108186</v>
      </c>
      <c r="D3417" s="2" t="str">
        <f t="shared" si="52"/>
        <v>Error?</v>
      </c>
    </row>
    <row r="3418" spans="1:4" x14ac:dyDescent="0.2">
      <c r="A3418" s="10">
        <v>3357</v>
      </c>
      <c r="D3418" s="2" t="str">
        <f t="shared" si="52"/>
        <v>OK</v>
      </c>
    </row>
    <row r="3419" spans="1:4" x14ac:dyDescent="0.2">
      <c r="A3419" s="5">
        <v>3358</v>
      </c>
      <c r="B3419" s="138">
        <f>'Assets-Liab 5-6'!F4</f>
        <v>440550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501634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4698993</v>
      </c>
      <c r="D3425" s="2" t="str">
        <f t="shared" si="52"/>
        <v>Error?</v>
      </c>
    </row>
    <row r="3426" spans="1:4" x14ac:dyDescent="0.2">
      <c r="A3426" s="10">
        <v>3365</v>
      </c>
      <c r="D3426" s="2" t="str">
        <f t="shared" si="52"/>
        <v>OK</v>
      </c>
    </row>
    <row r="3427" spans="1:4" x14ac:dyDescent="0.2">
      <c r="A3427" s="5">
        <v>3366</v>
      </c>
      <c r="B3427" s="138">
        <f>'Assets-Liab 5-6'!I4</f>
        <v>640925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206755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147101</v>
      </c>
      <c r="C3446" s="2" t="s">
        <v>573</v>
      </c>
      <c r="D3446" s="2" t="str">
        <f t="shared" si="52"/>
        <v>Error?</v>
      </c>
    </row>
    <row r="3447" spans="1:4" x14ac:dyDescent="0.2">
      <c r="A3447" s="5">
        <v>3386</v>
      </c>
      <c r="B3447" s="138">
        <f>'Tax Sched 23'!D16</f>
        <v>61218</v>
      </c>
      <c r="C3447" s="2" t="s">
        <v>573</v>
      </c>
      <c r="D3447" s="2" t="str">
        <f t="shared" si="52"/>
        <v>Error?</v>
      </c>
    </row>
    <row r="3448" spans="1:4" x14ac:dyDescent="0.2">
      <c r="A3448" s="5">
        <v>3387</v>
      </c>
      <c r="B3448" s="138">
        <f>'Tax Sched 23'!C16</f>
        <v>85883</v>
      </c>
      <c r="D3448" s="2" t="str">
        <f t="shared" si="52"/>
        <v>Error?</v>
      </c>
    </row>
    <row r="3449" spans="1:4" x14ac:dyDescent="0.2">
      <c r="A3449" s="5">
        <v>3388</v>
      </c>
      <c r="B3449" s="138">
        <f>'Tax Sched 23'!F16</f>
        <v>64179</v>
      </c>
      <c r="C3449" s="2" t="s">
        <v>573</v>
      </c>
      <c r="D3449" s="2" t="str">
        <f t="shared" si="52"/>
        <v>Error?</v>
      </c>
    </row>
    <row r="3450" spans="1:4" x14ac:dyDescent="0.2">
      <c r="A3450" s="5">
        <v>3389</v>
      </c>
      <c r="B3450" s="138">
        <f>'Tax Sched 23'!E16</f>
        <v>150062</v>
      </c>
      <c r="D3450" s="2" t="str">
        <f t="shared" si="52"/>
        <v>Error?</v>
      </c>
    </row>
    <row r="3451" spans="1:4" x14ac:dyDescent="0.2">
      <c r="A3451" s="5">
        <v>3390</v>
      </c>
      <c r="B3451" s="138">
        <f>'Cap Outlay Deprec 26'!C15</f>
        <v>2774318</v>
      </c>
      <c r="D3451" s="2" t="str">
        <f t="shared" si="52"/>
        <v>Error?</v>
      </c>
    </row>
    <row r="3452" spans="1:4" x14ac:dyDescent="0.2">
      <c r="A3452" s="5">
        <v>3391</v>
      </c>
      <c r="B3452" s="138">
        <f>'Cap Outlay Deprec 26'!D15</f>
        <v>2581153</v>
      </c>
      <c r="D3452" s="2" t="str">
        <f t="shared" si="52"/>
        <v>Error?</v>
      </c>
    </row>
    <row r="3453" spans="1:4" x14ac:dyDescent="0.2">
      <c r="A3453" s="5">
        <v>3392</v>
      </c>
      <c r="B3453" s="138">
        <f>'Cap Outlay Deprec 26'!E15</f>
        <v>423214</v>
      </c>
      <c r="D3453" s="2" t="str">
        <f t="shared" si="52"/>
        <v>Error?</v>
      </c>
    </row>
    <row r="3454" spans="1:4" x14ac:dyDescent="0.2">
      <c r="A3454" s="5">
        <v>3393</v>
      </c>
      <c r="B3454" s="138">
        <f>'Cap Outlay Deprec 26'!F15</f>
        <v>4932257</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4932257</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93155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93155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93155</v>
      </c>
      <c r="D3567" s="2" t="str">
        <f t="shared" si="54"/>
        <v>Error?</v>
      </c>
    </row>
    <row r="3568" spans="1:4" x14ac:dyDescent="0.2">
      <c r="A3568" s="5">
        <v>3507</v>
      </c>
      <c r="B3568" s="138">
        <f>'Assets-Liab 5-6'!K41</f>
        <v>93155</v>
      </c>
      <c r="C3568" s="2" t="s">
        <v>573</v>
      </c>
      <c r="D3568" s="2" t="str">
        <f t="shared" si="54"/>
        <v>Error?</v>
      </c>
    </row>
    <row r="3569" spans="1:4" x14ac:dyDescent="0.2">
      <c r="A3569" s="5">
        <v>3508</v>
      </c>
      <c r="B3569" s="138">
        <f>'Acct Summary 7-8'!K4</f>
        <v>69873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69873</v>
      </c>
      <c r="C3571" s="2" t="s">
        <v>573</v>
      </c>
      <c r="D3571" s="2" t="str">
        <f t="shared" si="54"/>
        <v>Error?</v>
      </c>
    </row>
    <row r="3572" spans="1:4" x14ac:dyDescent="0.2">
      <c r="A3572" s="5">
        <v>3511</v>
      </c>
      <c r="B3572" s="138">
        <f>'Acct Summary 7-8'!K13</f>
        <v>4167522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4167522</v>
      </c>
      <c r="C3575" s="2" t="s">
        <v>573</v>
      </c>
      <c r="D3575" s="2" t="str">
        <f t="shared" si="54"/>
        <v>Error?</v>
      </c>
    </row>
    <row r="3576" spans="1:4" x14ac:dyDescent="0.2">
      <c r="A3576" s="5">
        <v>3515</v>
      </c>
      <c r="B3576" s="138">
        <f>'Acct Summary 7-8'!K20</f>
        <v>-4097649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-4097649</v>
      </c>
      <c r="C3588" s="2" t="s">
        <v>573</v>
      </c>
      <c r="D3588" s="2" t="str">
        <f t="shared" si="55"/>
        <v>Error?</v>
      </c>
    </row>
    <row r="3589" spans="1:4" x14ac:dyDescent="0.2">
      <c r="A3589" s="5">
        <v>3528</v>
      </c>
      <c r="B3589" s="138">
        <f>'Acct Summary 7-8'!K79</f>
        <v>4190804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93155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4167522</v>
      </c>
      <c r="D3646" s="2" t="str">
        <f t="shared" si="55"/>
        <v>Error?</v>
      </c>
    </row>
    <row r="3647" spans="1:4" x14ac:dyDescent="0.2">
      <c r="A3647" s="5">
        <v>3586</v>
      </c>
      <c r="B3647" s="138">
        <f>'Expenditures 15-22'!G350</f>
        <v>4167522</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4167522</v>
      </c>
      <c r="C3649" s="2" t="s">
        <v>573</v>
      </c>
      <c r="D3649" s="2" t="str">
        <f t="shared" si="56"/>
        <v>Error?</v>
      </c>
    </row>
    <row r="3650" spans="1:4" x14ac:dyDescent="0.2">
      <c r="A3650" s="5">
        <v>3589</v>
      </c>
      <c r="B3650" s="138">
        <f>'Expenditures 15-22'!G367</f>
        <v>4167522</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4167522</v>
      </c>
      <c r="C3669" s="2" t="s">
        <v>573</v>
      </c>
      <c r="D3669" s="2" t="str">
        <f t="shared" si="56"/>
        <v>Error?</v>
      </c>
    </row>
    <row r="3670" spans="1:4" x14ac:dyDescent="0.2">
      <c r="A3670" s="5">
        <v>3609</v>
      </c>
      <c r="B3670" s="138">
        <f>'Expenditures 15-22'!K350</f>
        <v>4167522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4167522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4167522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-4097649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60750</v>
      </c>
      <c r="C3725" s="2" t="s">
        <v>573</v>
      </c>
      <c r="D3725" s="2" t="str">
        <f t="shared" si="57"/>
        <v>Error?</v>
      </c>
    </row>
    <row r="3726" spans="1:4" x14ac:dyDescent="0.2">
      <c r="A3726" s="5">
        <v>3665</v>
      </c>
      <c r="B3726" s="138">
        <f>'Tax Sched 23'!D13</f>
        <v>24604</v>
      </c>
      <c r="C3726" s="2" t="s">
        <v>573</v>
      </c>
      <c r="D3726" s="2" t="str">
        <f t="shared" si="57"/>
        <v>Error?</v>
      </c>
    </row>
    <row r="3727" spans="1:4" x14ac:dyDescent="0.2">
      <c r="A3727" s="5">
        <v>3666</v>
      </c>
      <c r="B3727" s="138">
        <f>'Tax Sched 23'!C13</f>
        <v>36146</v>
      </c>
      <c r="D3727" s="2" t="str">
        <f t="shared" si="57"/>
        <v>Error?</v>
      </c>
    </row>
    <row r="3728" spans="1:4" x14ac:dyDescent="0.2">
      <c r="A3728" s="5">
        <v>3667</v>
      </c>
      <c r="B3728" s="138">
        <f>'Tax Sched 23'!F13</f>
        <v>27011</v>
      </c>
      <c r="C3728" s="2" t="s">
        <v>573</v>
      </c>
      <c r="D3728" s="2" t="str">
        <f t="shared" si="57"/>
        <v>Error?</v>
      </c>
    </row>
    <row r="3729" spans="1:4" x14ac:dyDescent="0.2">
      <c r="A3729" s="5">
        <v>3668</v>
      </c>
      <c r="B3729" s="138">
        <f>'Tax Sched 23'!E13</f>
        <v>63157</v>
      </c>
      <c r="D3729" s="2" t="str">
        <f t="shared" si="57"/>
        <v>Error?</v>
      </c>
    </row>
    <row r="3730" spans="1:4" x14ac:dyDescent="0.2">
      <c r="A3730" s="5">
        <v>3669</v>
      </c>
      <c r="B3730" s="138">
        <f>'ICR Computation 30'!E10</f>
        <v>203521.5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4015840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11954332</v>
      </c>
      <c r="C4122" s="2" t="s">
        <v>573</v>
      </c>
      <c r="D4122" s="2" t="str">
        <f t="shared" si="63"/>
        <v>Error?</v>
      </c>
    </row>
    <row r="4123" spans="1:4" x14ac:dyDescent="0.2">
      <c r="A4123" s="5">
        <v>4062</v>
      </c>
      <c r="B4123" s="138">
        <f>'Acct Summary 7-8'!D10</f>
        <v>667555</v>
      </c>
      <c r="C4123" s="2" t="s">
        <v>573</v>
      </c>
      <c r="D4123" s="2" t="str">
        <f t="shared" si="63"/>
        <v>Error?</v>
      </c>
    </row>
    <row r="4124" spans="1:4" x14ac:dyDescent="0.2">
      <c r="A4124" s="5">
        <v>4063</v>
      </c>
      <c r="B4124" s="138">
        <f>'Acct Summary 7-8'!E10</f>
        <v>1312105</v>
      </c>
      <c r="C4124" s="2" t="s">
        <v>573</v>
      </c>
      <c r="D4124" s="2" t="str">
        <f t="shared" si="63"/>
        <v>Error?</v>
      </c>
    </row>
    <row r="4125" spans="1:4" x14ac:dyDescent="0.2">
      <c r="A4125" s="5">
        <v>4064</v>
      </c>
      <c r="B4125" s="138">
        <f>'Acct Summary 7-8'!F10</f>
        <v>467111</v>
      </c>
      <c r="C4125" s="2" t="s">
        <v>573</v>
      </c>
      <c r="D4125" s="2" t="str">
        <f t="shared" si="63"/>
        <v>Error?</v>
      </c>
    </row>
    <row r="4126" spans="1:4" x14ac:dyDescent="0.2">
      <c r="A4126" s="5">
        <v>4065</v>
      </c>
      <c r="B4126" s="138">
        <f>'Acct Summary 7-8'!G10</f>
        <v>161208</v>
      </c>
      <c r="C4126" s="2" t="s">
        <v>573</v>
      </c>
      <c r="D4126" s="2" t="str">
        <f t="shared" si="63"/>
        <v>Error?</v>
      </c>
    </row>
    <row r="4127" spans="1:4" x14ac:dyDescent="0.2">
      <c r="A4127" s="5">
        <v>4066</v>
      </c>
      <c r="B4127" s="138">
        <f>'Acct Summary 7-8'!H10</f>
        <v>308167</v>
      </c>
      <c r="C4127" s="2" t="s">
        <v>573</v>
      </c>
      <c r="D4127" s="2" t="str">
        <f t="shared" si="63"/>
        <v>Error?</v>
      </c>
    </row>
    <row r="4128" spans="1:4" x14ac:dyDescent="0.2">
      <c r="A4128" s="5">
        <v>4067</v>
      </c>
      <c r="B4128" s="138">
        <f>'Acct Summary 7-8'!I10</f>
        <v>67281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69873</v>
      </c>
      <c r="C4130" s="2" t="s">
        <v>573</v>
      </c>
      <c r="D4130" s="2" t="str">
        <f t="shared" si="63"/>
        <v>Error?</v>
      </c>
    </row>
    <row r="4131" spans="1:4" x14ac:dyDescent="0.2">
      <c r="A4131" s="5">
        <v>4070</v>
      </c>
      <c r="B4131" s="138">
        <f>'Acct Summary 7-8'!C18</f>
        <v>4015840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12511933</v>
      </c>
      <c r="C4136" s="2" t="s">
        <v>573</v>
      </c>
      <c r="D4136" s="2" t="str">
        <f t="shared" si="63"/>
        <v>Error?</v>
      </c>
    </row>
    <row r="4137" spans="1:4" x14ac:dyDescent="0.2">
      <c r="A4137" s="5">
        <v>4076</v>
      </c>
      <c r="B4137" s="138">
        <f>'Acct Summary 7-8'!D19</f>
        <v>817212</v>
      </c>
      <c r="C4137" s="2" t="s">
        <v>573</v>
      </c>
      <c r="D4137" s="2" t="str">
        <f t="shared" si="63"/>
        <v>Error?</v>
      </c>
    </row>
    <row r="4138" spans="1:4" x14ac:dyDescent="0.2">
      <c r="A4138" s="5">
        <v>4077</v>
      </c>
      <c r="B4138" s="138">
        <f>'Acct Summary 7-8'!E19</f>
        <v>1148664</v>
      </c>
      <c r="C4138" s="2" t="s">
        <v>573</v>
      </c>
      <c r="D4138" s="2" t="str">
        <f t="shared" si="63"/>
        <v>Error?</v>
      </c>
    </row>
    <row r="4139" spans="1:4" x14ac:dyDescent="0.2">
      <c r="A4139" s="5">
        <v>4078</v>
      </c>
      <c r="B4139" s="138">
        <f>'Acct Summary 7-8'!F19</f>
        <v>493197</v>
      </c>
      <c r="C4139" s="2" t="s">
        <v>573</v>
      </c>
      <c r="D4139" s="2" t="str">
        <f t="shared" si="63"/>
        <v>Error?</v>
      </c>
    </row>
    <row r="4140" spans="1:4" x14ac:dyDescent="0.2">
      <c r="A4140" s="5">
        <v>4079</v>
      </c>
      <c r="B4140" s="138">
        <f>'Acct Summary 7-8'!G19</f>
        <v>200745</v>
      </c>
      <c r="C4140" s="2" t="s">
        <v>573</v>
      </c>
      <c r="D4140" s="2" t="str">
        <f t="shared" si="63"/>
        <v>Error?</v>
      </c>
    </row>
    <row r="4141" spans="1:4" x14ac:dyDescent="0.2">
      <c r="A4141" s="5">
        <v>4080</v>
      </c>
      <c r="B4141" s="138">
        <f>'Acct Summary 7-8'!H19</f>
        <v>385161</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4167522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11584000</v>
      </c>
      <c r="C4171" s="2" t="s">
        <v>573</v>
      </c>
      <c r="D4171" s="2" t="str">
        <f t="shared" si="64"/>
        <v>Error?</v>
      </c>
    </row>
    <row r="4172" spans="1:4" x14ac:dyDescent="0.2">
      <c r="A4172" s="5">
        <v>4111</v>
      </c>
      <c r="B4172" s="138">
        <f>'Short-Term Long-Term Debt 24'!J49</f>
        <v>10475814</v>
      </c>
      <c r="C4172" s="2" t="s">
        <v>573</v>
      </c>
      <c r="D4172" s="2" t="str">
        <f t="shared" si="64"/>
        <v>Error?</v>
      </c>
    </row>
    <row r="4173" spans="1:4" x14ac:dyDescent="0.2">
      <c r="A4173" s="5">
        <v>4112</v>
      </c>
      <c r="B4173" s="138">
        <f>'Short-Term Long-Term Debt 24'!H49</f>
        <v>785000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15081</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2640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3340</v>
      </c>
      <c r="C4268" s="2" t="s">
        <v>573</v>
      </c>
      <c r="D4268" s="2" t="str">
        <f t="shared" si="65"/>
        <v>Error?</v>
      </c>
    </row>
    <row r="4269" spans="1:5" x14ac:dyDescent="0.2">
      <c r="A4269" s="12">
        <v>4208</v>
      </c>
      <c r="B4269" s="138">
        <f>'FP Info 3'!J16</f>
        <v>5922857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10218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1870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2093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126314666</v>
      </c>
      <c r="D4995" s="2" t="str">
        <f t="shared" si="77"/>
        <v>Error?</v>
      </c>
    </row>
    <row r="4996" spans="1:4" x14ac:dyDescent="0.2">
      <c r="A4996" s="12">
        <v>4935</v>
      </c>
      <c r="B4996" s="138">
        <f>'FP Info 3'!H31</f>
        <v>17431423.908</v>
      </c>
      <c r="D4996" s="2" t="str">
        <f t="shared" si="77"/>
        <v>Error?</v>
      </c>
    </row>
    <row r="4997" spans="1:4" x14ac:dyDescent="0.2">
      <c r="A4997" s="12">
        <v>4936</v>
      </c>
      <c r="B4997" s="138">
        <f>'FP Info 3'!H37</f>
        <v>11584000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60750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3207505</v>
      </c>
      <c r="D5061" s="2" t="str">
        <f t="shared" si="78"/>
        <v>Error?</v>
      </c>
    </row>
    <row r="5062" spans="1:4" x14ac:dyDescent="0.2">
      <c r="A5062" s="10">
        <v>5001</v>
      </c>
      <c r="D5062" s="2" t="str">
        <f t="shared" si="78"/>
        <v>OK</v>
      </c>
    </row>
    <row r="5063" spans="1:4" x14ac:dyDescent="0.2">
      <c r="A5063" s="5">
        <v>5002</v>
      </c>
      <c r="B5063" s="138">
        <f>'Revenues 9-14'!C7</f>
        <v>48598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3316853</v>
      </c>
      <c r="C5066" s="2" t="s">
        <v>573</v>
      </c>
      <c r="D5066" s="2" t="str">
        <f t="shared" si="78"/>
        <v>Error?</v>
      </c>
    </row>
    <row r="5067" spans="1:4" x14ac:dyDescent="0.2">
      <c r="A5067" s="5">
        <v>5006</v>
      </c>
      <c r="B5067" s="138">
        <f>'Revenues 9-14'!C14</f>
        <v>737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311653</v>
      </c>
      <c r="D5069" s="2" t="str">
        <f t="shared" si="78"/>
        <v>Error?</v>
      </c>
    </row>
    <row r="5070" spans="1:4" x14ac:dyDescent="0.2">
      <c r="A5070" s="5">
        <v>5009</v>
      </c>
      <c r="B5070" s="138">
        <f>'Revenues 9-14'!C17</f>
        <v>50000</v>
      </c>
      <c r="D5070" s="2" t="str">
        <f t="shared" si="78"/>
        <v>Error?</v>
      </c>
    </row>
    <row r="5071" spans="1:4" x14ac:dyDescent="0.2">
      <c r="A5071" s="5">
        <v>5010</v>
      </c>
      <c r="B5071" s="138">
        <f>'Revenues 9-14'!C18</f>
        <v>362390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4800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4800</v>
      </c>
      <c r="C5087" s="2" t="s">
        <v>573</v>
      </c>
      <c r="D5087" s="2" t="str">
        <f t="shared" si="78"/>
        <v>Error?</v>
      </c>
    </row>
    <row r="5088" spans="1:4" x14ac:dyDescent="0.2">
      <c r="A5088" s="5">
        <v>5027</v>
      </c>
      <c r="B5088" s="138">
        <f>'Revenues 9-14'!C65</f>
        <v>31380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31380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3843</v>
      </c>
      <c r="D5094" s="2" t="str">
        <f t="shared" si="78"/>
        <v>Error?</v>
      </c>
    </row>
    <row r="5095" spans="1:4" x14ac:dyDescent="0.2">
      <c r="A5095" s="5">
        <v>5034</v>
      </c>
      <c r="B5095" s="138">
        <f>'Revenues 9-14'!C74</f>
        <v>307</v>
      </c>
      <c r="D5095" s="2" t="str">
        <f t="shared" si="78"/>
        <v>Error?</v>
      </c>
    </row>
    <row r="5096" spans="1:4" x14ac:dyDescent="0.2">
      <c r="A5096" s="5">
        <v>5035</v>
      </c>
      <c r="B5096" s="138">
        <f>'Revenues 9-14'!C75</f>
        <v>154991</v>
      </c>
      <c r="C5096" s="2" t="s">
        <v>573</v>
      </c>
      <c r="D5096" s="2" t="str">
        <f t="shared" si="78"/>
        <v>Error?</v>
      </c>
    </row>
    <row r="5097" spans="1:4" x14ac:dyDescent="0.2">
      <c r="A5097" s="5">
        <v>5036</v>
      </c>
      <c r="B5097" s="138">
        <f>'Revenues 9-14'!C77</f>
        <v>34160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2215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58449</v>
      </c>
      <c r="D5101" s="2" t="str">
        <f t="shared" si="78"/>
        <v>Error?</v>
      </c>
    </row>
    <row r="5102" spans="1:4" x14ac:dyDescent="0.2">
      <c r="A5102" s="5">
        <v>5041</v>
      </c>
      <c r="B5102" s="138">
        <f>'Revenues 9-14'!C82</f>
        <v>94824</v>
      </c>
      <c r="C5102" s="2" t="s">
        <v>573</v>
      </c>
      <c r="D5102" s="2" t="str">
        <f t="shared" si="78"/>
        <v>Error?</v>
      </c>
    </row>
    <row r="5103" spans="1:4" x14ac:dyDescent="0.2">
      <c r="A5103" s="5">
        <v>5042</v>
      </c>
      <c r="B5103" s="138">
        <f>'Revenues 9-14'!C84</f>
        <v>76542</v>
      </c>
      <c r="D5103" s="2" t="str">
        <f t="shared" si="78"/>
        <v>Error?</v>
      </c>
    </row>
    <row r="5104" spans="1:4" x14ac:dyDescent="0.2">
      <c r="A5104" s="5">
        <v>5043</v>
      </c>
      <c r="B5104" s="138">
        <f>'Revenues 9-14'!C85</f>
        <v>530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77072</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12061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11254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64343</v>
      </c>
      <c r="D5119" s="2" t="str">
        <f t="shared" ref="D5119:D5182" si="79">IF(ISBLANK(B5119),"OK",IF(A5119-B5119=0,"OK","Error?"))</f>
        <v>Error?</v>
      </c>
    </row>
    <row r="5120" spans="1:4" x14ac:dyDescent="0.2">
      <c r="A5120" s="5">
        <v>5059</v>
      </c>
      <c r="B5120" s="138">
        <f>'Revenues 9-14'!C108</f>
        <v>92343</v>
      </c>
      <c r="C5120" s="2" t="s">
        <v>573</v>
      </c>
      <c r="D5120" s="2" t="str">
        <f t="shared" si="79"/>
        <v>Error?</v>
      </c>
    </row>
    <row r="5121" spans="1:4" x14ac:dyDescent="0.2">
      <c r="A5121" s="5">
        <v>5060</v>
      </c>
      <c r="B5121" s="138">
        <f>'Revenues 9-14'!C109</f>
        <v>4134653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3073684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3073684</v>
      </c>
      <c r="C5132" s="2" t="s">
        <v>573</v>
      </c>
      <c r="D5132" s="2" t="str">
        <f t="shared" si="79"/>
        <v>Error?</v>
      </c>
    </row>
    <row r="5133" spans="1:4" x14ac:dyDescent="0.2">
      <c r="A5133" s="5">
        <v>5072</v>
      </c>
      <c r="B5133" s="138">
        <f>'Revenues 9-14'!C125</f>
        <v>177734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177734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63196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2940</v>
      </c>
      <c r="D5167" s="2" t="str">
        <f t="shared" si="79"/>
        <v>Error?</v>
      </c>
    </row>
    <row r="5168" spans="1:4" x14ac:dyDescent="0.2">
      <c r="A5168" s="5">
        <v>5107</v>
      </c>
      <c r="B5168" s="138">
        <f>'Revenues 9-14'!C148</f>
        <v>11925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231188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489076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3562760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182453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19586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202039</v>
      </c>
      <c r="C5246" s="2" t="s">
        <v>573</v>
      </c>
      <c r="D5246" s="2" t="str">
        <f t="shared" si="80"/>
        <v>Error?</v>
      </c>
    </row>
    <row r="5247" spans="1:4" x14ac:dyDescent="0.2">
      <c r="A5247" s="5">
        <v>5186</v>
      </c>
      <c r="B5247" s="138">
        <f>'Revenues 9-14'!C200</f>
        <v>26952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26952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241079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241079</v>
      </c>
      <c r="C5326" s="2" t="s">
        <v>573</v>
      </c>
      <c r="D5326" s="2" t="str">
        <f t="shared" si="82"/>
        <v>Error?</v>
      </c>
    </row>
    <row r="5327" spans="1:5" x14ac:dyDescent="0.2">
      <c r="A5327" s="5">
        <v>5266</v>
      </c>
      <c r="B5327" s="138">
        <f>'Revenues 9-14'!C268</f>
        <v>7938492</v>
      </c>
      <c r="C5327" s="2" t="s">
        <v>573</v>
      </c>
      <c r="D5327" s="2" t="str">
        <f t="shared" si="82"/>
        <v>Error?</v>
      </c>
    </row>
    <row r="5328" spans="1:5" x14ac:dyDescent="0.2">
      <c r="A5328" s="5">
        <v>5267</v>
      </c>
      <c r="B5328" s="138">
        <f>'Revenues 9-14'!D5</f>
        <v>607481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607481</v>
      </c>
      <c r="C5334" s="2" t="s">
        <v>573</v>
      </c>
      <c r="D5334" s="2" t="str">
        <f t="shared" si="82"/>
        <v>Error?</v>
      </c>
    </row>
    <row r="5335" spans="1:4" x14ac:dyDescent="0.2">
      <c r="A5335" s="5">
        <v>5274</v>
      </c>
      <c r="B5335" s="138">
        <f>'Revenues 9-14'!D14</f>
        <v>135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135</v>
      </c>
      <c r="C5339" s="2" t="s">
        <v>573</v>
      </c>
      <c r="D5339" s="2" t="str">
        <f t="shared" si="82"/>
        <v>Error?</v>
      </c>
    </row>
    <row r="5340" spans="1:4" x14ac:dyDescent="0.2">
      <c r="A5340" s="5">
        <v>5279</v>
      </c>
      <c r="B5340" s="138">
        <f>'Revenues 9-14'!D65</f>
        <v>3979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3979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36080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19880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55960</v>
      </c>
      <c r="C5355" s="2" t="s">
        <v>573</v>
      </c>
      <c r="D5355" s="2" t="str">
        <f t="shared" si="82"/>
        <v>Error?</v>
      </c>
    </row>
    <row r="5356" spans="1:4" x14ac:dyDescent="0.2">
      <c r="A5356" s="5">
        <v>5295</v>
      </c>
      <c r="B5356" s="138">
        <f>'Revenues 9-14'!D109</f>
        <v>667555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667555</v>
      </c>
      <c r="C5508" s="2" t="s">
        <v>573</v>
      </c>
      <c r="D5508" s="2" t="str">
        <f t="shared" si="85"/>
        <v>Error?</v>
      </c>
    </row>
    <row r="5509" spans="1:4" x14ac:dyDescent="0.2">
      <c r="A5509" s="5">
        <v>5448</v>
      </c>
      <c r="B5509" s="138">
        <f>'Revenues 9-14'!E5</f>
        <v>1076952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1076952</v>
      </c>
      <c r="C5513" s="2" t="s">
        <v>573</v>
      </c>
      <c r="D5513" s="2" t="str">
        <f t="shared" si="85"/>
        <v>Error?</v>
      </c>
    </row>
    <row r="5514" spans="1:4" x14ac:dyDescent="0.2">
      <c r="A5514" s="5">
        <v>5453</v>
      </c>
      <c r="B5514" s="138">
        <f>'Revenues 9-14'!E14</f>
        <v>212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212</v>
      </c>
      <c r="C5518" s="2" t="s">
        <v>573</v>
      </c>
      <c r="D5518" s="2" t="str">
        <f t="shared" si="85"/>
        <v>Error?</v>
      </c>
    </row>
    <row r="5519" spans="1:4" x14ac:dyDescent="0.2">
      <c r="A5519" s="5">
        <v>5458</v>
      </c>
      <c r="B5519" s="138">
        <f>'Revenues 9-14'!E65</f>
        <v>4941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4941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230000</v>
      </c>
      <c r="C5526" s="2" t="s">
        <v>573</v>
      </c>
      <c r="D5526" s="2" t="str">
        <f t="shared" si="85"/>
        <v>Error?</v>
      </c>
    </row>
    <row r="5527" spans="1:4" x14ac:dyDescent="0.2">
      <c r="A5527" s="5">
        <v>5466</v>
      </c>
      <c r="B5527" s="138">
        <f>'Revenues 9-14'!E109</f>
        <v>1312105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1312105</v>
      </c>
      <c r="C5552" s="2" t="s">
        <v>573</v>
      </c>
      <c r="D5552" s="2" t="str">
        <f t="shared" si="85"/>
        <v>Error?</v>
      </c>
    </row>
    <row r="5553" spans="1:4" x14ac:dyDescent="0.2">
      <c r="A5553" s="5">
        <v>5492</v>
      </c>
      <c r="B5553" s="138">
        <f>'Revenues 9-14'!F5</f>
        <v>242993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242993</v>
      </c>
      <c r="C5557" s="2" t="s">
        <v>573</v>
      </c>
      <c r="D5557" s="2" t="str">
        <f t="shared" si="85"/>
        <v>Error?</v>
      </c>
    </row>
    <row r="5558" spans="1:4" x14ac:dyDescent="0.2">
      <c r="A5558" s="5">
        <v>5497</v>
      </c>
      <c r="B5558" s="138">
        <f>'Revenues 9-14'!F14</f>
        <v>53</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53</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3342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3342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246388</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107274</v>
      </c>
      <c r="D5615" s="2" t="str">
        <f t="shared" si="86"/>
        <v>Error?</v>
      </c>
    </row>
    <row r="5616" spans="1:4" x14ac:dyDescent="0.2">
      <c r="A5616" s="10">
        <v>5555</v>
      </c>
      <c r="D5616" s="2" t="str">
        <f t="shared" si="86"/>
        <v>OK</v>
      </c>
    </row>
    <row r="5617" spans="1:5" x14ac:dyDescent="0.2">
      <c r="A5617" s="5">
        <v>5556</v>
      </c>
      <c r="B5617" s="138">
        <f>'Revenues 9-14'!F153</f>
        <v>90356</v>
      </c>
      <c r="D5617" s="2" t="str">
        <f t="shared" si="86"/>
        <v>Error?</v>
      </c>
    </row>
    <row r="5618" spans="1:5" x14ac:dyDescent="0.2">
      <c r="A5618" s="5">
        <v>5557</v>
      </c>
      <c r="B5618" s="138">
        <f>'Revenues 9-14'!F155</f>
        <v>197630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23093</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220723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220723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467111</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147101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147101</v>
      </c>
      <c r="C5725" s="2" t="s">
        <v>573</v>
      </c>
      <c r="D5725" s="2" t="str">
        <f t="shared" si="88"/>
        <v>Error?</v>
      </c>
    </row>
    <row r="5726" spans="1:4" x14ac:dyDescent="0.2">
      <c r="A5726" s="5">
        <v>5665</v>
      </c>
      <c r="B5726" s="138">
        <f>'Revenues 9-14'!G14</f>
        <v>34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10150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10184</v>
      </c>
      <c r="C5730" s="2" t="s">
        <v>573</v>
      </c>
      <c r="D5730" s="2" t="str">
        <f t="shared" si="88"/>
        <v>Error?</v>
      </c>
    </row>
    <row r="5731" spans="1:4" x14ac:dyDescent="0.2">
      <c r="A5731" s="5">
        <v>5670</v>
      </c>
      <c r="B5731" s="138">
        <f>'Revenues 9-14'!G65</f>
        <v>3923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3923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161208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18815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18815</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289352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308167</v>
      </c>
      <c r="C5915" s="2" t="s">
        <v>573</v>
      </c>
      <c r="D5915" s="2" t="str">
        <f t="shared" si="91"/>
        <v>Error?</v>
      </c>
    </row>
    <row r="5916" spans="1:4" x14ac:dyDescent="0.2">
      <c r="A5916" s="5">
        <v>5855</v>
      </c>
      <c r="B5916" s="138">
        <f>'Revenues 9-14'!I5</f>
        <v>60748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60748</v>
      </c>
      <c r="C5918" s="2" t="s">
        <v>573</v>
      </c>
      <c r="D5918" s="2" t="str">
        <f t="shared" si="91"/>
        <v>Error?</v>
      </c>
    </row>
    <row r="5919" spans="1:4" x14ac:dyDescent="0.2">
      <c r="A5919" s="5">
        <v>5858</v>
      </c>
      <c r="B5919" s="138">
        <f>'Revenues 9-14'!I14</f>
        <v>14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14</v>
      </c>
      <c r="C5923" s="2" t="s">
        <v>573</v>
      </c>
      <c r="D5923" s="2" t="str">
        <f t="shared" si="91"/>
        <v>Error?</v>
      </c>
    </row>
    <row r="5924" spans="1:4" x14ac:dyDescent="0.2">
      <c r="A5924" s="5">
        <v>5863</v>
      </c>
      <c r="B5924" s="138">
        <f>'Revenues 9-14'!I65</f>
        <v>6519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6519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67281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60748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60748</v>
      </c>
      <c r="C5987" s="2" t="s">
        <v>573</v>
      </c>
      <c r="D5987" s="2" t="str">
        <f t="shared" si="92"/>
        <v>Error?</v>
      </c>
    </row>
    <row r="5988" spans="1:4" x14ac:dyDescent="0.2">
      <c r="A5988" s="5">
        <v>5927</v>
      </c>
      <c r="B5988" s="138">
        <f>'Revenues 9-14'!K14</f>
        <v>14</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14</v>
      </c>
      <c r="C5992" s="2" t="s">
        <v>573</v>
      </c>
      <c r="D5992" s="2" t="str">
        <f t="shared" si="92"/>
        <v>Error?</v>
      </c>
    </row>
    <row r="5993" spans="1:4" x14ac:dyDescent="0.2">
      <c r="A5993" s="5">
        <v>5932</v>
      </c>
      <c r="B5993" s="138">
        <f>'Revenues 9-14'!K65</f>
        <v>9111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9111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69873</v>
      </c>
      <c r="C6023" s="2" t="s">
        <v>573</v>
      </c>
      <c r="D6023" s="2" t="str">
        <f t="shared" si="93"/>
        <v>Error?</v>
      </c>
    </row>
    <row r="6024" spans="1:5" x14ac:dyDescent="0.2">
      <c r="A6024" s="5">
        <v>5963</v>
      </c>
      <c r="B6024" s="138">
        <f>'Revenues 9-14'!G109</f>
        <v>161208</v>
      </c>
      <c r="C6024" s="2" t="s">
        <v>573</v>
      </c>
      <c r="D6024" s="2" t="str">
        <f t="shared" si="93"/>
        <v>Error?</v>
      </c>
    </row>
    <row r="6025" spans="1:5" x14ac:dyDescent="0.2">
      <c r="A6025" s="5">
        <v>5964</v>
      </c>
      <c r="B6025" s="138">
        <f>'Revenues 9-14'!H109</f>
        <v>308167</v>
      </c>
      <c r="C6025" s="2" t="s">
        <v>573</v>
      </c>
      <c r="D6025" s="2" t="str">
        <f t="shared" si="93"/>
        <v>Error?</v>
      </c>
    </row>
    <row r="6026" spans="1:5" x14ac:dyDescent="0.2">
      <c r="A6026" s="5">
        <v>5965</v>
      </c>
      <c r="B6026" s="138">
        <f>'Revenues 9-14'!I109</f>
        <v>67281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69873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150841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37914.89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873.6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238625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153</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238625</v>
      </c>
      <c r="D6215" s="2" t="str">
        <f t="shared" si="96"/>
        <v>Error?</v>
      </c>
      <c r="E6215" s="2" t="s">
        <v>190</v>
      </c>
    </row>
    <row r="6216" spans="1:5" x14ac:dyDescent="0.2">
      <c r="A6216">
        <v>6155</v>
      </c>
      <c r="B6216" s="138">
        <f>'Assets-Liab 5-6'!J41</f>
        <v>238625</v>
      </c>
      <c r="D6216" s="2" t="str">
        <f t="shared" si="96"/>
        <v>Error?</v>
      </c>
      <c r="E6216" s="2" t="s">
        <v>190</v>
      </c>
    </row>
    <row r="6217" spans="1:5" x14ac:dyDescent="0.2">
      <c r="A6217">
        <v>6156</v>
      </c>
      <c r="B6217" s="138">
        <f>'Assets-Liab 5-6'!J4</f>
        <v>238625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341363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341363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341363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352456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352456</v>
      </c>
      <c r="D6229" s="2" t="str">
        <f t="shared" si="96"/>
        <v>Error?</v>
      </c>
      <c r="E6229" s="2" t="s">
        <v>190</v>
      </c>
    </row>
    <row r="6230" spans="1:5" x14ac:dyDescent="0.2">
      <c r="A6230">
        <v>6169</v>
      </c>
      <c r="B6230" s="138">
        <f>'Acct Summary 7-8'!J20</f>
        <v>-11093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-11093</v>
      </c>
      <c r="D6263" s="2" t="str">
        <f t="shared" si="96"/>
        <v>Error?</v>
      </c>
      <c r="E6263" s="2" t="s">
        <v>190</v>
      </c>
    </row>
    <row r="6264" spans="1:5" x14ac:dyDescent="0.2">
      <c r="A6264">
        <v>6203</v>
      </c>
      <c r="B6264" s="138">
        <f>'Acct Summary 7-8'!J79</f>
        <v>249718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238625</v>
      </c>
      <c r="D6266" s="2" t="str">
        <f t="shared" si="96"/>
        <v>Error?</v>
      </c>
      <c r="E6266" s="2" t="s">
        <v>190</v>
      </c>
    </row>
    <row r="6267" spans="1:5" x14ac:dyDescent="0.2">
      <c r="A6267">
        <v>6206</v>
      </c>
      <c r="B6267" s="138">
        <f>'Acct Summary 7-8'!C82</f>
        <v>-238101</v>
      </c>
      <c r="D6267" s="2" t="str">
        <f t="shared" si="96"/>
        <v>Error?</v>
      </c>
      <c r="E6267" s="2" t="s">
        <v>190</v>
      </c>
    </row>
    <row r="6268" spans="1:5" x14ac:dyDescent="0.2">
      <c r="A6268">
        <v>6207</v>
      </c>
      <c r="B6268" s="138">
        <f>'Acct Summary 7-8'!D82</f>
        <v>-149657</v>
      </c>
      <c r="D6268" s="2" t="str">
        <f t="shared" si="96"/>
        <v>Error?</v>
      </c>
      <c r="E6268" s="2" t="s">
        <v>190</v>
      </c>
    </row>
    <row r="6269" spans="1:5" x14ac:dyDescent="0.2">
      <c r="A6269">
        <v>6208</v>
      </c>
      <c r="B6269" s="138">
        <f>'Acct Summary 7-8'!E82</f>
        <v>163441</v>
      </c>
      <c r="D6269" s="2" t="str">
        <f t="shared" si="96"/>
        <v>Error?</v>
      </c>
      <c r="E6269" s="2" t="s">
        <v>190</v>
      </c>
    </row>
    <row r="6270" spans="1:5" x14ac:dyDescent="0.2">
      <c r="A6270">
        <v>6209</v>
      </c>
      <c r="B6270" s="138">
        <f>'Acct Summary 7-8'!F82</f>
        <v>-26086</v>
      </c>
      <c r="D6270" s="2" t="str">
        <f t="shared" si="96"/>
        <v>Error?</v>
      </c>
      <c r="E6270" s="2" t="s">
        <v>190</v>
      </c>
    </row>
    <row r="6271" spans="1:5" x14ac:dyDescent="0.2">
      <c r="A6271">
        <v>6210</v>
      </c>
      <c r="B6271" s="138">
        <f>'Acct Summary 7-8'!G82</f>
        <v>-39537</v>
      </c>
      <c r="D6271" s="2" t="str">
        <f t="shared" ref="D6271:D6334" si="97">IF(ISBLANK(B6271),"OK",IF(A6271-B6271=0,"OK","Error?"))</f>
        <v>Error?</v>
      </c>
      <c r="E6271" s="2" t="s">
        <v>190</v>
      </c>
    </row>
    <row r="6272" spans="1:5" x14ac:dyDescent="0.2">
      <c r="A6272">
        <v>6211</v>
      </c>
      <c r="B6272" s="138">
        <f>'Acct Summary 7-8'!H82</f>
        <v>2423669</v>
      </c>
      <c r="D6272" s="2" t="str">
        <f t="shared" si="97"/>
        <v>Error?</v>
      </c>
      <c r="E6272" s="2" t="s">
        <v>190</v>
      </c>
    </row>
    <row r="6273" spans="1:5" x14ac:dyDescent="0.2">
      <c r="A6273">
        <v>6212</v>
      </c>
      <c r="B6273" s="138">
        <f>'Acct Summary 7-8'!I82</f>
        <v>-252219</v>
      </c>
      <c r="D6273" s="2" t="str">
        <f t="shared" si="97"/>
        <v>Error?</v>
      </c>
      <c r="E6273" s="2" t="s">
        <v>190</v>
      </c>
    </row>
    <row r="6274" spans="1:5" x14ac:dyDescent="0.2">
      <c r="A6274">
        <v>6213</v>
      </c>
      <c r="B6274" s="138">
        <f>'Acct Summary 7-8'!J82</f>
        <v>-11093</v>
      </c>
      <c r="D6274" s="2" t="str">
        <f t="shared" si="97"/>
        <v>Error?</v>
      </c>
      <c r="E6274" s="2" t="s">
        <v>190</v>
      </c>
    </row>
    <row r="6275" spans="1:5" x14ac:dyDescent="0.2">
      <c r="A6275">
        <v>6214</v>
      </c>
      <c r="B6275" s="138">
        <f>'Acct Summary 7-8'!K82</f>
        <v>-4097649</v>
      </c>
      <c r="D6275" s="2" t="str">
        <f t="shared" si="97"/>
        <v>Error?</v>
      </c>
      <c r="E6275" s="2" t="s">
        <v>190</v>
      </c>
    </row>
    <row r="6276" spans="1:5" x14ac:dyDescent="0.2">
      <c r="A6276">
        <v>6215</v>
      </c>
      <c r="B6276" s="138">
        <f>'Acct Summary 7-8'!C83</f>
        <v>-5.4825347118285017E-2</v>
      </c>
      <c r="D6276" s="2" t="str">
        <f t="shared" si="97"/>
        <v>Error?</v>
      </c>
      <c r="E6276" s="2" t="s">
        <v>190</v>
      </c>
    </row>
    <row r="6277" spans="1:5" x14ac:dyDescent="0.2">
      <c r="A6277">
        <v>6216</v>
      </c>
      <c r="B6277" s="138">
        <f>'Acct Summary 7-8'!D83</f>
        <v>-0.30022548457115805</v>
      </c>
      <c r="D6277" s="2" t="str">
        <f t="shared" si="97"/>
        <v>Error?</v>
      </c>
      <c r="E6277" s="2" t="s">
        <v>190</v>
      </c>
    </row>
    <row r="6278" spans="1:5" x14ac:dyDescent="0.2">
      <c r="A6278">
        <v>6217</v>
      </c>
      <c r="B6278" s="138">
        <f>'Acct Summary 7-8'!E83</f>
        <v>0.14748516945711279</v>
      </c>
      <c r="D6278" s="2" t="str">
        <f t="shared" si="97"/>
        <v>Error?</v>
      </c>
      <c r="E6278" s="2" t="s">
        <v>190</v>
      </c>
    </row>
    <row r="6279" spans="1:5" x14ac:dyDescent="0.2">
      <c r="A6279">
        <v>6218</v>
      </c>
      <c r="B6279" s="138">
        <f>'Acct Summary 7-8'!F83</f>
        <v>-5.9212348201112243E-2</v>
      </c>
      <c r="D6279" s="2" t="str">
        <f t="shared" si="97"/>
        <v>Error?</v>
      </c>
      <c r="E6279" s="2" t="s">
        <v>190</v>
      </c>
    </row>
    <row r="6280" spans="1:5" x14ac:dyDescent="0.2">
      <c r="A6280">
        <v>6219</v>
      </c>
      <c r="B6280" s="138">
        <f>'Acct Summary 7-8'!G83</f>
        <v>-7.881642791357843E-2</v>
      </c>
      <c r="D6280" s="2" t="str">
        <f t="shared" si="97"/>
        <v>Error?</v>
      </c>
      <c r="E6280" s="2" t="s">
        <v>190</v>
      </c>
    </row>
    <row r="6281" spans="1:5" x14ac:dyDescent="0.2">
      <c r="A6281">
        <v>6220</v>
      </c>
      <c r="B6281" s="138">
        <f>'Acct Summary 7-8'!H83</f>
        <v>0.51578476494857517</v>
      </c>
      <c r="D6281" s="2" t="str">
        <f t="shared" si="97"/>
        <v>Error?</v>
      </c>
      <c r="E6281" s="2" t="s">
        <v>190</v>
      </c>
    </row>
    <row r="6282" spans="1:5" x14ac:dyDescent="0.2">
      <c r="A6282">
        <v>6221</v>
      </c>
      <c r="B6282" s="138">
        <f>'Acct Summary 7-8'!I83</f>
        <v>-0.39352342317743888</v>
      </c>
      <c r="D6282" s="2" t="str">
        <f t="shared" si="97"/>
        <v>Error?</v>
      </c>
      <c r="E6282" s="2" t="s">
        <v>190</v>
      </c>
    </row>
    <row r="6283" spans="1:5" x14ac:dyDescent="0.2">
      <c r="A6283">
        <v>6222</v>
      </c>
      <c r="B6283" s="138">
        <f>'Acct Summary 7-8'!J83</f>
        <v>-4.6487166055526455E-2</v>
      </c>
      <c r="D6283" s="2" t="str">
        <f t="shared" si="97"/>
        <v>Error?</v>
      </c>
      <c r="E6283" s="2" t="s">
        <v>190</v>
      </c>
    </row>
    <row r="6284" spans="1:5" x14ac:dyDescent="0.2">
      <c r="A6284">
        <v>6223</v>
      </c>
      <c r="B6284" s="138">
        <f>'Acct Summary 7-8'!K83</f>
        <v>-43.987429552895712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339914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339914</v>
      </c>
      <c r="D6301" s="2" t="str">
        <f t="shared" si="97"/>
        <v>Error?</v>
      </c>
      <c r="E6301" s="2" t="s">
        <v>190</v>
      </c>
    </row>
    <row r="6302" spans="1:5" x14ac:dyDescent="0.2">
      <c r="A6302">
        <v>6241</v>
      </c>
      <c r="B6302" s="138">
        <f>'Revenues 9-14'!J14</f>
        <v>67</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67</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1382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1382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4685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341363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48115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83565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114719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228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44997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476097</v>
      </c>
      <c r="D6880" s="2" t="str">
        <f t="shared" si="106"/>
        <v>Error?</v>
      </c>
    </row>
    <row r="6881" spans="1:4" x14ac:dyDescent="0.2">
      <c r="A6881">
        <v>6820</v>
      </c>
      <c r="B6881" s="138">
        <f>'Expenditures 15-22'!K22</f>
        <v>476097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2500</v>
      </c>
      <c r="D6890" s="2" t="str">
        <f t="shared" si="106"/>
        <v>Error?</v>
      </c>
    </row>
    <row r="6891" spans="1:4" x14ac:dyDescent="0.2">
      <c r="A6891">
        <v>6830</v>
      </c>
      <c r="B6891" s="138">
        <f>'Expenditures 15-22'!K27</f>
        <v>2500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195135</v>
      </c>
      <c r="D6983" s="2" t="str">
        <f t="shared" si="108"/>
        <v>Error?</v>
      </c>
    </row>
    <row r="6984" spans="1:4" x14ac:dyDescent="0.2">
      <c r="A6984">
        <v>6923</v>
      </c>
      <c r="B6984" s="138">
        <f>'Expenditures 15-22'!K86</f>
        <v>195135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37869</v>
      </c>
      <c r="D6987" s="2" t="str">
        <f t="shared" si="108"/>
        <v>Error?</v>
      </c>
    </row>
    <row r="6988" spans="1:4" x14ac:dyDescent="0.2">
      <c r="A6988">
        <v>6927</v>
      </c>
      <c r="B6988" s="138">
        <f>'Expenditures 15-22'!K88</f>
        <v>37869</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233004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352456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341363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3694</v>
      </c>
      <c r="D7073" s="2" t="str">
        <f t="shared" si="109"/>
        <v>Error?</v>
      </c>
    </row>
    <row r="7074" spans="1:4" x14ac:dyDescent="0.2">
      <c r="A7074">
        <v>7013</v>
      </c>
      <c r="B7074" s="138">
        <f>'Expenditures 15-22'!K216</f>
        <v>3694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442</v>
      </c>
      <c r="D7079" s="2" t="str">
        <f t="shared" si="109"/>
        <v>Error?</v>
      </c>
    </row>
    <row r="7080" spans="1:4" x14ac:dyDescent="0.2">
      <c r="A7080">
        <v>7019</v>
      </c>
      <c r="B7080" s="138">
        <f>'Expenditures 15-22'!K226</f>
        <v>442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4830</v>
      </c>
      <c r="D7093" s="2" t="str">
        <f t="shared" si="109"/>
        <v>Error?</v>
      </c>
    </row>
    <row r="7094" spans="1:4" x14ac:dyDescent="0.2">
      <c r="A7094">
        <v>7033</v>
      </c>
      <c r="B7094" s="138">
        <f>'Expenditures 15-22'!K254</f>
        <v>4830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66987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66987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71865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71865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23589</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23589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156810</v>
      </c>
      <c r="D7172" s="2" t="str">
        <f t="shared" si="111"/>
        <v>Error?</v>
      </c>
    </row>
    <row r="7173" spans="1:4" x14ac:dyDescent="0.2">
      <c r="A7173">
        <v>7112</v>
      </c>
      <c r="B7173" s="138">
        <f>'Expenditures 15-22'!D325</f>
        <v>17481</v>
      </c>
      <c r="D7173" s="2" t="str">
        <f t="shared" si="111"/>
        <v>Error?</v>
      </c>
    </row>
    <row r="7174" spans="1:4" x14ac:dyDescent="0.2">
      <c r="A7174">
        <v>7113</v>
      </c>
      <c r="B7174" s="138">
        <f>'Expenditures 15-22'!E325</f>
        <v>2698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176989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13026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13026</v>
      </c>
      <c r="D7198" s="2" t="str">
        <f t="shared" si="111"/>
        <v>Error?</v>
      </c>
    </row>
    <row r="7199" spans="1:4" x14ac:dyDescent="0.2">
      <c r="A7199">
        <v>7138</v>
      </c>
      <c r="B7199" s="138">
        <f>'Expenditures 15-22'!C330</f>
        <v>156810</v>
      </c>
      <c r="D7199" s="2" t="str">
        <f t="shared" si="111"/>
        <v>Error?</v>
      </c>
    </row>
    <row r="7200" spans="1:4" x14ac:dyDescent="0.2">
      <c r="A7200">
        <v>7139</v>
      </c>
      <c r="B7200" s="138">
        <f>'Expenditures 15-22'!D330</f>
        <v>17481</v>
      </c>
      <c r="D7200" s="2" t="str">
        <f t="shared" si="111"/>
        <v>Error?</v>
      </c>
    </row>
    <row r="7201" spans="1:4" x14ac:dyDescent="0.2">
      <c r="A7201">
        <v>7140</v>
      </c>
      <c r="B7201" s="138">
        <f>'Expenditures 15-22'!E330</f>
        <v>178165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352456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156810</v>
      </c>
      <c r="D7216" s="2" t="str">
        <f t="shared" si="111"/>
        <v>Error?</v>
      </c>
    </row>
    <row r="7217" spans="1:4" x14ac:dyDescent="0.2">
      <c r="A7217">
        <v>7156</v>
      </c>
      <c r="B7217" s="138">
        <f>'Expenditures 15-22'!D342</f>
        <v>17481</v>
      </c>
      <c r="D7217" s="2" t="str">
        <f t="shared" si="111"/>
        <v>Error?</v>
      </c>
    </row>
    <row r="7218" spans="1:4" x14ac:dyDescent="0.2">
      <c r="A7218">
        <v>7157</v>
      </c>
      <c r="B7218" s="138">
        <f>'Expenditures 15-22'!E342</f>
        <v>178165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352456</v>
      </c>
      <c r="D7224" s="2" t="str">
        <f t="shared" si="111"/>
        <v>Error?</v>
      </c>
    </row>
    <row r="7225" spans="1:4" x14ac:dyDescent="0.2">
      <c r="A7225">
        <v>7164</v>
      </c>
      <c r="B7225" s="138">
        <f>'Expenditures 15-22'!K343</f>
        <v>-11093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24663</v>
      </c>
      <c r="D7246" s="2" t="str">
        <f t="shared" si="112"/>
        <v>Error?</v>
      </c>
    </row>
    <row r="7247" spans="1:4" x14ac:dyDescent="0.2">
      <c r="A7247">
        <f t="shared" si="113"/>
        <v>7186</v>
      </c>
      <c r="B7247" s="138">
        <f>'Expenditures 15-22'!E7</f>
        <v>1098</v>
      </c>
      <c r="D7247" s="2" t="str">
        <f t="shared" si="112"/>
        <v>Error?</v>
      </c>
    </row>
    <row r="7248" spans="1:4" x14ac:dyDescent="0.2">
      <c r="A7248">
        <f t="shared" si="113"/>
        <v>7187</v>
      </c>
      <c r="B7248" s="138">
        <f>'Expenditures 15-22'!F7</f>
        <v>5393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228</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30761</v>
      </c>
      <c r="D7263" s="2" t="str">
        <f t="shared" si="112"/>
        <v>Error?</v>
      </c>
    </row>
    <row r="7264" spans="1:4" x14ac:dyDescent="0.2">
      <c r="A7264">
        <f t="shared" si="113"/>
        <v>7203</v>
      </c>
      <c r="B7264" s="138">
        <f>'Expenditures 15-22'!D17</f>
        <v>9916</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4320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663970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275324</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2833</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4685</v>
      </c>
      <c r="D7712" s="2" t="str">
        <f t="shared" si="126"/>
        <v>Error?</v>
      </c>
      <c r="E7712" s="2" t="s">
        <v>827</v>
      </c>
    </row>
    <row r="7713" spans="1:6" x14ac:dyDescent="0.2">
      <c r="A7713">
        <v>7652</v>
      </c>
      <c r="B7713" s="138">
        <f>'Rest Tax Levies-Tort Im 25'!J8</f>
        <v>519352</v>
      </c>
      <c r="D7713" s="2" t="str">
        <f t="shared" si="126"/>
        <v>Error?</v>
      </c>
      <c r="E7713" s="2" t="s">
        <v>827</v>
      </c>
    </row>
    <row r="7714" spans="1:6" x14ac:dyDescent="0.2">
      <c r="A7714">
        <v>7653</v>
      </c>
      <c r="B7714" s="138">
        <f>'Rest Tax Levies-Tort Im 25'!K9</f>
        <v>11925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522185</v>
      </c>
      <c r="D7718" s="2" t="str">
        <f t="shared" si="126"/>
        <v>Error?</v>
      </c>
      <c r="E7718" s="2" t="s">
        <v>827</v>
      </c>
    </row>
    <row r="7719" spans="1:6" x14ac:dyDescent="0.2">
      <c r="A7719">
        <v>7658</v>
      </c>
      <c r="B7719" s="138">
        <f>'Rest Tax Levies-Tort Im 25'!K12</f>
        <v>16610</v>
      </c>
      <c r="D7719" s="2" t="str">
        <f t="shared" si="126"/>
        <v>Error?</v>
      </c>
      <c r="E7719" s="2" t="s">
        <v>827</v>
      </c>
    </row>
    <row r="7720" spans="1:6" x14ac:dyDescent="0.2">
      <c r="A7720">
        <v>7659</v>
      </c>
      <c r="B7720" s="138">
        <f>'Rest Tax Levies-Tort Im 25'!H14</f>
        <v>48618</v>
      </c>
      <c r="D7720" s="2" t="str">
        <f t="shared" si="126"/>
        <v>Error?</v>
      </c>
      <c r="E7720" s="2" t="s">
        <v>827</v>
      </c>
    </row>
    <row r="7721" spans="1:6" x14ac:dyDescent="0.2">
      <c r="A7721">
        <v>7660</v>
      </c>
      <c r="B7721" s="138">
        <f>'Rest Tax Levies-Tort Im 25'!K14</f>
        <v>16610</v>
      </c>
      <c r="D7721" s="2" t="str">
        <f t="shared" si="126"/>
        <v>Error?</v>
      </c>
      <c r="E7721" s="2" t="s">
        <v>827</v>
      </c>
    </row>
    <row r="7722" spans="1:6" x14ac:dyDescent="0.2">
      <c r="A7722">
        <v>7661</v>
      </c>
      <c r="B7722" s="138">
        <f>'Rest Tax Levies-Tort Im 25'!J15</f>
        <v>21141</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230000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21141</v>
      </c>
      <c r="D7730" s="2" t="str">
        <f t="shared" si="126"/>
        <v>Error?</v>
      </c>
      <c r="E7730" s="2" t="s">
        <v>827</v>
      </c>
    </row>
    <row r="7731" spans="1:6" x14ac:dyDescent="0.2">
      <c r="A7731">
        <v>7670</v>
      </c>
      <c r="B7731" s="138">
        <f>'Revenues 9-14'!H103</f>
        <v>289352</v>
      </c>
      <c r="D7731" s="2" t="str">
        <f t="shared" si="126"/>
        <v>Error?</v>
      </c>
      <c r="E7731" s="2" t="s">
        <v>827</v>
      </c>
    </row>
    <row r="7732" spans="1:6" x14ac:dyDescent="0.2">
      <c r="A7732">
        <v>7671</v>
      </c>
      <c r="B7732" s="138">
        <f>'Rest Tax Levies-Tort Im 25'!J24</f>
        <v>776368</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776368</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10009</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319500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362208</v>
      </c>
      <c r="D7797" s="2" t="str">
        <f t="shared" si="127"/>
        <v>Error?</v>
      </c>
      <c r="E7797" s="4" t="s">
        <v>1904</v>
      </c>
    </row>
    <row r="7798" spans="1:5" x14ac:dyDescent="0.2">
      <c r="A7798">
        <v>7737</v>
      </c>
      <c r="B7798" s="138">
        <f>'Contracts Paid in CY 29'!F141</f>
        <v>50000</v>
      </c>
      <c r="D7798" s="2" t="str">
        <f t="shared" si="127"/>
        <v>Error?</v>
      </c>
      <c r="E7798" s="4" t="s">
        <v>1904</v>
      </c>
    </row>
    <row r="7799" spans="1:5" x14ac:dyDescent="0.2">
      <c r="A7799">
        <v>7738</v>
      </c>
      <c r="B7799" s="138">
        <f>'Contracts Paid in CY 29'!G141</f>
        <v>312208</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81" t="s">
        <v>1191</v>
      </c>
      <c r="B2" s="2481"/>
      <c r="C2" s="2481"/>
      <c r="D2" s="2481"/>
      <c r="E2" s="2481"/>
      <c r="F2" s="2481"/>
      <c r="G2" s="2481"/>
      <c r="H2" s="2481"/>
      <c r="I2" s="2481"/>
      <c r="J2" s="2481"/>
      <c r="K2" s="2481"/>
      <c r="L2" s="2481"/>
    </row>
    <row r="3" spans="1:29" ht="13.5" customHeight="1" x14ac:dyDescent="0.2">
      <c r="A3" s="2467" t="s">
        <v>1190</v>
      </c>
      <c r="B3" s="2467"/>
      <c r="C3" s="2467"/>
      <c r="D3" s="2467"/>
      <c r="E3" s="2467"/>
      <c r="F3" s="2467"/>
      <c r="G3" s="2467"/>
      <c r="H3" s="2467"/>
      <c r="I3" s="2467"/>
      <c r="J3" s="2467"/>
      <c r="K3" s="2467"/>
      <c r="L3" s="2467"/>
    </row>
    <row r="4" spans="1:29" ht="13.5" customHeight="1" x14ac:dyDescent="0.2">
      <c r="A4" s="2481" t="s">
        <v>1989</v>
      </c>
      <c r="B4" s="2498"/>
      <c r="C4" s="2498"/>
      <c r="D4" s="2498"/>
      <c r="E4" s="2498"/>
      <c r="F4" s="2498"/>
      <c r="G4" s="2498"/>
      <c r="H4" s="2498"/>
      <c r="I4" s="2498"/>
      <c r="J4" s="2498"/>
      <c r="K4" s="2498"/>
      <c r="L4" s="2498"/>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61" t="str">
        <f>COVER!A17</f>
        <v>Morrison CUSD 6</v>
      </c>
      <c r="B7" s="2462"/>
      <c r="C7" s="2462"/>
      <c r="D7" s="2499"/>
      <c r="E7" s="2500">
        <f>COVER!A13</f>
        <v>47098006026</v>
      </c>
      <c r="F7" s="2501"/>
      <c r="G7" s="2468" t="str">
        <f>COVER!T23</f>
        <v>066-005027</v>
      </c>
      <c r="H7" s="2469"/>
      <c r="I7" s="2469"/>
      <c r="J7" s="2469"/>
      <c r="K7" s="2469"/>
      <c r="L7" s="2470"/>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71"/>
      <c r="B9" s="2472"/>
      <c r="C9" s="2472"/>
      <c r="D9" s="2472"/>
      <c r="E9" s="2472"/>
      <c r="F9" s="2473"/>
      <c r="G9" s="2474" t="str">
        <f>COVER!T13</f>
        <v>Gorenz and Associates, Ltd.</v>
      </c>
      <c r="H9" s="2475"/>
      <c r="I9" s="2475"/>
      <c r="J9" s="2475"/>
      <c r="K9" s="2475"/>
      <c r="L9" s="2476"/>
    </row>
    <row r="10" spans="1:29" ht="13.5" customHeight="1" x14ac:dyDescent="0.2">
      <c r="A10" s="2458" t="str">
        <f>COVER!A38</f>
        <v>Scott Vance</v>
      </c>
      <c r="B10" s="2459"/>
      <c r="C10" s="2459"/>
      <c r="D10" s="2459"/>
      <c r="E10" s="2459"/>
      <c r="F10" s="2460"/>
      <c r="G10" s="2474" t="str">
        <f>COVER!T17</f>
        <v>4200 N Knoxville Ave</v>
      </c>
      <c r="H10" s="2487"/>
      <c r="I10" s="2487"/>
      <c r="J10" s="2487"/>
      <c r="K10" s="2487"/>
      <c r="L10" s="2488"/>
    </row>
    <row r="11" spans="1:29" ht="13.5" customHeight="1" x14ac:dyDescent="0.2">
      <c r="A11" s="1181" t="s">
        <v>1519</v>
      </c>
      <c r="B11" s="1182"/>
      <c r="C11" s="1183"/>
      <c r="D11" s="1188"/>
      <c r="E11" s="1183"/>
      <c r="F11" s="1187"/>
      <c r="G11" s="2474" t="str">
        <f>COVER!T19</f>
        <v>Peoria</v>
      </c>
      <c r="H11" s="2487"/>
      <c r="I11" s="2487"/>
      <c r="J11" s="2487"/>
      <c r="K11" s="2487"/>
      <c r="L11" s="2488"/>
    </row>
    <row r="12" spans="1:29" ht="13.5" customHeight="1" x14ac:dyDescent="0.2">
      <c r="A12" s="2492" t="s">
        <v>1518</v>
      </c>
      <c r="B12" s="2493"/>
      <c r="C12" s="2493"/>
      <c r="D12" s="2493"/>
      <c r="E12" s="2493"/>
      <c r="F12" s="2494"/>
      <c r="G12" s="2489"/>
      <c r="H12" s="2490"/>
      <c r="I12" s="2490"/>
      <c r="J12" s="2490"/>
      <c r="K12" s="2490"/>
      <c r="L12" s="2491"/>
    </row>
    <row r="13" spans="1:29" ht="13.5" customHeight="1" x14ac:dyDescent="0.2">
      <c r="A13" s="2474"/>
      <c r="B13" s="2487"/>
      <c r="C13" s="2487"/>
      <c r="D13" s="2487"/>
      <c r="E13" s="2487"/>
      <c r="F13" s="2488"/>
      <c r="G13" s="2482" t="s">
        <v>1520</v>
      </c>
      <c r="H13" s="2483"/>
      <c r="I13" s="2495" t="str">
        <f>COVER!T25</f>
        <v>rrumbold@gorenzcpa.com</v>
      </c>
      <c r="J13" s="2496"/>
      <c r="K13" s="2496"/>
      <c r="L13" s="2497"/>
    </row>
    <row r="14" spans="1:29" ht="13.5" customHeight="1" x14ac:dyDescent="0.2">
      <c r="A14" s="2474" t="str">
        <f>COVER!A19</f>
        <v>643 Genesee Avenue</v>
      </c>
      <c r="B14" s="2487"/>
      <c r="C14" s="2487"/>
      <c r="D14" s="2487"/>
      <c r="E14" s="2487"/>
      <c r="F14" s="2488"/>
      <c r="G14" s="1192" t="s">
        <v>1185</v>
      </c>
      <c r="H14" s="1190"/>
      <c r="I14" s="1190"/>
      <c r="J14" s="1190"/>
      <c r="K14" s="1190"/>
      <c r="L14" s="1191"/>
    </row>
    <row r="15" spans="1:29" ht="13.5" customHeight="1" x14ac:dyDescent="0.2">
      <c r="A15" s="2474" t="str">
        <f>COVER!A21</f>
        <v>Morrison</v>
      </c>
      <c r="B15" s="2487"/>
      <c r="C15" s="2487"/>
      <c r="D15" s="2487"/>
      <c r="E15" s="2487"/>
      <c r="F15" s="2488"/>
      <c r="G15" s="2484" t="str">
        <f>COVER!T15</f>
        <v>Russell J. Rumbold II, CPA</v>
      </c>
      <c r="H15" s="2485"/>
      <c r="I15" s="2485"/>
      <c r="J15" s="2485"/>
      <c r="K15" s="2485"/>
      <c r="L15" s="2486"/>
    </row>
    <row r="16" spans="1:29" ht="12.2" customHeight="1" x14ac:dyDescent="0.2">
      <c r="A16" s="2464" t="str">
        <f>COVER!A25</f>
        <v>61270-2999</v>
      </c>
      <c r="B16" s="2465"/>
      <c r="C16" s="2465"/>
      <c r="D16" s="2465"/>
      <c r="E16" s="2465"/>
      <c r="F16" s="2466"/>
      <c r="G16" s="2477"/>
      <c r="H16" s="2478"/>
      <c r="I16" s="2478"/>
      <c r="J16" s="2478"/>
      <c r="K16" s="2478"/>
      <c r="L16" s="2479"/>
    </row>
    <row r="17" spans="1:13" ht="12.2" customHeight="1" x14ac:dyDescent="0.2">
      <c r="A17" s="2480"/>
      <c r="B17" s="2465"/>
      <c r="C17" s="2465"/>
      <c r="D17" s="2465"/>
      <c r="E17" s="2465"/>
      <c r="F17" s="2466"/>
      <c r="G17" s="1192" t="s">
        <v>1184</v>
      </c>
      <c r="H17" s="1190"/>
      <c r="I17" s="1190"/>
      <c r="J17" s="1190"/>
      <c r="K17" s="1194" t="s">
        <v>1183</v>
      </c>
      <c r="L17" s="1187"/>
      <c r="M17" s="1180"/>
    </row>
    <row r="18" spans="1:13" ht="12.2" customHeight="1" x14ac:dyDescent="0.2">
      <c r="A18" s="2458"/>
      <c r="B18" s="2459"/>
      <c r="C18" s="2459"/>
      <c r="D18" s="2459"/>
      <c r="E18" s="2459"/>
      <c r="F18" s="2460"/>
      <c r="G18" s="2461" t="str">
        <f>COVER!T21</f>
        <v>309-685-7621</v>
      </c>
      <c r="H18" s="2462"/>
      <c r="I18" s="2462"/>
      <c r="J18" s="2462"/>
      <c r="K18" s="2461" t="str">
        <f>COVER!X21</f>
        <v>309-685-4758</v>
      </c>
      <c r="L18" s="2463"/>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502" t="str">
        <f>'Single Audit Cover'!A7</f>
        <v>Morrison CUSD 6</v>
      </c>
      <c r="B1" s="2498"/>
      <c r="C1" s="2498"/>
      <c r="D1" s="2498"/>
    </row>
    <row r="2" spans="1:11" s="1209" customFormat="1" ht="12.75" x14ac:dyDescent="0.2">
      <c r="A2" s="2503">
        <f>'Single Audit Cover'!E7</f>
        <v>47098006026</v>
      </c>
      <c r="B2" s="2504"/>
      <c r="C2" s="2504"/>
      <c r="D2" s="2504"/>
    </row>
    <row r="3" spans="1:11" s="1209" customFormat="1" ht="12.75" x14ac:dyDescent="0.2">
      <c r="A3" s="2502" t="s">
        <v>1513</v>
      </c>
      <c r="B3" s="2498"/>
      <c r="C3" s="2498"/>
      <c r="D3" s="2498"/>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506" t="str">
        <f>'Single Audit Cover'!A7</f>
        <v>Morrison CUSD 6</v>
      </c>
      <c r="B1" s="2506"/>
      <c r="C1" s="2506"/>
      <c r="D1" s="2506"/>
      <c r="E1" s="2506"/>
    </row>
    <row r="2" spans="1:5" x14ac:dyDescent="0.2">
      <c r="A2" s="2507">
        <f>'Single Audit Cover'!E7</f>
        <v>47098006026</v>
      </c>
      <c r="B2" s="2507"/>
      <c r="C2" s="2507"/>
      <c r="D2" s="2507"/>
      <c r="E2" s="2507"/>
    </row>
    <row r="3" spans="1:5" ht="4.5" customHeight="1" x14ac:dyDescent="0.2"/>
    <row r="4" spans="1:5" x14ac:dyDescent="0.2">
      <c r="A4" s="2506" t="s">
        <v>1245</v>
      </c>
      <c r="B4" s="2506"/>
      <c r="C4" s="2506"/>
      <c r="D4" s="2506"/>
      <c r="E4" s="2506"/>
    </row>
    <row r="5" spans="1:5" x14ac:dyDescent="0.2">
      <c r="A5" s="2509" t="str">
        <f>'Single Audit Cover'!A4</f>
        <v>Year Ending June 30, 2019</v>
      </c>
      <c r="B5" s="2509"/>
      <c r="C5" s="2509"/>
      <c r="D5" s="2509"/>
      <c r="E5" s="2509"/>
    </row>
    <row r="6" spans="1:5" x14ac:dyDescent="0.2">
      <c r="A6" s="2506" t="s">
        <v>1244</v>
      </c>
      <c r="B6" s="2506"/>
      <c r="C6" s="2506"/>
      <c r="D6" s="2506"/>
      <c r="E6" s="2506"/>
    </row>
    <row r="8" spans="1:5" x14ac:dyDescent="0.2">
      <c r="A8" s="1254" t="s">
        <v>1243</v>
      </c>
    </row>
    <row r="10" spans="1:5" x14ac:dyDescent="0.2">
      <c r="A10" s="1255" t="s">
        <v>1242</v>
      </c>
      <c r="B10" s="1256" t="s">
        <v>1241</v>
      </c>
      <c r="C10" s="1256"/>
      <c r="D10" s="1257">
        <f>SUM('Acct Summary 7-8'!C7:K7)</f>
        <v>241079</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37914.89</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-1870</v>
      </c>
    </row>
    <row r="19" spans="1:4" ht="13.5" thickBot="1" x14ac:dyDescent="0.25">
      <c r="A19" s="1259" t="s">
        <v>1235</v>
      </c>
      <c r="D19" s="1260">
        <f>SUM(D10:D17)</f>
        <v>277123.89</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508"/>
      <c r="B24" s="2508"/>
      <c r="D24" s="1262"/>
    </row>
    <row r="25" spans="1:4" x14ac:dyDescent="0.2">
      <c r="A25" s="2505"/>
      <c r="B25" s="2505"/>
      <c r="D25" s="1262"/>
    </row>
    <row r="26" spans="1:4" x14ac:dyDescent="0.2">
      <c r="A26" s="2505"/>
      <c r="B26" s="2505"/>
      <c r="D26" s="1262"/>
    </row>
    <row r="27" spans="1:4" x14ac:dyDescent="0.2">
      <c r="A27" s="2505"/>
      <c r="B27" s="2505"/>
      <c r="D27" s="1262"/>
    </row>
    <row r="28" spans="1:4" x14ac:dyDescent="0.2">
      <c r="A28" s="2505"/>
      <c r="B28" s="2505"/>
      <c r="D28" s="1262"/>
    </row>
    <row r="29" spans="1:4" x14ac:dyDescent="0.2">
      <c r="A29" s="2505"/>
      <c r="B29" s="2505"/>
      <c r="D29" s="1262"/>
    </row>
    <row r="30" spans="1:4" x14ac:dyDescent="0.2">
      <c r="A30" s="2505"/>
      <c r="B30" s="2505"/>
      <c r="D30" s="1262"/>
    </row>
    <row r="32" spans="1:4" x14ac:dyDescent="0.2">
      <c r="A32" s="1254" t="s">
        <v>1233</v>
      </c>
      <c r="D32" s="1257">
        <f>SUM(D19:D30)</f>
        <v>277123.89</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505"/>
      <c r="B40" s="2505"/>
      <c r="D40" s="1262"/>
    </row>
    <row r="41" spans="1:4" x14ac:dyDescent="0.2">
      <c r="A41" s="2505"/>
      <c r="B41" s="2505"/>
      <c r="D41" s="1265"/>
    </row>
    <row r="42" spans="1:4" x14ac:dyDescent="0.2">
      <c r="A42" s="2505"/>
      <c r="B42" s="2505"/>
      <c r="D42" s="1265"/>
    </row>
    <row r="43" spans="1:4" x14ac:dyDescent="0.2">
      <c r="A43" s="2505"/>
      <c r="B43" s="2505"/>
      <c r="D43" s="1265"/>
    </row>
    <row r="44" spans="1:4" x14ac:dyDescent="0.2">
      <c r="A44" s="2505"/>
      <c r="B44" s="2505"/>
      <c r="D44" s="1265"/>
    </row>
    <row r="45" spans="1:4" x14ac:dyDescent="0.2">
      <c r="A45" s="2505"/>
      <c r="B45" s="2505"/>
      <c r="D45" s="1265"/>
    </row>
    <row r="47" spans="1:4" x14ac:dyDescent="0.2">
      <c r="B47" s="1266" t="s">
        <v>1227</v>
      </c>
      <c r="C47" s="1266"/>
      <c r="D47" s="1267">
        <f>SUM(D35:D45)</f>
        <v>0</v>
      </c>
    </row>
    <row r="49" spans="2:4" x14ac:dyDescent="0.2">
      <c r="B49" s="1266" t="s">
        <v>1226</v>
      </c>
      <c r="C49" s="1266"/>
      <c r="D49" s="1267">
        <f>D32-D47</f>
        <v>277123.89</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67" t="str">
        <f>'Single Audit Cover'!A7</f>
        <v>Morrison CUSD 6</v>
      </c>
      <c r="C1" s="2510"/>
      <c r="D1" s="2510"/>
      <c r="E1" s="2510"/>
      <c r="F1" s="2510"/>
      <c r="G1" s="2510"/>
      <c r="H1" s="2510"/>
      <c r="I1" s="2510"/>
      <c r="J1" s="2510"/>
      <c r="K1" s="2510"/>
      <c r="L1" s="2510"/>
      <c r="M1" s="2510"/>
    </row>
    <row r="2" spans="2:14" ht="15" x14ac:dyDescent="0.2">
      <c r="B2" s="2511">
        <f>'Single Audit Cover'!E7</f>
        <v>47098006026</v>
      </c>
      <c r="C2" s="2511"/>
      <c r="D2" s="2511"/>
      <c r="E2" s="2511"/>
      <c r="F2" s="2511"/>
      <c r="G2" s="2511"/>
      <c r="H2" s="2511"/>
      <c r="I2" s="2511"/>
      <c r="J2" s="2511"/>
      <c r="K2" s="2511"/>
      <c r="L2" s="2511"/>
      <c r="M2" s="2511"/>
      <c r="N2" s="1296"/>
    </row>
    <row r="3" spans="2:14" ht="15" x14ac:dyDescent="0.2">
      <c r="B3" s="2512" t="s">
        <v>1219</v>
      </c>
      <c r="C3" s="2512"/>
      <c r="D3" s="2512"/>
      <c r="E3" s="2512"/>
      <c r="F3" s="2512"/>
      <c r="G3" s="2512"/>
      <c r="H3" s="2512"/>
      <c r="I3" s="2512"/>
      <c r="J3" s="2512"/>
      <c r="K3" s="2512"/>
      <c r="L3" s="2512"/>
      <c r="M3" s="2512"/>
      <c r="N3" s="1296"/>
    </row>
    <row r="4" spans="2:14" ht="15" x14ac:dyDescent="0.2">
      <c r="B4" s="2513" t="str">
        <f>'Single Audit Cover'!A4</f>
        <v>Year Ending June 30, 2019</v>
      </c>
      <c r="C4" s="2513"/>
      <c r="D4" s="2513"/>
      <c r="E4" s="2513"/>
      <c r="F4" s="2513"/>
      <c r="G4" s="2513"/>
      <c r="H4" s="2513"/>
      <c r="I4" s="2513"/>
      <c r="J4" s="2513"/>
      <c r="K4" s="2513"/>
      <c r="L4" s="2513"/>
      <c r="M4" s="2513"/>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515" t="str">
        <f>'Single Audit Cover'!A7</f>
        <v>Morrison CUSD 6</v>
      </c>
      <c r="B1" s="2515"/>
      <c r="C1" s="2515"/>
      <c r="D1" s="2515"/>
      <c r="E1" s="2515"/>
      <c r="F1" s="2515"/>
    </row>
    <row r="2" spans="1:7" ht="13.5" customHeight="1" x14ac:dyDescent="0.2">
      <c r="A2" s="2511">
        <f>'Single Audit Cover'!E7</f>
        <v>47098006026</v>
      </c>
      <c r="B2" s="2511"/>
      <c r="C2" s="2511"/>
      <c r="D2" s="2511"/>
      <c r="E2" s="2511"/>
      <c r="F2" s="2511"/>
      <c r="G2" s="1269"/>
    </row>
    <row r="3" spans="1:7" ht="15.75" customHeight="1" x14ac:dyDescent="0.2">
      <c r="A3" s="2516" t="s">
        <v>1271</v>
      </c>
      <c r="B3" s="2516"/>
      <c r="C3" s="2516"/>
      <c r="D3" s="2516"/>
      <c r="E3" s="2516"/>
      <c r="F3" s="2516"/>
    </row>
    <row r="4" spans="1:7" ht="13.5" customHeight="1" x14ac:dyDescent="0.2">
      <c r="A4" s="2517" t="str">
        <f>'Single Audit Cover'!A4</f>
        <v>Year Ending June 30, 2019</v>
      </c>
      <c r="B4" s="2517"/>
      <c r="C4" s="2517"/>
      <c r="D4" s="2517"/>
      <c r="E4" s="2517"/>
      <c r="F4" s="2517"/>
    </row>
    <row r="5" spans="1:7" ht="8.25" customHeight="1" x14ac:dyDescent="0.2">
      <c r="C5" s="317"/>
      <c r="D5" s="317"/>
    </row>
    <row r="6" spans="1:7" ht="13.5" customHeight="1" x14ac:dyDescent="0.2">
      <c r="A6" s="1270" t="s">
        <v>1728</v>
      </c>
      <c r="C6" s="317"/>
      <c r="D6" s="317"/>
    </row>
    <row r="7" spans="1:7" ht="60.95" customHeight="1" x14ac:dyDescent="0.2">
      <c r="A7" s="2514" t="s">
        <v>1729</v>
      </c>
      <c r="B7" s="2514"/>
      <c r="C7" s="2514"/>
      <c r="D7" s="2514"/>
      <c r="E7" s="2514"/>
      <c r="F7" s="2514"/>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514" t="s">
        <v>1731</v>
      </c>
      <c r="B13" s="2514"/>
      <c r="C13" s="2514"/>
      <c r="D13" s="2514"/>
      <c r="E13" s="2514"/>
      <c r="F13" s="2514"/>
    </row>
    <row r="14" spans="1:7" ht="9.75" customHeight="1" x14ac:dyDescent="0.2">
      <c r="C14" s="1254"/>
      <c r="D14" s="1254"/>
    </row>
    <row r="15" spans="1:7" ht="13.5" customHeight="1" x14ac:dyDescent="0.2">
      <c r="C15" s="1843" t="s">
        <v>1270</v>
      </c>
      <c r="D15" s="2519" t="s">
        <v>1269</v>
      </c>
      <c r="E15" s="2519"/>
      <c r="F15" s="2519"/>
    </row>
    <row r="16" spans="1:7" ht="13.5" customHeight="1" x14ac:dyDescent="0.2">
      <c r="A16" s="1276"/>
      <c r="B16" s="1270" t="s">
        <v>1268</v>
      </c>
      <c r="C16" s="1843" t="s">
        <v>1267</v>
      </c>
      <c r="D16" s="2520" t="s">
        <v>1588</v>
      </c>
      <c r="E16" s="2520"/>
      <c r="F16" s="2520"/>
    </row>
    <row r="17" spans="1:6" ht="20.45" customHeight="1" x14ac:dyDescent="0.2">
      <c r="A17" s="1277"/>
      <c r="B17" s="1278"/>
      <c r="C17" s="1279"/>
      <c r="D17" s="2518"/>
      <c r="E17" s="2518"/>
      <c r="F17" s="2518"/>
    </row>
    <row r="18" spans="1:6" ht="20.65" customHeight="1" x14ac:dyDescent="0.2">
      <c r="A18" s="1277"/>
      <c r="B18" s="1278"/>
      <c r="C18" s="1279"/>
      <c r="D18" s="2518"/>
      <c r="E18" s="2518"/>
      <c r="F18" s="2518"/>
    </row>
    <row r="19" spans="1:6" ht="20.65" customHeight="1" x14ac:dyDescent="0.2">
      <c r="A19" s="1277"/>
      <c r="B19" s="1278"/>
      <c r="C19" s="1279"/>
      <c r="D19" s="2518"/>
      <c r="E19" s="2518"/>
      <c r="F19" s="2518"/>
    </row>
    <row r="20" spans="1:6" ht="20.65" customHeight="1" x14ac:dyDescent="0.2">
      <c r="A20" s="1277"/>
      <c r="B20" s="1278"/>
      <c r="C20" s="1279"/>
      <c r="D20" s="2518"/>
      <c r="E20" s="2518"/>
      <c r="F20" s="2518"/>
    </row>
    <row r="21" spans="1:6" ht="20.65" customHeight="1" x14ac:dyDescent="0.2">
      <c r="A21" s="1277"/>
      <c r="B21" s="1278"/>
      <c r="C21" s="1279"/>
      <c r="D21" s="2518"/>
      <c r="E21" s="2518"/>
      <c r="F21" s="2518"/>
    </row>
    <row r="22" spans="1:6" ht="20.65" customHeight="1" x14ac:dyDescent="0.2">
      <c r="A22" s="1277"/>
      <c r="B22" s="1278"/>
      <c r="C22" s="1279"/>
      <c r="D22" s="2518"/>
      <c r="E22" s="2518"/>
      <c r="F22" s="2518"/>
    </row>
    <row r="23" spans="1:6" ht="20.65" customHeight="1" x14ac:dyDescent="0.2">
      <c r="A23" s="1277"/>
      <c r="B23" s="1278"/>
      <c r="C23" s="1279"/>
      <c r="D23" s="2518"/>
      <c r="E23" s="2518"/>
      <c r="F23" s="2518"/>
    </row>
    <row r="24" spans="1:6" ht="20.65" customHeight="1" x14ac:dyDescent="0.2">
      <c r="A24" s="1277"/>
      <c r="B24" s="1278"/>
      <c r="C24" s="1279"/>
      <c r="D24" s="2518"/>
      <c r="E24" s="2518"/>
      <c r="F24" s="2518"/>
    </row>
    <row r="25" spans="1:6" ht="20.65" customHeight="1" x14ac:dyDescent="0.2">
      <c r="A25" s="1277"/>
      <c r="B25" s="1278"/>
      <c r="C25" s="1279"/>
      <c r="D25" s="2518"/>
      <c r="E25" s="2518"/>
      <c r="F25" s="2518"/>
    </row>
    <row r="26" spans="1:6" ht="20.65" customHeight="1" x14ac:dyDescent="0.2">
      <c r="A26" s="1277"/>
      <c r="B26" s="1278"/>
      <c r="C26" s="1279"/>
      <c r="D26" s="2518"/>
      <c r="E26" s="2518"/>
      <c r="F26" s="2518"/>
    </row>
    <row r="27" spans="1:6" ht="20.65" customHeight="1" x14ac:dyDescent="0.2">
      <c r="A27" s="1277"/>
      <c r="B27" s="1278"/>
      <c r="C27" s="1279"/>
      <c r="D27" s="2518"/>
      <c r="E27" s="2518"/>
      <c r="F27" s="2518"/>
    </row>
    <row r="28" spans="1:6" ht="20.65" customHeight="1" x14ac:dyDescent="0.2">
      <c r="A28" s="1277"/>
      <c r="B28" s="1278"/>
      <c r="C28" s="1279"/>
      <c r="D28" s="2518"/>
      <c r="E28" s="2518"/>
      <c r="F28" s="2518"/>
    </row>
    <row r="29" spans="1:6" ht="20.65" customHeight="1" x14ac:dyDescent="0.2">
      <c r="A29" s="1277"/>
      <c r="B29" s="1278"/>
      <c r="C29" s="1279"/>
      <c r="D29" s="2518"/>
      <c r="E29" s="2518"/>
      <c r="F29" s="2518"/>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522" t="s">
        <v>1732</v>
      </c>
      <c r="B32" s="2522"/>
      <c r="C32" s="2522"/>
      <c r="D32" s="2522"/>
      <c r="E32" s="2522"/>
      <c r="F32" s="2522"/>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523">
        <f>+C33+C34</f>
        <v>0</v>
      </c>
      <c r="F34" s="2524"/>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525" t="s">
        <v>1590</v>
      </c>
      <c r="C49" s="2525"/>
      <c r="D49" s="2525"/>
      <c r="E49" s="1393"/>
    </row>
    <row r="50" spans="1:5" s="1294" customFormat="1" ht="3.75" customHeight="1" x14ac:dyDescent="0.2">
      <c r="A50" s="1293"/>
      <c r="B50" s="1842"/>
      <c r="C50" s="1842"/>
      <c r="D50" s="1842"/>
      <c r="E50" s="1393"/>
    </row>
    <row r="51" spans="1:5" s="1294" customFormat="1" ht="20.25" customHeight="1" x14ac:dyDescent="0.2">
      <c r="A51" s="1295">
        <v>6</v>
      </c>
      <c r="B51" s="2521" t="s">
        <v>1551</v>
      </c>
      <c r="C51" s="2521"/>
      <c r="D51" s="2521"/>
    </row>
    <row r="52" spans="1:5" ht="14.25" customHeight="1" x14ac:dyDescent="0.2">
      <c r="A52" s="1295"/>
      <c r="B52" s="2521"/>
      <c r="C52" s="2521"/>
      <c r="D52" s="2521"/>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30" t="str">
        <f>'Single Audit Cover'!A7</f>
        <v>Morrison CUSD 6</v>
      </c>
      <c r="C1" s="2531"/>
      <c r="D1" s="2531"/>
      <c r="E1" s="2531"/>
      <c r="F1" s="2531"/>
      <c r="G1" s="2531"/>
      <c r="H1" s="2531"/>
      <c r="I1" s="2531"/>
      <c r="J1" s="1403"/>
    </row>
    <row r="2" spans="2:10" s="317" customFormat="1" ht="12.75" customHeight="1" x14ac:dyDescent="0.2">
      <c r="B2" s="2532">
        <f>'Single Audit Cover'!E7</f>
        <v>47098006026</v>
      </c>
      <c r="C2" s="2533"/>
      <c r="D2" s="2533"/>
      <c r="E2" s="2533"/>
      <c r="F2" s="2533"/>
      <c r="G2" s="2533"/>
      <c r="H2" s="2533"/>
      <c r="I2" s="2533"/>
      <c r="J2" s="1403"/>
    </row>
    <row r="3" spans="2:10" s="317" customFormat="1" ht="12.75" customHeight="1" x14ac:dyDescent="0.2">
      <c r="B3" s="2534" t="s">
        <v>1285</v>
      </c>
      <c r="C3" s="2535"/>
      <c r="D3" s="2535"/>
      <c r="E3" s="2535"/>
      <c r="F3" s="2535"/>
      <c r="G3" s="2535"/>
      <c r="H3" s="2535"/>
      <c r="I3" s="2535"/>
      <c r="J3" s="1404"/>
    </row>
    <row r="4" spans="2:10" s="317" customFormat="1" ht="12.75" customHeight="1" x14ac:dyDescent="0.2">
      <c r="B4" s="2534" t="str">
        <f>'Single Audit Cover'!A4</f>
        <v>Year Ending June 30, 2019</v>
      </c>
      <c r="C4" s="2535"/>
      <c r="D4" s="2535"/>
      <c r="E4" s="2535"/>
      <c r="F4" s="2535"/>
      <c r="G4" s="2535"/>
      <c r="H4" s="2535"/>
      <c r="I4" s="2535"/>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534" t="s">
        <v>1284</v>
      </c>
      <c r="C7" s="2535"/>
      <c r="D7" s="2535"/>
      <c r="E7" s="2535"/>
      <c r="F7" s="2535"/>
      <c r="G7" s="2535"/>
      <c r="H7" s="2535"/>
      <c r="I7" s="2535"/>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536"/>
      <c r="D11" s="2536"/>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537"/>
      <c r="E29" s="2537"/>
      <c r="F29" s="2537"/>
      <c r="G29" s="2537"/>
      <c r="H29" s="2537"/>
      <c r="I29" s="2537"/>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538" t="s">
        <v>1751</v>
      </c>
      <c r="D37" s="2539"/>
      <c r="E37" s="2539"/>
      <c r="F37" s="2540"/>
      <c r="G37" s="2538" t="s">
        <v>1592</v>
      </c>
      <c r="H37" s="2539"/>
      <c r="I37" s="2540"/>
    </row>
    <row r="38" spans="2:9" ht="16.5" customHeight="1" x14ac:dyDescent="0.2">
      <c r="B38" s="1425"/>
      <c r="C38" s="2526"/>
      <c r="D38" s="2527"/>
      <c r="E38" s="2527"/>
      <c r="F38" s="2528"/>
      <c r="G38" s="2541"/>
      <c r="H38" s="2542"/>
      <c r="I38" s="2543"/>
    </row>
    <row r="39" spans="2:9" ht="16.5" customHeight="1" x14ac:dyDescent="0.2">
      <c r="B39" s="1425"/>
      <c r="C39" s="2526"/>
      <c r="D39" s="2527"/>
      <c r="E39" s="2527"/>
      <c r="F39" s="2528"/>
      <c r="G39" s="2529"/>
      <c r="H39" s="2529"/>
      <c r="I39" s="2529"/>
    </row>
    <row r="40" spans="2:9" ht="16.5" customHeight="1" x14ac:dyDescent="0.2">
      <c r="B40" s="1425"/>
      <c r="C40" s="2526"/>
      <c r="D40" s="2527"/>
      <c r="E40" s="2527"/>
      <c r="F40" s="2528"/>
      <c r="G40" s="2529"/>
      <c r="H40" s="2529"/>
      <c r="I40" s="2529"/>
    </row>
    <row r="41" spans="2:9" ht="16.5" customHeight="1" x14ac:dyDescent="0.2">
      <c r="B41" s="1425"/>
      <c r="C41" s="2526"/>
      <c r="D41" s="2527"/>
      <c r="E41" s="2527"/>
      <c r="F41" s="2528"/>
      <c r="G41" s="2529"/>
      <c r="H41" s="2529"/>
      <c r="I41" s="2529"/>
    </row>
    <row r="42" spans="2:9" ht="16.5" customHeight="1" x14ac:dyDescent="0.2">
      <c r="B42" s="1425"/>
      <c r="C42" s="2526"/>
      <c r="D42" s="2527"/>
      <c r="E42" s="2527"/>
      <c r="F42" s="2528"/>
      <c r="G42" s="2529"/>
      <c r="H42" s="2529"/>
      <c r="I42" s="2529"/>
    </row>
    <row r="43" spans="2:9" ht="16.5" customHeight="1" x14ac:dyDescent="0.2">
      <c r="B43" s="1425"/>
      <c r="C43" s="2544" t="s">
        <v>1593</v>
      </c>
      <c r="D43" s="2545"/>
      <c r="E43" s="2545"/>
      <c r="F43" s="2546"/>
      <c r="G43" s="2547">
        <f>SUM(G38:I42)</f>
        <v>0</v>
      </c>
      <c r="H43" s="2547"/>
      <c r="I43" s="2547"/>
    </row>
    <row r="44" spans="2:9" ht="12.75" customHeight="1" x14ac:dyDescent="0.2"/>
    <row r="45" spans="2:9" ht="12.75" customHeight="1" x14ac:dyDescent="0.2">
      <c r="B45" s="1416" t="s">
        <v>1841</v>
      </c>
      <c r="D45" s="2548">
        <v>0</v>
      </c>
      <c r="E45" s="2549"/>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550"/>
      <c r="F49" s="2550"/>
      <c r="G49" s="2550"/>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0" t="str">
        <f>'Single Audit Cover'!A7</f>
        <v>Morrison CUSD 6</v>
      </c>
      <c r="C1" s="2530"/>
      <c r="D1" s="2530"/>
      <c r="E1" s="2530"/>
      <c r="F1" s="2530"/>
      <c r="G1" s="2530"/>
      <c r="H1" s="2530"/>
      <c r="I1" s="2530"/>
      <c r="J1" s="2530"/>
      <c r="K1" s="2530"/>
      <c r="L1" s="1368"/>
      <c r="M1" s="1368"/>
    </row>
    <row r="2" spans="1:13" ht="12" customHeight="1" x14ac:dyDescent="0.2">
      <c r="B2" s="2532">
        <f>'Single Audit Cover'!E7</f>
        <v>47098006026</v>
      </c>
      <c r="C2" s="2532"/>
      <c r="D2" s="2532"/>
      <c r="E2" s="2532"/>
      <c r="F2" s="2532"/>
      <c r="G2" s="2532"/>
      <c r="H2" s="2532"/>
      <c r="I2" s="2532"/>
      <c r="J2" s="2532"/>
      <c r="K2" s="2532"/>
      <c r="L2" s="1369"/>
      <c r="M2" s="1370"/>
    </row>
    <row r="3" spans="1:13" ht="10.35" customHeight="1" x14ac:dyDescent="0.2">
      <c r="B3" s="2553" t="s">
        <v>1285</v>
      </c>
      <c r="C3" s="2553"/>
      <c r="D3" s="2553"/>
      <c r="E3" s="2553"/>
      <c r="F3" s="2553"/>
      <c r="G3" s="2553"/>
      <c r="H3" s="2553"/>
      <c r="I3" s="2553"/>
      <c r="J3" s="2553"/>
      <c r="K3" s="2553"/>
      <c r="L3" s="1371"/>
      <c r="M3" s="1371"/>
    </row>
    <row r="4" spans="1:13" ht="14.25" customHeight="1" x14ac:dyDescent="0.2">
      <c r="B4" s="2554" t="str">
        <f>'Single Audit Cover'!A4</f>
        <v>Year Ending June 30, 2019</v>
      </c>
      <c r="C4" s="2554"/>
      <c r="D4" s="2554"/>
      <c r="E4" s="2554"/>
      <c r="F4" s="2554"/>
      <c r="G4" s="2554"/>
      <c r="H4" s="2554"/>
      <c r="I4" s="2554"/>
      <c r="J4" s="2554"/>
      <c r="K4" s="2554"/>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554" t="s">
        <v>1296</v>
      </c>
      <c r="C7" s="2554"/>
      <c r="D7" s="2555"/>
      <c r="E7" s="2555"/>
      <c r="F7" s="2555"/>
      <c r="G7" s="2555"/>
      <c r="H7" s="2555"/>
      <c r="I7" s="2555"/>
      <c r="J7" s="2555"/>
      <c r="K7" s="2555"/>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552"/>
      <c r="C14" s="2552"/>
      <c r="D14" s="2552"/>
      <c r="E14" s="2552"/>
      <c r="F14" s="2552"/>
      <c r="G14" s="2552"/>
      <c r="H14" s="2552"/>
      <c r="I14" s="2552"/>
      <c r="J14" s="2552"/>
      <c r="K14" s="2552"/>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552"/>
      <c r="C17" s="2552"/>
      <c r="D17" s="2552"/>
      <c r="E17" s="2552"/>
      <c r="F17" s="2552"/>
      <c r="G17" s="2552"/>
      <c r="H17" s="2552"/>
      <c r="I17" s="2552"/>
      <c r="J17" s="2552"/>
      <c r="K17" s="2552"/>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556"/>
      <c r="C20" s="2556"/>
      <c r="D20" s="2552"/>
      <c r="E20" s="2552"/>
      <c r="F20" s="2552"/>
      <c r="G20" s="2552"/>
      <c r="H20" s="2552"/>
      <c r="I20" s="2552"/>
      <c r="J20" s="2552"/>
      <c r="K20" s="2552"/>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552"/>
      <c r="C23" s="2552"/>
      <c r="D23" s="2552"/>
      <c r="E23" s="2552"/>
      <c r="F23" s="2552"/>
      <c r="G23" s="2552"/>
      <c r="H23" s="2552"/>
      <c r="I23" s="2552"/>
      <c r="J23" s="2552"/>
      <c r="K23" s="2552"/>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552"/>
      <c r="C26" s="2552"/>
      <c r="D26" s="2552"/>
      <c r="E26" s="2552"/>
      <c r="F26" s="2552"/>
      <c r="G26" s="2552"/>
      <c r="H26" s="2552"/>
      <c r="I26" s="2552"/>
      <c r="J26" s="2552"/>
      <c r="K26" s="2552"/>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551"/>
      <c r="C29" s="2551"/>
      <c r="D29" s="2552"/>
      <c r="E29" s="2552"/>
      <c r="F29" s="2552"/>
      <c r="G29" s="2552"/>
      <c r="H29" s="2552"/>
      <c r="I29" s="2552"/>
      <c r="J29" s="2552"/>
      <c r="K29" s="2552"/>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551"/>
      <c r="C32" s="2551"/>
      <c r="D32" s="2552"/>
      <c r="E32" s="2552"/>
      <c r="F32" s="2552"/>
      <c r="G32" s="2552"/>
      <c r="H32" s="2552"/>
      <c r="I32" s="2552"/>
      <c r="J32" s="2552"/>
      <c r="K32" s="2552"/>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0" t="str">
        <f>'Single Audit Cover'!A7</f>
        <v>Morrison CUSD 6</v>
      </c>
      <c r="C1" s="2530"/>
      <c r="D1" s="2530"/>
      <c r="E1" s="2530"/>
      <c r="F1" s="2530"/>
      <c r="G1" s="2530"/>
      <c r="H1" s="2530"/>
      <c r="I1" s="2530"/>
      <c r="J1" s="2530"/>
      <c r="K1" s="2530"/>
      <c r="L1" s="1368"/>
      <c r="M1" s="1368"/>
    </row>
    <row r="2" spans="1:13" ht="12" customHeight="1" x14ac:dyDescent="0.2">
      <c r="B2" s="2532">
        <f>'Single Audit Cover'!E7</f>
        <v>47098006026</v>
      </c>
      <c r="C2" s="2532"/>
      <c r="D2" s="2532"/>
      <c r="E2" s="2532"/>
      <c r="F2" s="2532"/>
      <c r="G2" s="2532"/>
      <c r="H2" s="2532"/>
      <c r="I2" s="2532"/>
      <c r="J2" s="2532"/>
      <c r="K2" s="2532"/>
      <c r="L2" s="1369"/>
      <c r="M2" s="1370"/>
    </row>
    <row r="3" spans="1:13" ht="10.35" customHeight="1" x14ac:dyDescent="0.2">
      <c r="B3" s="2553" t="s">
        <v>1285</v>
      </c>
      <c r="C3" s="2553"/>
      <c r="D3" s="2553"/>
      <c r="E3" s="2553"/>
      <c r="F3" s="2553"/>
      <c r="G3" s="2553"/>
      <c r="H3" s="2553"/>
      <c r="I3" s="2553"/>
      <c r="J3" s="2553"/>
      <c r="K3" s="2553"/>
      <c r="L3" s="1936"/>
      <c r="M3" s="1936"/>
    </row>
    <row r="4" spans="1:13" ht="14.25" customHeight="1" x14ac:dyDescent="0.2">
      <c r="B4" s="2554" t="str">
        <f>'Single Audit Cover'!A4</f>
        <v>Year Ending June 30, 2019</v>
      </c>
      <c r="C4" s="2554"/>
      <c r="D4" s="2554"/>
      <c r="E4" s="2554"/>
      <c r="F4" s="2554"/>
      <c r="G4" s="2554"/>
      <c r="H4" s="2554"/>
      <c r="I4" s="2554"/>
      <c r="J4" s="2554"/>
      <c r="K4" s="2554"/>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554" t="s">
        <v>1296</v>
      </c>
      <c r="C7" s="2554"/>
      <c r="D7" s="2555"/>
      <c r="E7" s="2555"/>
      <c r="F7" s="2555"/>
      <c r="G7" s="2555"/>
      <c r="H7" s="2555"/>
      <c r="I7" s="2555"/>
      <c r="J7" s="2555"/>
      <c r="K7" s="2555"/>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v>1</v>
      </c>
      <c r="E10" s="322"/>
      <c r="F10" s="1381" t="s">
        <v>1295</v>
      </c>
      <c r="G10" s="1382"/>
      <c r="H10" s="1383" t="s">
        <v>1294</v>
      </c>
      <c r="I10" s="1382" t="s">
        <v>2080</v>
      </c>
      <c r="J10" s="1384" t="s">
        <v>1293</v>
      </c>
      <c r="K10" s="322"/>
      <c r="L10" s="1375"/>
    </row>
    <row r="11" spans="1:13" ht="13.5" customHeight="1" x14ac:dyDescent="0.2">
      <c r="B11" s="322"/>
      <c r="C11" s="322"/>
      <c r="D11" s="322"/>
      <c r="E11" s="322"/>
      <c r="F11" s="322"/>
      <c r="G11" s="1377"/>
      <c r="H11" s="322"/>
      <c r="I11" s="1385" t="s">
        <v>1292</v>
      </c>
      <c r="J11" s="322"/>
      <c r="K11" s="1386">
        <v>2003</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552" t="s">
        <v>2108</v>
      </c>
      <c r="C14" s="2552"/>
      <c r="D14" s="2552"/>
      <c r="E14" s="2552"/>
      <c r="F14" s="2552"/>
      <c r="G14" s="2552"/>
      <c r="H14" s="2552"/>
      <c r="I14" s="2552"/>
      <c r="J14" s="2552"/>
      <c r="K14" s="2552"/>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552" t="s">
        <v>2109</v>
      </c>
      <c r="C17" s="2552"/>
      <c r="D17" s="2552"/>
      <c r="E17" s="2552"/>
      <c r="F17" s="2552"/>
      <c r="G17" s="2552"/>
      <c r="H17" s="2552"/>
      <c r="I17" s="2552"/>
      <c r="J17" s="2552"/>
      <c r="K17" s="2552"/>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556" t="s">
        <v>2110</v>
      </c>
      <c r="C20" s="2556"/>
      <c r="D20" s="2552"/>
      <c r="E20" s="2552"/>
      <c r="F20" s="2552"/>
      <c r="G20" s="2552"/>
      <c r="H20" s="2552"/>
      <c r="I20" s="2552"/>
      <c r="J20" s="2552"/>
      <c r="K20" s="2552"/>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552" t="s">
        <v>2111</v>
      </c>
      <c r="C23" s="2552"/>
      <c r="D23" s="2552"/>
      <c r="E23" s="2552"/>
      <c r="F23" s="2552"/>
      <c r="G23" s="2552"/>
      <c r="H23" s="2552"/>
      <c r="I23" s="2552"/>
      <c r="J23" s="2552"/>
      <c r="K23" s="2552"/>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552" t="s">
        <v>2112</v>
      </c>
      <c r="C26" s="2552"/>
      <c r="D26" s="2552"/>
      <c r="E26" s="2552"/>
      <c r="F26" s="2552"/>
      <c r="G26" s="2552"/>
      <c r="H26" s="2552"/>
      <c r="I26" s="2552"/>
      <c r="J26" s="2552"/>
      <c r="K26" s="2552"/>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551" t="s">
        <v>2113</v>
      </c>
      <c r="C29" s="2551"/>
      <c r="D29" s="2552"/>
      <c r="E29" s="2552"/>
      <c r="F29" s="2552"/>
      <c r="G29" s="2552"/>
      <c r="H29" s="2552"/>
      <c r="I29" s="2552"/>
      <c r="J29" s="2552"/>
      <c r="K29" s="2552"/>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551" t="s">
        <v>2156</v>
      </c>
      <c r="C32" s="2551"/>
      <c r="D32" s="2552"/>
      <c r="E32" s="2552"/>
      <c r="F32" s="2552"/>
      <c r="G32" s="2552"/>
      <c r="H32" s="2552"/>
      <c r="I32" s="2552"/>
      <c r="J32" s="2552"/>
      <c r="K32" s="2552"/>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0" t="str">
        <f>'Single Audit Cover'!A7</f>
        <v>Morrison CUSD 6</v>
      </c>
      <c r="C1" s="2530"/>
      <c r="D1" s="2530"/>
      <c r="E1" s="2530"/>
      <c r="F1" s="2530"/>
      <c r="G1" s="2530"/>
      <c r="H1" s="2530"/>
      <c r="I1" s="2530"/>
      <c r="J1" s="2530"/>
      <c r="K1" s="2530"/>
      <c r="L1" s="1368"/>
      <c r="M1" s="1368"/>
    </row>
    <row r="2" spans="1:13" ht="12" customHeight="1" x14ac:dyDescent="0.2">
      <c r="B2" s="2532">
        <f>'Single Audit Cover'!E7</f>
        <v>47098006026</v>
      </c>
      <c r="C2" s="2532"/>
      <c r="D2" s="2532"/>
      <c r="E2" s="2532"/>
      <c r="F2" s="2532"/>
      <c r="G2" s="2532"/>
      <c r="H2" s="2532"/>
      <c r="I2" s="2532"/>
      <c r="J2" s="2532"/>
      <c r="K2" s="2532"/>
      <c r="L2" s="1369"/>
      <c r="M2" s="1370"/>
    </row>
    <row r="3" spans="1:13" ht="10.35" customHeight="1" x14ac:dyDescent="0.2">
      <c r="B3" s="2553" t="s">
        <v>1285</v>
      </c>
      <c r="C3" s="2553"/>
      <c r="D3" s="2553"/>
      <c r="E3" s="2553"/>
      <c r="F3" s="2553"/>
      <c r="G3" s="2553"/>
      <c r="H3" s="2553"/>
      <c r="I3" s="2553"/>
      <c r="J3" s="2553"/>
      <c r="K3" s="2553"/>
      <c r="L3" s="1936"/>
      <c r="M3" s="1936"/>
    </row>
    <row r="4" spans="1:13" ht="14.25" customHeight="1" x14ac:dyDescent="0.2">
      <c r="B4" s="2554" t="str">
        <f>'Single Audit Cover'!A4</f>
        <v>Year Ending June 30, 2019</v>
      </c>
      <c r="C4" s="2554"/>
      <c r="D4" s="2554"/>
      <c r="E4" s="2554"/>
      <c r="F4" s="2554"/>
      <c r="G4" s="2554"/>
      <c r="H4" s="2554"/>
      <c r="I4" s="2554"/>
      <c r="J4" s="2554"/>
      <c r="K4" s="2554"/>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554" t="s">
        <v>1296</v>
      </c>
      <c r="C7" s="2554"/>
      <c r="D7" s="2555"/>
      <c r="E7" s="2555"/>
      <c r="F7" s="2555"/>
      <c r="G7" s="2555"/>
      <c r="H7" s="2555"/>
      <c r="I7" s="2555"/>
      <c r="J7" s="2555"/>
      <c r="K7" s="2555"/>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v>2</v>
      </c>
      <c r="E10" s="322"/>
      <c r="F10" s="1381" t="s">
        <v>1295</v>
      </c>
      <c r="G10" s="1382"/>
      <c r="H10" s="1383" t="s">
        <v>1294</v>
      </c>
      <c r="I10" s="1382" t="s">
        <v>2080</v>
      </c>
      <c r="J10" s="1384" t="s">
        <v>1293</v>
      </c>
      <c r="K10" s="322"/>
      <c r="L10" s="1375"/>
    </row>
    <row r="11" spans="1:13" ht="13.5" customHeight="1" x14ac:dyDescent="0.2">
      <c r="B11" s="322"/>
      <c r="C11" s="322"/>
      <c r="D11" s="322"/>
      <c r="E11" s="322"/>
      <c r="F11" s="322"/>
      <c r="G11" s="1377"/>
      <c r="H11" s="322"/>
      <c r="I11" s="1385" t="s">
        <v>1292</v>
      </c>
      <c r="J11" s="322"/>
      <c r="K11" s="1386">
        <v>2016</v>
      </c>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552" t="s">
        <v>2114</v>
      </c>
      <c r="C14" s="2552"/>
      <c r="D14" s="2552"/>
      <c r="E14" s="2552"/>
      <c r="F14" s="2552"/>
      <c r="G14" s="2552"/>
      <c r="H14" s="2552"/>
      <c r="I14" s="2552"/>
      <c r="J14" s="2552"/>
      <c r="K14" s="2552"/>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552" t="s">
        <v>2115</v>
      </c>
      <c r="C17" s="2552"/>
      <c r="D17" s="2552"/>
      <c r="E17" s="2552"/>
      <c r="F17" s="2552"/>
      <c r="G17" s="2552"/>
      <c r="H17" s="2552"/>
      <c r="I17" s="2552"/>
      <c r="J17" s="2552"/>
      <c r="K17" s="2552"/>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556" t="s">
        <v>2116</v>
      </c>
      <c r="C20" s="2556"/>
      <c r="D20" s="2552"/>
      <c r="E20" s="2552"/>
      <c r="F20" s="2552"/>
      <c r="G20" s="2552"/>
      <c r="H20" s="2552"/>
      <c r="I20" s="2552"/>
      <c r="J20" s="2552"/>
      <c r="K20" s="2552"/>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552" t="s">
        <v>2117</v>
      </c>
      <c r="C23" s="2552"/>
      <c r="D23" s="2552"/>
      <c r="E23" s="2552"/>
      <c r="F23" s="2552"/>
      <c r="G23" s="2552"/>
      <c r="H23" s="2552"/>
      <c r="I23" s="2552"/>
      <c r="J23" s="2552"/>
      <c r="K23" s="2552"/>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552" t="s">
        <v>2118</v>
      </c>
      <c r="C26" s="2552"/>
      <c r="D26" s="2552"/>
      <c r="E26" s="2552"/>
      <c r="F26" s="2552"/>
      <c r="G26" s="2552"/>
      <c r="H26" s="2552"/>
      <c r="I26" s="2552"/>
      <c r="J26" s="2552"/>
      <c r="K26" s="2552"/>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551" t="s">
        <v>2119</v>
      </c>
      <c r="C29" s="2551"/>
      <c r="D29" s="2552"/>
      <c r="E29" s="2552"/>
      <c r="F29" s="2552"/>
      <c r="G29" s="2552"/>
      <c r="H29" s="2552"/>
      <c r="I29" s="2552"/>
      <c r="J29" s="2552"/>
      <c r="K29" s="2552"/>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551" t="s">
        <v>2157</v>
      </c>
      <c r="C32" s="2551"/>
      <c r="D32" s="2552"/>
      <c r="E32" s="2552"/>
      <c r="F32" s="2552"/>
      <c r="G32" s="2552"/>
      <c r="H32" s="2552"/>
      <c r="I32" s="2552"/>
      <c r="J32" s="2552"/>
      <c r="K32" s="2552"/>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49"/>
  <sheetViews>
    <sheetView showGridLines="0" zoomScale="110" zoomScaleNormal="110" zoomScaleSheetLayoutView="9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941" customWidth="1"/>
    <col min="8" max="8" width="12" style="316" customWidth="1"/>
    <col min="9" max="9" width="3.42578125" style="1941"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57" t="s">
        <v>2075</v>
      </c>
      <c r="C1" s="2557"/>
      <c r="D1" s="2557"/>
      <c r="E1" s="2557"/>
      <c r="F1" s="2557"/>
      <c r="G1" s="2557"/>
      <c r="H1" s="2557"/>
      <c r="I1" s="2557"/>
      <c r="J1" s="2557"/>
      <c r="K1" s="2557"/>
      <c r="L1" s="1937"/>
      <c r="M1" s="1937"/>
    </row>
    <row r="2" spans="1:13" ht="12" customHeight="1" x14ac:dyDescent="0.2">
      <c r="B2" s="2558" t="s">
        <v>2073</v>
      </c>
      <c r="C2" s="2558"/>
      <c r="D2" s="2558"/>
      <c r="E2" s="2558"/>
      <c r="F2" s="2558"/>
      <c r="G2" s="2558"/>
      <c r="H2" s="2558"/>
      <c r="I2" s="2558"/>
      <c r="J2" s="2558"/>
      <c r="K2" s="2558"/>
      <c r="L2" s="1938"/>
      <c r="M2" s="1939"/>
    </row>
    <row r="3" spans="1:13" ht="10.35" customHeight="1" x14ac:dyDescent="0.2">
      <c r="B3" s="2559" t="s">
        <v>1285</v>
      </c>
      <c r="C3" s="2559"/>
      <c r="D3" s="2559"/>
      <c r="E3" s="2559"/>
      <c r="F3" s="2559"/>
      <c r="G3" s="2559"/>
      <c r="H3" s="2559"/>
      <c r="I3" s="2559"/>
      <c r="J3" s="2559"/>
      <c r="K3" s="2559"/>
      <c r="L3" s="1935"/>
      <c r="M3" s="1935"/>
    </row>
    <row r="4" spans="1:13" ht="14.25" customHeight="1" x14ac:dyDescent="0.2">
      <c r="B4" s="2559" t="s">
        <v>1989</v>
      </c>
      <c r="C4" s="2559"/>
      <c r="D4" s="2559"/>
      <c r="E4" s="2559"/>
      <c r="F4" s="2559"/>
      <c r="G4" s="2559"/>
      <c r="H4" s="2559"/>
      <c r="I4" s="2559"/>
      <c r="J4" s="2559"/>
      <c r="K4" s="2559"/>
      <c r="L4" s="1935"/>
      <c r="M4" s="1935"/>
    </row>
    <row r="5" spans="1:13" ht="7.5" customHeight="1" x14ac:dyDescent="0.2">
      <c r="B5" s="1940" t="s">
        <v>1169</v>
      </c>
      <c r="C5" s="1940"/>
    </row>
    <row r="6" spans="1:13" ht="7.5" customHeight="1" x14ac:dyDescent="0.2">
      <c r="B6" s="1942"/>
      <c r="C6" s="1942"/>
      <c r="D6" s="1943"/>
      <c r="E6" s="1943"/>
      <c r="F6" s="1943"/>
      <c r="G6" s="1944"/>
      <c r="H6" s="1943"/>
      <c r="I6" s="1944"/>
      <c r="J6" s="1943"/>
      <c r="K6" s="1943"/>
    </row>
    <row r="7" spans="1:13" ht="12.75" customHeight="1" x14ac:dyDescent="0.2">
      <c r="A7" s="1209"/>
      <c r="B7" s="2559" t="s">
        <v>1296</v>
      </c>
      <c r="C7" s="2559"/>
      <c r="D7" s="2533"/>
      <c r="E7" s="2533"/>
      <c r="F7" s="2533"/>
      <c r="G7" s="2533"/>
      <c r="H7" s="2533"/>
      <c r="I7" s="2533"/>
      <c r="J7" s="2533"/>
      <c r="K7" s="2533"/>
      <c r="L7" s="1945"/>
    </row>
    <row r="8" spans="1:13" ht="7.5" customHeight="1" x14ac:dyDescent="0.2"/>
    <row r="9" spans="1:13" ht="9.6" customHeight="1" x14ac:dyDescent="0.2">
      <c r="B9" s="1943"/>
      <c r="C9" s="1943"/>
      <c r="D9" s="1943"/>
      <c r="E9" s="1943"/>
      <c r="F9" s="1943"/>
      <c r="G9" s="1944"/>
      <c r="H9" s="1943"/>
      <c r="I9" s="1944"/>
      <c r="J9" s="1943"/>
      <c r="K9" s="1943"/>
    </row>
    <row r="10" spans="1:13" ht="16.5" customHeight="1" x14ac:dyDescent="0.2">
      <c r="B10" s="1213" t="s">
        <v>1742</v>
      </c>
      <c r="C10" s="1946" t="s">
        <v>2120</v>
      </c>
      <c r="D10" s="1380">
        <v>3</v>
      </c>
      <c r="F10" s="1213" t="s">
        <v>1295</v>
      </c>
      <c r="G10" s="1382"/>
      <c r="H10" s="1947" t="s">
        <v>1294</v>
      </c>
      <c r="I10" s="1382" t="s">
        <v>2080</v>
      </c>
      <c r="J10" s="1948" t="s">
        <v>1293</v>
      </c>
    </row>
    <row r="11" spans="1:13" ht="13.5" customHeight="1" x14ac:dyDescent="0.2">
      <c r="I11" s="1949" t="s">
        <v>1292</v>
      </c>
      <c r="K11" s="1386">
        <v>2017</v>
      </c>
    </row>
    <row r="12" spans="1:13" ht="13.5" customHeight="1" x14ac:dyDescent="0.2">
      <c r="B12" s="1940"/>
      <c r="C12" s="1940"/>
    </row>
    <row r="13" spans="1:13" s="1209" customFormat="1" ht="13.5" customHeight="1" x14ac:dyDescent="0.2">
      <c r="B13" s="1950" t="s">
        <v>1291</v>
      </c>
      <c r="C13" s="1950"/>
      <c r="D13" s="1951"/>
      <c r="E13" s="1951"/>
      <c r="F13" s="1951"/>
      <c r="G13" s="1952"/>
      <c r="H13" s="1951"/>
      <c r="I13" s="1952"/>
      <c r="J13" s="1951"/>
      <c r="K13" s="1951"/>
    </row>
    <row r="14" spans="1:13" ht="45.75" customHeight="1" x14ac:dyDescent="0.2">
      <c r="B14" s="2552" t="s">
        <v>2121</v>
      </c>
      <c r="C14" s="2552"/>
      <c r="D14" s="2552"/>
      <c r="E14" s="2552"/>
      <c r="F14" s="2552"/>
      <c r="G14" s="2552"/>
      <c r="H14" s="2552"/>
      <c r="I14" s="2552"/>
      <c r="J14" s="2552"/>
      <c r="K14" s="2552"/>
    </row>
    <row r="15" spans="1:13" ht="4.5" customHeight="1" x14ac:dyDescent="0.2">
      <c r="B15" s="1083"/>
      <c r="C15" s="1083"/>
    </row>
    <row r="16" spans="1:13" s="1209" customFormat="1" ht="13.5" customHeight="1" x14ac:dyDescent="0.2">
      <c r="B16" s="1950" t="s">
        <v>1290</v>
      </c>
      <c r="C16" s="1950"/>
      <c r="D16" s="1951"/>
      <c r="E16" s="1951"/>
      <c r="F16" s="1951"/>
      <c r="G16" s="1952"/>
      <c r="H16" s="1951"/>
      <c r="I16" s="1952"/>
      <c r="J16" s="1951"/>
      <c r="K16" s="1951"/>
    </row>
    <row r="17" spans="2:11" s="1209" customFormat="1" ht="13.5" customHeight="1" x14ac:dyDescent="0.2">
      <c r="B17" s="1953" t="s">
        <v>2122</v>
      </c>
      <c r="C17" s="1953"/>
      <c r="D17" s="1954"/>
      <c r="E17" s="1954"/>
      <c r="F17" s="1954"/>
      <c r="G17" s="1955"/>
      <c r="H17" s="1954"/>
      <c r="I17" s="1955"/>
      <c r="J17" s="1954"/>
      <c r="K17" s="1954"/>
    </row>
    <row r="18" spans="2:11" s="1209" customFormat="1" ht="13.5" customHeight="1" x14ac:dyDescent="0.2">
      <c r="B18" s="1953"/>
      <c r="C18" s="1953"/>
      <c r="D18" s="1954"/>
      <c r="E18" s="1954"/>
      <c r="F18" s="1956" t="s">
        <v>2123</v>
      </c>
      <c r="G18" s="1956"/>
      <c r="H18" s="1956" t="s">
        <v>30</v>
      </c>
      <c r="I18" s="1955"/>
      <c r="J18" s="1954"/>
      <c r="K18" s="1954"/>
    </row>
    <row r="19" spans="2:11" s="1209" customFormat="1" ht="13.5" customHeight="1" x14ac:dyDescent="0.2">
      <c r="B19" s="1953" t="s">
        <v>2124</v>
      </c>
      <c r="C19" s="1953"/>
      <c r="D19" s="1954"/>
      <c r="E19" s="1954"/>
      <c r="F19" s="1957">
        <v>8496093</v>
      </c>
      <c r="G19" s="1955"/>
      <c r="H19" s="1958">
        <v>8316219</v>
      </c>
      <c r="I19" s="1955"/>
      <c r="J19" s="1954"/>
      <c r="K19" s="1954"/>
    </row>
    <row r="20" spans="2:11" s="1209" customFormat="1" ht="13.5" customHeight="1" x14ac:dyDescent="0.2">
      <c r="B20" s="1953" t="s">
        <v>155</v>
      </c>
      <c r="C20" s="1953"/>
      <c r="D20" s="1954"/>
      <c r="E20" s="1954"/>
      <c r="F20" s="1959">
        <v>493197</v>
      </c>
      <c r="G20" s="1955"/>
      <c r="H20" s="1960">
        <v>413714</v>
      </c>
      <c r="I20" s="1955"/>
      <c r="J20" s="1954"/>
      <c r="K20" s="1954"/>
    </row>
    <row r="21" spans="2:11" s="1209" customFormat="1" ht="13.5" customHeight="1" x14ac:dyDescent="0.2">
      <c r="B21" s="1953" t="s">
        <v>437</v>
      </c>
      <c r="C21" s="1953"/>
      <c r="D21" s="1954"/>
      <c r="E21" s="1954"/>
      <c r="F21" s="1959">
        <v>385161</v>
      </c>
      <c r="G21" s="1955"/>
      <c r="H21" s="1960">
        <v>27500</v>
      </c>
      <c r="I21" s="1955"/>
      <c r="J21" s="1954"/>
      <c r="K21" s="1954"/>
    </row>
    <row r="22" spans="2:11" s="1209" customFormat="1" ht="13.5" customHeight="1" x14ac:dyDescent="0.2">
      <c r="B22" s="1953" t="s">
        <v>2125</v>
      </c>
      <c r="C22" s="1953"/>
      <c r="D22" s="1954"/>
      <c r="E22" s="1954"/>
      <c r="F22" s="1959">
        <v>319500</v>
      </c>
      <c r="G22" s="1955"/>
      <c r="H22" s="1960">
        <v>0</v>
      </c>
      <c r="I22" s="1955"/>
      <c r="J22" s="1954"/>
      <c r="K22" s="1954"/>
    </row>
    <row r="23" spans="2:11" s="1209" customFormat="1" ht="13.5" customHeight="1" x14ac:dyDescent="0.2">
      <c r="B23" s="1953" t="s">
        <v>436</v>
      </c>
      <c r="C23" s="1953"/>
      <c r="D23" s="1954"/>
      <c r="E23" s="1954"/>
      <c r="F23" s="1959">
        <v>352456</v>
      </c>
      <c r="G23" s="1955"/>
      <c r="H23" s="1960">
        <v>260800</v>
      </c>
      <c r="I23" s="1955"/>
      <c r="J23" s="1954"/>
      <c r="K23" s="1954"/>
    </row>
    <row r="24" spans="2:11" x14ac:dyDescent="0.2">
      <c r="B24" s="1961" t="s">
        <v>2126</v>
      </c>
      <c r="C24" s="1961"/>
      <c r="D24" s="1961"/>
      <c r="E24" s="1961"/>
      <c r="F24" s="1962">
        <v>4167522</v>
      </c>
      <c r="G24" s="1961"/>
      <c r="H24" s="1963">
        <v>2000000</v>
      </c>
      <c r="I24" s="1961"/>
      <c r="J24" s="1961"/>
      <c r="K24" s="1961"/>
    </row>
    <row r="25" spans="2:11" hidden="1" x14ac:dyDescent="0.2">
      <c r="B25" s="1961"/>
      <c r="C25" s="1961"/>
      <c r="D25" s="1961"/>
      <c r="E25" s="1961"/>
      <c r="F25" s="1961"/>
      <c r="G25" s="1961"/>
      <c r="H25" s="1961"/>
      <c r="I25" s="1961"/>
      <c r="J25" s="1961"/>
      <c r="K25" s="1961"/>
    </row>
    <row r="26" spans="2:11" ht="4.5" customHeight="1" x14ac:dyDescent="0.2">
      <c r="B26" s="1083"/>
      <c r="C26" s="1083"/>
    </row>
    <row r="27" spans="2:11" s="1209" customFormat="1" ht="13.5" customHeight="1" x14ac:dyDescent="0.2">
      <c r="B27" s="1950" t="s">
        <v>1743</v>
      </c>
      <c r="C27" s="1950"/>
      <c r="D27" s="1951"/>
      <c r="E27" s="1951"/>
      <c r="F27" s="1951"/>
      <c r="G27" s="1952"/>
      <c r="H27" s="1951"/>
      <c r="I27" s="1952"/>
      <c r="J27" s="1951"/>
      <c r="K27" s="1951"/>
    </row>
    <row r="28" spans="2:11" ht="45.75" customHeight="1" x14ac:dyDescent="0.2">
      <c r="B28" s="2556" t="s">
        <v>2127</v>
      </c>
      <c r="C28" s="2556"/>
      <c r="D28" s="2552"/>
      <c r="E28" s="2552"/>
      <c r="F28" s="2552"/>
      <c r="G28" s="2552"/>
      <c r="H28" s="2552"/>
      <c r="I28" s="2552"/>
      <c r="J28" s="2552"/>
      <c r="K28" s="2552"/>
    </row>
    <row r="29" spans="2:11" ht="4.5" customHeight="1" x14ac:dyDescent="0.2">
      <c r="B29" s="1964"/>
      <c r="C29" s="1964"/>
    </row>
    <row r="30" spans="2:11" ht="13.5" customHeight="1" x14ac:dyDescent="0.2">
      <c r="B30" s="1950" t="s">
        <v>1289</v>
      </c>
      <c r="C30" s="1950"/>
      <c r="D30" s="1943"/>
      <c r="E30" s="1943"/>
      <c r="F30" s="1943"/>
      <c r="G30" s="1944"/>
      <c r="H30" s="1943"/>
      <c r="I30" s="1944"/>
      <c r="J30" s="1943"/>
      <c r="K30" s="1943"/>
    </row>
    <row r="31" spans="2:11" ht="45" customHeight="1" x14ac:dyDescent="0.2">
      <c r="B31" s="2552" t="s">
        <v>2128</v>
      </c>
      <c r="C31" s="2552"/>
      <c r="D31" s="2552"/>
      <c r="E31" s="2552"/>
      <c r="F31" s="2552"/>
      <c r="G31" s="2552"/>
      <c r="H31" s="2552"/>
      <c r="I31" s="2552"/>
      <c r="J31" s="2552"/>
      <c r="K31" s="2552"/>
    </row>
    <row r="32" spans="2:11" ht="4.5" customHeight="1" x14ac:dyDescent="0.2">
      <c r="B32" s="1083"/>
      <c r="C32" s="1083"/>
    </row>
    <row r="33" spans="1:13" ht="13.5" customHeight="1" x14ac:dyDescent="0.2">
      <c r="B33" s="1950" t="s">
        <v>1288</v>
      </c>
      <c r="C33" s="1950"/>
      <c r="D33" s="1943"/>
      <c r="E33" s="1943"/>
      <c r="F33" s="1943"/>
      <c r="G33" s="1944"/>
      <c r="H33" s="1943"/>
      <c r="I33" s="1944"/>
      <c r="J33" s="1943"/>
      <c r="K33" s="1943"/>
    </row>
    <row r="34" spans="1:13" ht="45.75" customHeight="1" x14ac:dyDescent="0.2">
      <c r="B34" s="2552" t="s">
        <v>2129</v>
      </c>
      <c r="C34" s="2552"/>
      <c r="D34" s="2552"/>
      <c r="E34" s="2552"/>
      <c r="F34" s="2552"/>
      <c r="G34" s="2552"/>
      <c r="H34" s="2552"/>
      <c r="I34" s="2552"/>
      <c r="J34" s="2552"/>
      <c r="K34" s="2552"/>
    </row>
    <row r="35" spans="1:13" ht="4.5" customHeight="1" x14ac:dyDescent="0.2">
      <c r="B35" s="1083"/>
      <c r="C35" s="1083"/>
    </row>
    <row r="36" spans="1:13" ht="13.5" customHeight="1" x14ac:dyDescent="0.2">
      <c r="B36" s="1965" t="s">
        <v>1287</v>
      </c>
      <c r="C36" s="1965"/>
      <c r="D36" s="1943"/>
      <c r="E36" s="1943"/>
      <c r="F36" s="1943"/>
      <c r="G36" s="1944"/>
      <c r="H36" s="1943"/>
      <c r="I36" s="1944"/>
      <c r="J36" s="1943"/>
      <c r="K36" s="1943"/>
    </row>
    <row r="37" spans="1:13" ht="45.75" customHeight="1" x14ac:dyDescent="0.2">
      <c r="B37" s="2552" t="s">
        <v>2130</v>
      </c>
      <c r="C37" s="2552"/>
      <c r="D37" s="2552"/>
      <c r="E37" s="2552"/>
      <c r="F37" s="2552"/>
      <c r="G37" s="2552"/>
      <c r="H37" s="2552"/>
      <c r="I37" s="2552"/>
      <c r="J37" s="2552"/>
      <c r="K37" s="2552"/>
    </row>
    <row r="38" spans="1:13" ht="4.5" customHeight="1" x14ac:dyDescent="0.2">
      <c r="B38" s="1083"/>
      <c r="C38" s="1083"/>
    </row>
    <row r="39" spans="1:13" ht="13.5" customHeight="1" x14ac:dyDescent="0.2">
      <c r="B39" s="1966" t="s">
        <v>1744</v>
      </c>
      <c r="C39" s="1966"/>
      <c r="D39" s="1942"/>
      <c r="E39" s="1943"/>
      <c r="F39" s="1943"/>
      <c r="G39" s="1944"/>
      <c r="H39" s="1943"/>
      <c r="I39" s="1944"/>
      <c r="J39" s="1943"/>
      <c r="K39" s="1943"/>
    </row>
    <row r="40" spans="1:13" ht="44.25" customHeight="1" x14ac:dyDescent="0.2">
      <c r="B40" s="2552" t="s">
        <v>2158</v>
      </c>
      <c r="C40" s="2552"/>
      <c r="D40" s="2552"/>
      <c r="E40" s="2552"/>
      <c r="F40" s="2552"/>
      <c r="G40" s="2552"/>
      <c r="H40" s="2552"/>
      <c r="I40" s="2552"/>
      <c r="J40" s="2552"/>
      <c r="K40" s="2552"/>
    </row>
    <row r="41" spans="1:13" ht="4.5" customHeight="1" x14ac:dyDescent="0.2">
      <c r="B41" s="1083"/>
      <c r="C41" s="1083"/>
    </row>
    <row r="42" spans="1:13" x14ac:dyDescent="0.2">
      <c r="A42" s="1967"/>
      <c r="B42" s="1967"/>
      <c r="C42" s="1967"/>
      <c r="D42" s="1967"/>
      <c r="E42" s="1967"/>
      <c r="F42" s="1967"/>
      <c r="G42" s="1968"/>
      <c r="H42" s="1967"/>
      <c r="I42" s="1968"/>
      <c r="J42" s="1967"/>
      <c r="K42" s="1967"/>
    </row>
    <row r="43" spans="1:13" ht="11.85" customHeight="1" x14ac:dyDescent="0.2">
      <c r="B43" s="1969" t="s">
        <v>1745</v>
      </c>
      <c r="C43" s="1969"/>
    </row>
    <row r="44" spans="1:13" ht="9.6" customHeight="1" x14ac:dyDescent="0.2">
      <c r="B44" s="1216" t="s">
        <v>1842</v>
      </c>
      <c r="C44" s="1216"/>
    </row>
    <row r="45" spans="1:13" ht="9.6" customHeight="1" x14ac:dyDescent="0.2">
      <c r="B45" s="1216" t="s">
        <v>1843</v>
      </c>
      <c r="C45" s="1216"/>
    </row>
    <row r="46" spans="1:13" ht="11.85" customHeight="1" x14ac:dyDescent="0.2">
      <c r="B46" s="1969" t="s">
        <v>1746</v>
      </c>
      <c r="C46" s="1969"/>
    </row>
    <row r="47" spans="1:13" ht="9.6" customHeight="1" x14ac:dyDescent="0.2">
      <c r="B47" s="1216" t="s">
        <v>1286</v>
      </c>
      <c r="C47" s="1216"/>
      <c r="M47" s="1970"/>
    </row>
    <row r="48" spans="1:13" ht="12.6" customHeight="1" x14ac:dyDescent="0.2">
      <c r="B48" s="1969" t="s">
        <v>1747</v>
      </c>
      <c r="C48" s="1969"/>
      <c r="M48" s="1970"/>
    </row>
    <row r="49" spans="2:13" ht="9.6" customHeight="1" x14ac:dyDescent="0.2">
      <c r="B49" s="1216"/>
      <c r="C49" s="1216"/>
      <c r="M49" s="1970"/>
    </row>
  </sheetData>
  <mergeCells count="11">
    <mergeCell ref="B14:K14"/>
    <mergeCell ref="B1:K1"/>
    <mergeCell ref="B2:K2"/>
    <mergeCell ref="B3:K3"/>
    <mergeCell ref="B4:K4"/>
    <mergeCell ref="B7:K7"/>
    <mergeCell ref="B28:K28"/>
    <mergeCell ref="B31:K31"/>
    <mergeCell ref="B34:K34"/>
    <mergeCell ref="B37:K37"/>
    <mergeCell ref="B40:K40"/>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60" t="str">
        <f>'Single Audit Cover'!A7</f>
        <v>Morrison CUSD 6</v>
      </c>
      <c r="C1" s="2560"/>
      <c r="D1" s="2560"/>
      <c r="E1" s="2560"/>
      <c r="F1" s="2560"/>
      <c r="G1" s="2560"/>
      <c r="H1" s="2560"/>
      <c r="I1" s="2560"/>
      <c r="J1" s="2560"/>
      <c r="K1" s="2560"/>
      <c r="L1" s="1446"/>
    </row>
    <row r="2" spans="1:12" ht="12.75" customHeight="1" x14ac:dyDescent="0.2">
      <c r="B2" s="2561">
        <f>'Single Audit Cover'!E7</f>
        <v>47098006026</v>
      </c>
      <c r="C2" s="2561"/>
      <c r="D2" s="2561"/>
      <c r="E2" s="2561"/>
      <c r="F2" s="2561"/>
      <c r="G2" s="2561"/>
      <c r="H2" s="2561"/>
      <c r="I2" s="2561"/>
      <c r="J2" s="2561"/>
      <c r="K2" s="2561"/>
      <c r="L2" s="1447"/>
    </row>
    <row r="3" spans="1:12" ht="12.75" customHeight="1" x14ac:dyDescent="0.2">
      <c r="B3" s="2553" t="s">
        <v>1285</v>
      </c>
      <c r="C3" s="2553"/>
      <c r="D3" s="2553"/>
      <c r="E3" s="2553"/>
      <c r="F3" s="2553"/>
      <c r="G3" s="2553"/>
      <c r="H3" s="2553"/>
      <c r="I3" s="2553"/>
      <c r="J3" s="2553"/>
      <c r="K3" s="2553"/>
      <c r="L3" s="1371"/>
    </row>
    <row r="4" spans="1:12" ht="12.75" customHeight="1" x14ac:dyDescent="0.2">
      <c r="B4" s="2553" t="str">
        <f>'Single Audit Cover'!A4</f>
        <v>Year Ending June 30, 2019</v>
      </c>
      <c r="C4" s="2553"/>
      <c r="D4" s="2553"/>
      <c r="E4" s="2553"/>
      <c r="F4" s="2553"/>
      <c r="G4" s="2553"/>
      <c r="H4" s="2553"/>
      <c r="I4" s="2553"/>
      <c r="J4" s="2553"/>
      <c r="K4" s="2553"/>
      <c r="L4" s="1371"/>
    </row>
    <row r="5" spans="1:12" ht="5.25" customHeight="1" x14ac:dyDescent="0.2">
      <c r="B5" s="1254" t="s">
        <v>1169</v>
      </c>
      <c r="C5" s="1254"/>
      <c r="L5" s="322"/>
    </row>
    <row r="6" spans="1:12" ht="30.75" customHeight="1" x14ac:dyDescent="0.2">
      <c r="A6" s="322"/>
      <c r="B6" s="2562" t="s">
        <v>1308</v>
      </c>
      <c r="C6" s="2562"/>
      <c r="D6" s="2562"/>
      <c r="E6" s="2562"/>
      <c r="F6" s="2562"/>
      <c r="G6" s="2562"/>
      <c r="H6" s="2562"/>
      <c r="I6" s="2562"/>
      <c r="J6" s="2562"/>
      <c r="K6" s="2562"/>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537"/>
      <c r="G12" s="2537"/>
      <c r="H12" s="2537"/>
      <c r="I12" s="2537"/>
      <c r="J12" s="2537"/>
      <c r="K12" s="2537"/>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563"/>
      <c r="E14" s="2563"/>
      <c r="F14" s="2563"/>
      <c r="H14" s="1456" t="s">
        <v>1303</v>
      </c>
      <c r="I14" s="2564"/>
      <c r="J14" s="2564"/>
      <c r="K14" s="2564"/>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564"/>
      <c r="E16" s="2564"/>
      <c r="F16" s="2564"/>
      <c r="G16" s="2564"/>
      <c r="H16" s="2564"/>
      <c r="I16" s="2564"/>
      <c r="J16" s="2564"/>
      <c r="K16" s="2564"/>
      <c r="L16" s="322"/>
    </row>
    <row r="17" spans="2:12" ht="13.5" customHeight="1" x14ac:dyDescent="0.2">
      <c r="B17" s="1381" t="s">
        <v>1301</v>
      </c>
      <c r="C17" s="1381"/>
      <c r="D17" s="2565"/>
      <c r="E17" s="2565"/>
      <c r="F17" s="2565"/>
      <c r="G17" s="2565"/>
      <c r="H17" s="2565"/>
      <c r="I17" s="2565"/>
      <c r="J17" s="2565"/>
      <c r="K17" s="2565"/>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552"/>
      <c r="C20" s="2552"/>
      <c r="D20" s="2552"/>
      <c r="E20" s="2552"/>
      <c r="F20" s="2552"/>
      <c r="G20" s="2552"/>
      <c r="H20" s="2552"/>
      <c r="I20" s="2552"/>
      <c r="J20" s="2552"/>
      <c r="K20" s="2552"/>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552"/>
      <c r="C23" s="2552"/>
      <c r="D23" s="2552"/>
      <c r="E23" s="2552"/>
      <c r="F23" s="2552"/>
      <c r="G23" s="2552"/>
      <c r="H23" s="2552"/>
      <c r="I23" s="2552"/>
      <c r="J23" s="2552"/>
      <c r="K23" s="2552"/>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552"/>
      <c r="C26" s="2552"/>
      <c r="D26" s="2552"/>
      <c r="E26" s="2552"/>
      <c r="F26" s="2552"/>
      <c r="G26" s="2552"/>
      <c r="H26" s="2552"/>
      <c r="I26" s="2552"/>
      <c r="J26" s="2552"/>
      <c r="K26" s="2552"/>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552"/>
      <c r="C29" s="2552"/>
      <c r="D29" s="2552"/>
      <c r="E29" s="2552"/>
      <c r="F29" s="2552"/>
      <c r="G29" s="2552"/>
      <c r="H29" s="2552"/>
      <c r="I29" s="2552"/>
      <c r="J29" s="2552"/>
      <c r="K29" s="2552"/>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552"/>
      <c r="C32" s="2552"/>
      <c r="D32" s="2552"/>
      <c r="E32" s="2552"/>
      <c r="F32" s="2552"/>
      <c r="G32" s="2552"/>
      <c r="H32" s="2552"/>
      <c r="I32" s="2552"/>
      <c r="J32" s="2552"/>
      <c r="K32" s="2552"/>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552"/>
      <c r="C35" s="2552"/>
      <c r="D35" s="2552"/>
      <c r="E35" s="2552"/>
      <c r="F35" s="2552"/>
      <c r="G35" s="2552"/>
      <c r="H35" s="2552"/>
      <c r="I35" s="2552"/>
      <c r="J35" s="2552"/>
      <c r="K35" s="2552"/>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552"/>
      <c r="C38" s="2552"/>
      <c r="D38" s="2552"/>
      <c r="E38" s="2552"/>
      <c r="F38" s="2552"/>
      <c r="G38" s="2552"/>
      <c r="H38" s="2552"/>
      <c r="I38" s="2552"/>
      <c r="J38" s="2552"/>
      <c r="K38" s="2552"/>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552"/>
      <c r="C41" s="2552"/>
      <c r="D41" s="2552"/>
      <c r="E41" s="2552"/>
      <c r="F41" s="2552"/>
      <c r="G41" s="2552"/>
      <c r="H41" s="2552"/>
      <c r="I41" s="2552"/>
      <c r="J41" s="2552"/>
      <c r="K41" s="2552"/>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530" t="str">
        <f>'Single Audit Cover'!A7</f>
        <v>Morrison CUSD 6</v>
      </c>
      <c r="C1" s="2530"/>
      <c r="D1" s="2530"/>
      <c r="E1" s="1466"/>
    </row>
    <row r="2" spans="2:5" s="1276" customFormat="1" ht="12.75" customHeight="1" x14ac:dyDescent="0.2">
      <c r="B2" s="2532">
        <f>'Single Audit Cover'!E7</f>
        <v>47098006026</v>
      </c>
      <c r="C2" s="2532"/>
      <c r="D2" s="2532"/>
      <c r="E2" s="1467"/>
    </row>
    <row r="3" spans="2:5" ht="12.75" customHeight="1" x14ac:dyDescent="0.2">
      <c r="B3" s="2553" t="s">
        <v>1766</v>
      </c>
      <c r="C3" s="2553"/>
      <c r="D3" s="2553"/>
      <c r="E3" s="1268"/>
    </row>
    <row r="4" spans="2:5" s="1276" customFormat="1" ht="12.75" customHeight="1" x14ac:dyDescent="0.2">
      <c r="B4" s="2566" t="str">
        <f>'Single Audit Cover'!A4</f>
        <v>Year Ending June 30, 2019</v>
      </c>
      <c r="C4" s="2566"/>
      <c r="D4" s="2566"/>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2097</v>
      </c>
      <c r="C7" s="324" t="s">
        <v>2173</v>
      </c>
      <c r="D7" s="324" t="s">
        <v>2104</v>
      </c>
      <c r="E7" s="324"/>
    </row>
    <row r="8" spans="2:5" ht="13.5" customHeight="1" x14ac:dyDescent="0.2">
      <c r="B8" s="1471" t="s">
        <v>2098</v>
      </c>
      <c r="C8" s="324" t="s">
        <v>2174</v>
      </c>
      <c r="D8" s="324" t="s">
        <v>2105</v>
      </c>
      <c r="E8" s="324"/>
    </row>
    <row r="9" spans="2:5" ht="13.5" customHeight="1" x14ac:dyDescent="0.2">
      <c r="B9" s="1472" t="s">
        <v>2099</v>
      </c>
      <c r="C9" s="323" t="s">
        <v>2175</v>
      </c>
      <c r="D9" s="323" t="s">
        <v>2107</v>
      </c>
      <c r="E9" s="323"/>
    </row>
    <row r="10" spans="2:5" ht="13.5" customHeight="1" x14ac:dyDescent="0.2">
      <c r="B10" s="1471" t="s">
        <v>2100</v>
      </c>
      <c r="C10" s="323" t="s">
        <v>2176</v>
      </c>
      <c r="D10" s="323" t="s">
        <v>2107</v>
      </c>
      <c r="E10" s="323"/>
    </row>
    <row r="11" spans="2:5" ht="13.5" customHeight="1" x14ac:dyDescent="0.2">
      <c r="B11" s="1471" t="s">
        <v>2101</v>
      </c>
      <c r="C11" s="323" t="s">
        <v>2103</v>
      </c>
      <c r="D11" s="323" t="s">
        <v>2106</v>
      </c>
      <c r="E11" s="323"/>
    </row>
    <row r="12" spans="2:5" ht="13.5" customHeight="1" x14ac:dyDescent="0.2">
      <c r="B12" s="1471" t="s">
        <v>2102</v>
      </c>
      <c r="C12" s="323" t="s">
        <v>2177</v>
      </c>
      <c r="D12" s="323" t="s">
        <v>2107</v>
      </c>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L70"/>
  <sheetViews>
    <sheetView showGridLines="0" zoomScale="110" zoomScaleNormal="110" zoomScaleSheetLayoutView="100" workbookViewId="0"/>
  </sheetViews>
  <sheetFormatPr defaultColWidth="9.140625" defaultRowHeight="12.75" x14ac:dyDescent="0.2"/>
  <cols>
    <col min="1" max="1" width="1.5703125" style="1954" customWidth="1"/>
    <col min="2" max="2" width="11.28515625" style="1954" customWidth="1"/>
    <col min="3" max="3" width="6.42578125" style="1954" customWidth="1"/>
    <col min="4" max="4" width="5.42578125" style="1954" customWidth="1"/>
    <col min="5" max="5" width="74.7109375" style="1954" customWidth="1"/>
    <col min="6" max="6" width="1.5703125" style="1954" customWidth="1"/>
    <col min="7" max="8" width="2.42578125" style="1954" customWidth="1"/>
    <col min="9" max="9" width="9.28515625" style="1954" customWidth="1"/>
    <col min="10" max="10" width="14.42578125" style="1954" customWidth="1"/>
    <col min="11" max="11" width="7.28515625" style="1954" customWidth="1"/>
    <col min="12" max="12" width="3.140625" style="1954" customWidth="1"/>
    <col min="13" max="16384" width="9.140625" style="1954"/>
  </cols>
  <sheetData>
    <row r="1" spans="2:12" ht="13.5" customHeight="1" x14ac:dyDescent="0.2">
      <c r="B1" s="2568" t="str">
        <f>COVER!A17</f>
        <v>Morrison CUSD 6</v>
      </c>
      <c r="C1" s="2568"/>
      <c r="D1" s="2568"/>
      <c r="E1" s="2568"/>
      <c r="F1" s="1971"/>
      <c r="G1" s="1971"/>
      <c r="H1" s="1971"/>
      <c r="I1" s="1971"/>
      <c r="J1" s="1971"/>
      <c r="K1" s="1971"/>
      <c r="L1" s="1971"/>
    </row>
    <row r="2" spans="2:12" ht="13.5" customHeight="1" x14ac:dyDescent="0.2">
      <c r="B2" s="2569">
        <f>SSPAF!B2</f>
        <v>47098006026</v>
      </c>
      <c r="C2" s="2569"/>
      <c r="D2" s="2569"/>
      <c r="E2" s="2569"/>
      <c r="F2" s="1972"/>
      <c r="G2" s="1972"/>
      <c r="H2" s="1972"/>
      <c r="I2" s="1972"/>
      <c r="J2" s="1972"/>
      <c r="K2" s="1972"/>
      <c r="L2" s="1972"/>
    </row>
    <row r="3" spans="2:12" ht="13.5" customHeight="1" x14ac:dyDescent="0.2">
      <c r="B3" s="2570" t="s">
        <v>2131</v>
      </c>
      <c r="C3" s="2570"/>
      <c r="D3" s="2570"/>
      <c r="E3" s="2570"/>
      <c r="F3" s="1973"/>
      <c r="G3" s="1973"/>
      <c r="H3" s="1973"/>
      <c r="I3" s="1973"/>
      <c r="J3" s="1973"/>
      <c r="K3" s="1973"/>
      <c r="L3" s="1973"/>
    </row>
    <row r="4" spans="2:12" ht="13.5" customHeight="1" x14ac:dyDescent="0.2">
      <c r="B4" s="2571" t="s">
        <v>1989</v>
      </c>
      <c r="C4" s="2571"/>
      <c r="D4" s="2571"/>
      <c r="E4" s="2571"/>
      <c r="F4" s="1974"/>
      <c r="G4" s="1974"/>
      <c r="H4" s="1974"/>
      <c r="I4" s="1974"/>
      <c r="J4" s="1974"/>
      <c r="K4" s="1974"/>
      <c r="L4" s="1974"/>
    </row>
    <row r="5" spans="2:12" ht="29.85" customHeight="1" x14ac:dyDescent="0.2"/>
    <row r="6" spans="2:12" ht="13.5" customHeight="1" x14ac:dyDescent="0.2">
      <c r="B6" s="1975" t="s">
        <v>2132</v>
      </c>
      <c r="C6" s="1975"/>
      <c r="D6" s="1976"/>
      <c r="E6" s="1977"/>
      <c r="F6" s="1977"/>
      <c r="G6" s="1978"/>
      <c r="H6" s="1978"/>
      <c r="I6" s="1978"/>
    </row>
    <row r="7" spans="2:12" ht="13.5" customHeight="1" x14ac:dyDescent="0.2">
      <c r="B7" s="1954" t="s">
        <v>1169</v>
      </c>
    </row>
    <row r="8" spans="2:12" ht="13.5" customHeight="1" x14ac:dyDescent="0.2">
      <c r="B8" s="1979" t="s">
        <v>2133</v>
      </c>
      <c r="C8" s="1980" t="s">
        <v>1991</v>
      </c>
      <c r="D8" s="1981">
        <v>1</v>
      </c>
    </row>
    <row r="9" spans="2:12" ht="13.5" customHeight="1" x14ac:dyDescent="0.2">
      <c r="B9" s="1982"/>
      <c r="C9" s="1982"/>
      <c r="D9" s="1982"/>
    </row>
    <row r="10" spans="2:12" ht="13.5" customHeight="1" x14ac:dyDescent="0.2">
      <c r="B10" s="1979" t="s">
        <v>2134</v>
      </c>
      <c r="C10" s="1979"/>
    </row>
    <row r="11" spans="2:12" ht="66.75" customHeight="1" x14ac:dyDescent="0.2">
      <c r="B11" s="2567" t="s">
        <v>2135</v>
      </c>
      <c r="C11" s="2567"/>
      <c r="D11" s="2567"/>
      <c r="E11" s="2567"/>
    </row>
    <row r="12" spans="2:12" ht="13.5" customHeight="1" x14ac:dyDescent="0.2"/>
    <row r="13" spans="2:12" ht="13.5" customHeight="1" x14ac:dyDescent="0.2">
      <c r="B13" s="1979" t="s">
        <v>2136</v>
      </c>
      <c r="C13" s="1979"/>
    </row>
    <row r="14" spans="2:12" ht="76.5" customHeight="1" x14ac:dyDescent="0.2">
      <c r="B14" s="2567" t="s">
        <v>2137</v>
      </c>
      <c r="C14" s="2567"/>
      <c r="D14" s="2567"/>
      <c r="E14" s="2567"/>
    </row>
    <row r="15" spans="2:12" ht="13.5" customHeight="1" x14ac:dyDescent="0.2"/>
    <row r="16" spans="2:12" ht="13.5" customHeight="1" x14ac:dyDescent="0.2">
      <c r="B16" s="1979" t="s">
        <v>2138</v>
      </c>
      <c r="C16" s="1979"/>
      <c r="E16" s="1983" t="s">
        <v>2139</v>
      </c>
    </row>
    <row r="17" spans="2:5" ht="13.5" customHeight="1" x14ac:dyDescent="0.2"/>
    <row r="18" spans="2:5" ht="13.5" customHeight="1" x14ac:dyDescent="0.2">
      <c r="B18" s="1979" t="s">
        <v>2140</v>
      </c>
      <c r="C18" s="1979"/>
      <c r="E18" s="1984" t="s">
        <v>2145</v>
      </c>
    </row>
    <row r="19" spans="2:5" ht="13.5" customHeight="1" x14ac:dyDescent="0.2"/>
    <row r="20" spans="2:5" ht="13.5" customHeight="1" x14ac:dyDescent="0.2">
      <c r="B20" s="1979" t="s">
        <v>2141</v>
      </c>
      <c r="C20" s="1979"/>
      <c r="E20" s="1984" t="s">
        <v>2142</v>
      </c>
    </row>
    <row r="21" spans="2:5" ht="13.5" customHeight="1" x14ac:dyDescent="0.2">
      <c r="E21" s="1984" t="s">
        <v>2143</v>
      </c>
    </row>
    <row r="22" spans="2:5" ht="13.5" customHeight="1" x14ac:dyDescent="0.2">
      <c r="E22" s="1984"/>
    </row>
    <row r="23" spans="2:5" ht="13.5" customHeight="1" x14ac:dyDescent="0.2"/>
    <row r="24" spans="2:5" ht="13.5" customHeight="1" x14ac:dyDescent="0.2"/>
    <row r="25" spans="2:5" ht="13.5" customHeight="1" x14ac:dyDescent="0.2">
      <c r="B25" s="1985"/>
      <c r="C25" s="1985"/>
      <c r="D25" s="1985"/>
    </row>
    <row r="26" spans="2:5" ht="13.5" customHeight="1" x14ac:dyDescent="0.2">
      <c r="B26" s="1985"/>
      <c r="C26" s="1985"/>
      <c r="D26" s="1985"/>
    </row>
    <row r="27" spans="2:5" ht="13.5" customHeight="1" x14ac:dyDescent="0.2">
      <c r="B27" s="1985"/>
      <c r="C27" s="1985"/>
      <c r="D27" s="1985"/>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86"/>
      <c r="C35" s="1986"/>
      <c r="D35" s="1986"/>
    </row>
    <row r="36" spans="2:5" ht="13.5" customHeight="1" x14ac:dyDescent="0.2"/>
    <row r="37" spans="2:5" ht="13.5" customHeight="1" x14ac:dyDescent="0.2">
      <c r="B37" s="1986"/>
      <c r="C37" s="1986"/>
      <c r="D37" s="1986"/>
    </row>
    <row r="38" spans="2:5" ht="13.5" customHeight="1" x14ac:dyDescent="0.2">
      <c r="B38" s="1986"/>
      <c r="C38" s="1986"/>
      <c r="D38" s="1986"/>
    </row>
    <row r="39" spans="2:5" ht="13.5" customHeight="1" x14ac:dyDescent="0.2">
      <c r="B39" s="1986"/>
      <c r="C39" s="1986"/>
      <c r="D39" s="1986"/>
    </row>
    <row r="40" spans="2:5" ht="13.5" customHeight="1" x14ac:dyDescent="0.2">
      <c r="B40" s="1986"/>
      <c r="C40" s="1986"/>
      <c r="D40" s="1986"/>
    </row>
    <row r="41" spans="2:5" ht="13.5" customHeight="1" x14ac:dyDescent="0.2">
      <c r="B41" s="1987"/>
      <c r="C41" s="1987"/>
      <c r="D41" s="1987"/>
      <c r="E41" s="1987"/>
    </row>
    <row r="42" spans="2:5" ht="12.2" customHeight="1" x14ac:dyDescent="0.2">
      <c r="B42" s="1988" t="s">
        <v>2144</v>
      </c>
      <c r="C42" s="1988"/>
      <c r="D42" s="1988"/>
    </row>
    <row r="43" spans="2:5" ht="12.2" customHeight="1" x14ac:dyDescent="0.2">
      <c r="B43" s="1989"/>
      <c r="C43" s="1989"/>
      <c r="D43" s="1989"/>
    </row>
    <row r="44" spans="2:5" ht="12.75" customHeight="1" x14ac:dyDescent="0.2">
      <c r="B44" s="1979"/>
      <c r="C44" s="1979"/>
      <c r="D44" s="1979"/>
    </row>
    <row r="45" spans="2:5" ht="12.75" customHeight="1" x14ac:dyDescent="0.2">
      <c r="B45" s="1979"/>
      <c r="C45" s="1979"/>
      <c r="D45" s="1979"/>
    </row>
    <row r="46" spans="2:5" x14ac:dyDescent="0.2">
      <c r="B46" s="1979"/>
      <c r="C46" s="1979"/>
      <c r="D46" s="1979"/>
    </row>
    <row r="47" spans="2:5" x14ac:dyDescent="0.2">
      <c r="B47" s="1979"/>
      <c r="C47" s="1979"/>
      <c r="D47" s="1979"/>
    </row>
    <row r="51" spans="2:4" x14ac:dyDescent="0.2">
      <c r="B51" s="1990"/>
      <c r="C51" s="1990"/>
      <c r="D51" s="1990"/>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91"/>
      <c r="C64" s="1991"/>
      <c r="D64" s="1991"/>
    </row>
    <row r="65" spans="2:4" x14ac:dyDescent="0.2">
      <c r="B65" s="1979"/>
      <c r="C65" s="1979"/>
      <c r="D65" s="1979"/>
    </row>
    <row r="66" spans="2:4" x14ac:dyDescent="0.2">
      <c r="B66" s="1979"/>
      <c r="C66" s="1979"/>
      <c r="D66" s="1979"/>
    </row>
    <row r="67" spans="2:4" x14ac:dyDescent="0.2">
      <c r="B67" s="1991"/>
      <c r="C67" s="1991"/>
      <c r="D67" s="1991"/>
    </row>
    <row r="68" spans="2:4" x14ac:dyDescent="0.2">
      <c r="B68" s="1991"/>
      <c r="C68" s="1991"/>
      <c r="D68" s="1991"/>
    </row>
    <row r="69" spans="2:4" x14ac:dyDescent="0.2">
      <c r="B69" s="1991"/>
      <c r="C69" s="1991"/>
      <c r="D69" s="1991"/>
    </row>
    <row r="70" spans="2:4" x14ac:dyDescent="0.2">
      <c r="B70" s="1979"/>
      <c r="C70" s="1979"/>
      <c r="D70" s="1979"/>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L70"/>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1954" customWidth="1"/>
    <col min="2" max="2" width="11.28515625" style="1954" customWidth="1"/>
    <col min="3" max="3" width="6.42578125" style="1954" customWidth="1"/>
    <col min="4" max="4" width="5.42578125" style="1954" customWidth="1"/>
    <col min="5" max="5" width="74.7109375" style="1954" customWidth="1"/>
    <col min="6" max="6" width="1.5703125" style="1954" customWidth="1"/>
    <col min="7" max="8" width="2.42578125" style="1954" customWidth="1"/>
    <col min="9" max="9" width="9.28515625" style="1954" customWidth="1"/>
    <col min="10" max="10" width="14.42578125" style="1954" customWidth="1"/>
    <col min="11" max="11" width="7.28515625" style="1954" customWidth="1"/>
    <col min="12" max="12" width="3.140625" style="1954" customWidth="1"/>
    <col min="13" max="16384" width="9.140625" style="1954"/>
  </cols>
  <sheetData>
    <row r="1" spans="2:12" hidden="1" x14ac:dyDescent="0.2">
      <c r="B1" s="1954" t="str">
        <f>'CAP 2019-002'!B11:E11</f>
        <v>Morrison CUSD 6</v>
      </c>
    </row>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13.5" customHeight="1" x14ac:dyDescent="0.2">
      <c r="B11" s="2568" t="str">
        <f>COVER!A17</f>
        <v>Morrison CUSD 6</v>
      </c>
      <c r="C11" s="2568"/>
      <c r="D11" s="2568"/>
      <c r="E11" s="2568"/>
      <c r="F11" s="1971"/>
      <c r="G11" s="1971"/>
      <c r="H11" s="1971"/>
      <c r="I11" s="1971"/>
      <c r="J11" s="1971"/>
      <c r="K11" s="1971"/>
      <c r="L11" s="1971"/>
    </row>
    <row r="12" spans="2:12" ht="13.5" customHeight="1" x14ac:dyDescent="0.2">
      <c r="B12" s="2572" t="s">
        <v>2146</v>
      </c>
      <c r="C12" s="2572"/>
      <c r="D12" s="2572"/>
      <c r="E12" s="2572"/>
      <c r="F12" s="1972"/>
      <c r="G12" s="1972"/>
      <c r="H12" s="1972"/>
      <c r="I12" s="1972"/>
      <c r="J12" s="1972"/>
      <c r="K12" s="1972"/>
      <c r="L12" s="1972"/>
    </row>
    <row r="13" spans="2:12" ht="13.5" customHeight="1" x14ac:dyDescent="0.2">
      <c r="B13" s="2570">
        <f>SSPAF!B2</f>
        <v>47098006026</v>
      </c>
      <c r="C13" s="2570"/>
      <c r="D13" s="2570"/>
      <c r="E13" s="2570"/>
      <c r="F13" s="1973"/>
      <c r="G13" s="1973"/>
      <c r="H13" s="1973"/>
      <c r="I13" s="1973"/>
      <c r="J13" s="1973"/>
      <c r="K13" s="1973"/>
      <c r="L13" s="1973"/>
    </row>
    <row r="14" spans="2:12" ht="13.5" customHeight="1" x14ac:dyDescent="0.2">
      <c r="B14" s="2571" t="s">
        <v>1989</v>
      </c>
      <c r="C14" s="2571"/>
      <c r="D14" s="2571"/>
      <c r="E14" s="2571"/>
      <c r="F14" s="1974"/>
      <c r="G14" s="1974"/>
      <c r="H14" s="1974"/>
      <c r="I14" s="1974"/>
      <c r="J14" s="1974"/>
      <c r="K14" s="1974"/>
      <c r="L14" s="1974"/>
    </row>
    <row r="15" spans="2:12" ht="29.85" customHeight="1" x14ac:dyDescent="0.2"/>
    <row r="16" spans="2:12" ht="13.5" customHeight="1" x14ac:dyDescent="0.2">
      <c r="B16" s="1975" t="s">
        <v>2132</v>
      </c>
      <c r="C16" s="1975"/>
      <c r="D16" s="1976"/>
      <c r="E16" s="1977"/>
      <c r="F16" s="1977"/>
      <c r="G16" s="1978"/>
      <c r="H16" s="1978"/>
      <c r="I16" s="1978"/>
    </row>
    <row r="17" spans="2:5" ht="13.5" customHeight="1" x14ac:dyDescent="0.2">
      <c r="B17" s="1954" t="s">
        <v>1169</v>
      </c>
    </row>
    <row r="18" spans="2:5" ht="13.5" customHeight="1" x14ac:dyDescent="0.2">
      <c r="B18" s="1979" t="s">
        <v>2133</v>
      </c>
      <c r="C18" s="1980" t="s">
        <v>1991</v>
      </c>
      <c r="D18" s="1981">
        <v>2</v>
      </c>
    </row>
    <row r="19" spans="2:5" ht="13.5" customHeight="1" x14ac:dyDescent="0.2">
      <c r="B19" s="1982"/>
      <c r="C19" s="1982"/>
      <c r="D19" s="1982"/>
    </row>
    <row r="20" spans="2:5" ht="13.5" customHeight="1" x14ac:dyDescent="0.2">
      <c r="B20" s="1979" t="s">
        <v>2134</v>
      </c>
      <c r="C20" s="1979"/>
    </row>
    <row r="21" spans="2:5" ht="66.75" customHeight="1" x14ac:dyDescent="0.2">
      <c r="B21" s="2573" t="s">
        <v>2147</v>
      </c>
      <c r="C21" s="2567"/>
      <c r="D21" s="2567"/>
      <c r="E21" s="2567"/>
    </row>
    <row r="22" spans="2:5" ht="13.5" customHeight="1" x14ac:dyDescent="0.2"/>
    <row r="23" spans="2:5" ht="13.5" customHeight="1" x14ac:dyDescent="0.2">
      <c r="B23" s="1979" t="s">
        <v>2136</v>
      </c>
      <c r="C23" s="1979"/>
    </row>
    <row r="24" spans="2:5" ht="76.5" customHeight="1" x14ac:dyDescent="0.2">
      <c r="B24" s="2567" t="s">
        <v>2148</v>
      </c>
      <c r="C24" s="2567"/>
      <c r="D24" s="2567"/>
      <c r="E24" s="2567"/>
    </row>
    <row r="25" spans="2:5" ht="13.5" customHeight="1" x14ac:dyDescent="0.2"/>
    <row r="26" spans="2:5" ht="13.5" customHeight="1" x14ac:dyDescent="0.2">
      <c r="B26" s="1979" t="s">
        <v>2138</v>
      </c>
      <c r="C26" s="1979"/>
      <c r="E26" s="1992" t="s">
        <v>2139</v>
      </c>
    </row>
    <row r="27" spans="2:5" ht="13.5" customHeight="1" x14ac:dyDescent="0.2"/>
    <row r="28" spans="2:5" ht="13.5" customHeight="1" x14ac:dyDescent="0.2">
      <c r="B28" s="1979" t="s">
        <v>2140</v>
      </c>
      <c r="C28" s="1979"/>
      <c r="E28" s="1984" t="s">
        <v>2145</v>
      </c>
    </row>
    <row r="29" spans="2:5" ht="13.5" customHeight="1" x14ac:dyDescent="0.2"/>
    <row r="30" spans="2:5" ht="13.5" customHeight="1" x14ac:dyDescent="0.2">
      <c r="B30" s="1979" t="s">
        <v>2141</v>
      </c>
      <c r="C30" s="1979"/>
      <c r="E30" s="1984" t="s">
        <v>2149</v>
      </c>
    </row>
    <row r="31" spans="2:5" ht="13.5" customHeight="1" x14ac:dyDescent="0.2">
      <c r="E31" s="1984" t="s">
        <v>2150</v>
      </c>
    </row>
    <row r="32" spans="2:5" ht="13.5" customHeight="1" x14ac:dyDescent="0.2">
      <c r="E32" s="1954" t="s">
        <v>2151</v>
      </c>
    </row>
    <row r="33" spans="2:4" ht="13.5" customHeight="1" x14ac:dyDescent="0.2"/>
    <row r="34" spans="2:4" ht="13.5" customHeight="1" x14ac:dyDescent="0.2"/>
    <row r="35" spans="2:4" ht="13.5" customHeight="1" x14ac:dyDescent="0.2"/>
    <row r="36" spans="2:4" ht="13.5" customHeight="1" x14ac:dyDescent="0.2"/>
    <row r="37" spans="2:4" ht="13.5" customHeight="1" x14ac:dyDescent="0.2">
      <c r="B37" s="1986"/>
      <c r="C37" s="1986"/>
      <c r="D37" s="1986"/>
    </row>
    <row r="38" spans="2:4" ht="13.5" customHeight="1" x14ac:dyDescent="0.2"/>
    <row r="39" spans="2:4" ht="13.5" customHeight="1" x14ac:dyDescent="0.2">
      <c r="B39" s="1986"/>
      <c r="C39" s="1986"/>
      <c r="D39" s="1986"/>
    </row>
    <row r="40" spans="2:4" ht="13.5" customHeight="1" x14ac:dyDescent="0.2">
      <c r="B40" s="1986"/>
      <c r="C40" s="1986"/>
      <c r="D40" s="1986"/>
    </row>
    <row r="41" spans="2:4" ht="13.5" customHeight="1" x14ac:dyDescent="0.2">
      <c r="B41" s="1986"/>
      <c r="C41" s="1986"/>
      <c r="D41" s="1986"/>
    </row>
    <row r="42" spans="2:4" ht="13.5" customHeight="1" x14ac:dyDescent="0.2">
      <c r="B42" s="1986"/>
      <c r="C42" s="1986"/>
      <c r="D42" s="1986"/>
    </row>
    <row r="43" spans="2:4" ht="12.2" customHeight="1" x14ac:dyDescent="0.2">
      <c r="B43" s="1989"/>
      <c r="C43" s="1989"/>
      <c r="D43" s="1989"/>
    </row>
    <row r="44" spans="2:4" ht="12.75" customHeight="1" x14ac:dyDescent="0.2">
      <c r="B44" s="1979"/>
      <c r="C44" s="1979"/>
      <c r="D44" s="1979"/>
    </row>
    <row r="45" spans="2:4" ht="12.75" customHeight="1" x14ac:dyDescent="0.2">
      <c r="B45" s="1979"/>
      <c r="C45" s="1979"/>
      <c r="D45" s="1979"/>
    </row>
    <row r="46" spans="2:4" x14ac:dyDescent="0.2">
      <c r="B46" s="1979"/>
      <c r="C46" s="1979"/>
      <c r="D46" s="1979"/>
    </row>
    <row r="47" spans="2:4" x14ac:dyDescent="0.2">
      <c r="B47" s="1979"/>
      <c r="C47" s="1979"/>
      <c r="D47" s="1979"/>
    </row>
    <row r="51" spans="2:4" x14ac:dyDescent="0.2">
      <c r="B51" s="1990"/>
      <c r="C51" s="1990"/>
      <c r="D51" s="1990"/>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91"/>
      <c r="C64" s="1991"/>
      <c r="D64" s="1991"/>
    </row>
    <row r="65" spans="2:4" x14ac:dyDescent="0.2">
      <c r="B65" s="1979"/>
      <c r="C65" s="1979"/>
      <c r="D65" s="1979"/>
    </row>
    <row r="66" spans="2:4" x14ac:dyDescent="0.2">
      <c r="B66" s="1979"/>
      <c r="C66" s="1979"/>
      <c r="D66" s="1979"/>
    </row>
    <row r="67" spans="2:4" x14ac:dyDescent="0.2">
      <c r="B67" s="1991"/>
      <c r="C67" s="1991"/>
      <c r="D67" s="1991"/>
    </row>
    <row r="68" spans="2:4" x14ac:dyDescent="0.2">
      <c r="B68" s="1991"/>
      <c r="C68" s="1991"/>
      <c r="D68" s="1991"/>
    </row>
    <row r="69" spans="2:4" x14ac:dyDescent="0.2">
      <c r="B69" s="1991"/>
      <c r="C69" s="1991"/>
      <c r="D69" s="1991"/>
    </row>
    <row r="70" spans="2:4" x14ac:dyDescent="0.2">
      <c r="B70" s="1979"/>
      <c r="C70" s="1979"/>
      <c r="D70" s="1979"/>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L70"/>
  <sheetViews>
    <sheetView showGridLines="0" zoomScale="110" zoomScaleNormal="110" zoomScaleSheetLayoutView="100" workbookViewId="0"/>
  </sheetViews>
  <sheetFormatPr defaultColWidth="9.140625" defaultRowHeight="12.75" x14ac:dyDescent="0.2"/>
  <cols>
    <col min="1" max="1" width="1.5703125" style="1994" customWidth="1"/>
    <col min="2" max="2" width="11.28515625" style="1994" customWidth="1"/>
    <col min="3" max="3" width="6.42578125" style="1994" customWidth="1"/>
    <col min="4" max="4" width="5.42578125" style="1994" customWidth="1"/>
    <col min="5" max="5" width="74.7109375" style="1994" customWidth="1"/>
    <col min="6" max="6" width="1.5703125" style="1994" customWidth="1"/>
    <col min="7" max="8" width="2.42578125" style="1994" customWidth="1"/>
    <col min="9" max="9" width="9.28515625" style="1994" customWidth="1"/>
    <col min="10" max="10" width="14.42578125" style="1994" customWidth="1"/>
    <col min="11" max="11" width="7.28515625" style="1994" customWidth="1"/>
    <col min="12" max="12" width="3.140625" style="1994" customWidth="1"/>
    <col min="13" max="16384" width="9.140625" style="1994"/>
  </cols>
  <sheetData>
    <row r="1" spans="2:12" ht="13.5" customHeight="1" x14ac:dyDescent="0.2">
      <c r="B1" s="2575" t="str">
        <f>COVER!A17</f>
        <v>Morrison CUSD 6</v>
      </c>
      <c r="C1" s="2575"/>
      <c r="D1" s="2575"/>
      <c r="E1" s="2575"/>
      <c r="F1" s="1993"/>
      <c r="G1" s="1993"/>
      <c r="H1" s="1993"/>
      <c r="I1" s="1993"/>
      <c r="J1" s="1993"/>
      <c r="K1" s="1993"/>
      <c r="L1" s="1993"/>
    </row>
    <row r="2" spans="2:12" ht="13.5" customHeight="1" x14ac:dyDescent="0.2">
      <c r="B2" s="2576">
        <f>SSPAF!B2</f>
        <v>47098006026</v>
      </c>
      <c r="C2" s="2576"/>
      <c r="D2" s="2576"/>
      <c r="E2" s="2576"/>
      <c r="F2" s="1995"/>
      <c r="G2" s="1995"/>
      <c r="H2" s="1995"/>
      <c r="I2" s="1995"/>
      <c r="J2" s="1995"/>
      <c r="K2" s="1995"/>
      <c r="L2" s="1995"/>
    </row>
    <row r="3" spans="2:12" ht="13.5" customHeight="1" x14ac:dyDescent="0.2">
      <c r="B3" s="2577" t="s">
        <v>2131</v>
      </c>
      <c r="C3" s="2577"/>
      <c r="D3" s="2577"/>
      <c r="E3" s="2577"/>
      <c r="F3" s="1996"/>
      <c r="G3" s="1996"/>
      <c r="H3" s="1996"/>
      <c r="I3" s="1996"/>
      <c r="J3" s="1996"/>
      <c r="K3" s="1996"/>
      <c r="L3" s="1996"/>
    </row>
    <row r="4" spans="2:12" ht="13.5" customHeight="1" x14ac:dyDescent="0.2">
      <c r="B4" s="2578" t="s">
        <v>1989</v>
      </c>
      <c r="C4" s="2578"/>
      <c r="D4" s="2578"/>
      <c r="E4" s="2578"/>
      <c r="F4" s="1997"/>
      <c r="G4" s="1997"/>
      <c r="H4" s="1997"/>
      <c r="I4" s="1997"/>
      <c r="J4" s="1997"/>
      <c r="K4" s="1997"/>
      <c r="L4" s="1997"/>
    </row>
    <row r="5" spans="2:12" ht="29.85" customHeight="1" x14ac:dyDescent="0.2"/>
    <row r="6" spans="2:12" ht="13.5" customHeight="1" x14ac:dyDescent="0.2">
      <c r="B6" s="1998" t="s">
        <v>2132</v>
      </c>
      <c r="C6" s="1998"/>
      <c r="D6" s="1999"/>
      <c r="E6" s="2000"/>
      <c r="F6" s="2000"/>
      <c r="G6" s="2001"/>
      <c r="H6" s="2001"/>
      <c r="I6" s="2001"/>
    </row>
    <row r="7" spans="2:12" ht="13.5" customHeight="1" x14ac:dyDescent="0.2">
      <c r="B7" s="1994" t="s">
        <v>1169</v>
      </c>
    </row>
    <row r="8" spans="2:12" ht="13.5" customHeight="1" x14ac:dyDescent="0.2">
      <c r="B8" s="2002" t="s">
        <v>2133</v>
      </c>
      <c r="C8" s="2003" t="s">
        <v>1991</v>
      </c>
      <c r="D8" s="2004">
        <v>3</v>
      </c>
    </row>
    <row r="9" spans="2:12" ht="13.5" customHeight="1" x14ac:dyDescent="0.2">
      <c r="B9" s="2005"/>
      <c r="C9" s="2005"/>
      <c r="D9" s="2005"/>
    </row>
    <row r="10" spans="2:12" ht="13.5" customHeight="1" x14ac:dyDescent="0.2">
      <c r="B10" s="2002" t="s">
        <v>2134</v>
      </c>
      <c r="C10" s="2002"/>
    </row>
    <row r="11" spans="2:12" ht="66.75" customHeight="1" x14ac:dyDescent="0.2">
      <c r="B11" s="2574" t="s">
        <v>2155</v>
      </c>
      <c r="C11" s="2574"/>
      <c r="D11" s="2574"/>
      <c r="E11" s="2574"/>
    </row>
    <row r="12" spans="2:12" ht="13.5" customHeight="1" x14ac:dyDescent="0.2"/>
    <row r="13" spans="2:12" ht="13.5" customHeight="1" x14ac:dyDescent="0.2">
      <c r="B13" s="2002" t="s">
        <v>2136</v>
      </c>
      <c r="C13" s="2002"/>
    </row>
    <row r="14" spans="2:12" ht="76.5" customHeight="1" x14ac:dyDescent="0.2">
      <c r="B14" s="2574" t="s">
        <v>2152</v>
      </c>
      <c r="C14" s="2574"/>
      <c r="D14" s="2574"/>
      <c r="E14" s="2574"/>
    </row>
    <row r="15" spans="2:12" ht="13.5" customHeight="1" x14ac:dyDescent="0.2"/>
    <row r="16" spans="2:12" ht="13.5" customHeight="1" x14ac:dyDescent="0.2">
      <c r="B16" s="2002" t="s">
        <v>2138</v>
      </c>
      <c r="C16" s="2002"/>
      <c r="E16" s="2006" t="s">
        <v>2139</v>
      </c>
    </row>
    <row r="17" spans="2:5" ht="13.5" customHeight="1" x14ac:dyDescent="0.2"/>
    <row r="18" spans="2:5" ht="13.5" customHeight="1" x14ac:dyDescent="0.2">
      <c r="B18" s="2002" t="s">
        <v>2140</v>
      </c>
      <c r="C18" s="2002"/>
      <c r="E18" s="2007" t="s">
        <v>2145</v>
      </c>
    </row>
    <row r="19" spans="2:5" ht="13.5" customHeight="1" x14ac:dyDescent="0.2"/>
    <row r="20" spans="2:5" ht="13.5" customHeight="1" x14ac:dyDescent="0.2">
      <c r="B20" s="2002" t="s">
        <v>2141</v>
      </c>
      <c r="C20" s="2002"/>
      <c r="E20" s="2007" t="s">
        <v>2153</v>
      </c>
    </row>
    <row r="21" spans="2:5" ht="13.5" customHeight="1" x14ac:dyDescent="0.2">
      <c r="E21" s="2007" t="s">
        <v>2154</v>
      </c>
    </row>
    <row r="22" spans="2:5" ht="13.5" customHeight="1" x14ac:dyDescent="0.2">
      <c r="E22" s="2007"/>
    </row>
    <row r="23" spans="2:5" ht="13.5" customHeight="1" x14ac:dyDescent="0.2"/>
    <row r="24" spans="2:5" ht="13.5" customHeight="1" x14ac:dyDescent="0.2"/>
    <row r="25" spans="2:5" ht="13.5" customHeight="1" x14ac:dyDescent="0.2">
      <c r="B25" s="2008"/>
      <c r="C25" s="2008"/>
      <c r="D25" s="2008"/>
    </row>
    <row r="26" spans="2:5" ht="13.5" customHeight="1" x14ac:dyDescent="0.2">
      <c r="B26" s="2008"/>
      <c r="C26" s="2008"/>
      <c r="D26" s="2008"/>
    </row>
    <row r="27" spans="2:5" ht="13.5" customHeight="1" x14ac:dyDescent="0.2">
      <c r="B27" s="2008"/>
      <c r="C27" s="2008"/>
      <c r="D27" s="2008"/>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09"/>
      <c r="C35" s="2009"/>
      <c r="D35" s="2009"/>
    </row>
    <row r="36" spans="2:5" ht="13.5" customHeight="1" x14ac:dyDescent="0.2"/>
    <row r="37" spans="2:5" ht="13.5" customHeight="1" x14ac:dyDescent="0.2">
      <c r="B37" s="2009"/>
      <c r="C37" s="2009"/>
      <c r="D37" s="2009"/>
    </row>
    <row r="38" spans="2:5" ht="13.5" customHeight="1" x14ac:dyDescent="0.2">
      <c r="B38" s="2009"/>
      <c r="C38" s="2009"/>
      <c r="D38" s="2009"/>
    </row>
    <row r="39" spans="2:5" ht="13.5" customHeight="1" x14ac:dyDescent="0.2">
      <c r="B39" s="2009"/>
      <c r="C39" s="2009"/>
      <c r="D39" s="2009"/>
    </row>
    <row r="40" spans="2:5" ht="13.5" customHeight="1" x14ac:dyDescent="0.2">
      <c r="B40" s="2009"/>
      <c r="C40" s="2009"/>
      <c r="D40" s="2009"/>
    </row>
    <row r="41" spans="2:5" ht="13.5" customHeight="1" x14ac:dyDescent="0.2">
      <c r="B41" s="2010"/>
      <c r="C41" s="2010"/>
      <c r="D41" s="2010"/>
      <c r="E41" s="2010"/>
    </row>
    <row r="42" spans="2:5" ht="12.2" customHeight="1" x14ac:dyDescent="0.2">
      <c r="B42" s="2011" t="s">
        <v>2144</v>
      </c>
      <c r="C42" s="2011"/>
      <c r="D42" s="2011"/>
    </row>
    <row r="43" spans="2:5" ht="12.2" customHeight="1" x14ac:dyDescent="0.2">
      <c r="B43" s="2012"/>
      <c r="C43" s="2012"/>
      <c r="D43" s="2012"/>
    </row>
    <row r="44" spans="2:5" ht="12.75" customHeight="1" x14ac:dyDescent="0.2">
      <c r="B44" s="2002"/>
      <c r="C44" s="2002"/>
      <c r="D44" s="2002"/>
    </row>
    <row r="45" spans="2:5" ht="12.75" customHeight="1" x14ac:dyDescent="0.2">
      <c r="B45" s="2002"/>
      <c r="C45" s="2002"/>
      <c r="D45" s="2002"/>
    </row>
    <row r="46" spans="2:5" x14ac:dyDescent="0.2">
      <c r="B46" s="2002"/>
      <c r="C46" s="2002"/>
      <c r="D46" s="2002"/>
    </row>
    <row r="47" spans="2:5" x14ac:dyDescent="0.2">
      <c r="B47" s="2002"/>
      <c r="C47" s="2002"/>
      <c r="D47" s="2002"/>
    </row>
    <row r="51" spans="2:4" x14ac:dyDescent="0.2">
      <c r="B51" s="2013"/>
      <c r="C51" s="2013"/>
      <c r="D51" s="2013"/>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14"/>
      <c r="C64" s="2014"/>
      <c r="D64" s="2014"/>
    </row>
    <row r="65" spans="2:4" x14ac:dyDescent="0.2">
      <c r="B65" s="2002"/>
      <c r="C65" s="2002"/>
      <c r="D65" s="2002"/>
    </row>
    <row r="66" spans="2:4" x14ac:dyDescent="0.2">
      <c r="B66" s="2002"/>
      <c r="C66" s="2002"/>
      <c r="D66" s="2002"/>
    </row>
    <row r="67" spans="2:4" x14ac:dyDescent="0.2">
      <c r="B67" s="2014"/>
      <c r="C67" s="2014"/>
      <c r="D67" s="2014"/>
    </row>
    <row r="68" spans="2:4" x14ac:dyDescent="0.2">
      <c r="B68" s="2014"/>
      <c r="C68" s="2014"/>
      <c r="D68" s="2014"/>
    </row>
    <row r="69" spans="2:4" x14ac:dyDescent="0.2">
      <c r="B69" s="2014"/>
      <c r="C69" s="2014"/>
      <c r="D69" s="2014"/>
    </row>
    <row r="70" spans="2:4" x14ac:dyDescent="0.2">
      <c r="B70" s="2002"/>
      <c r="C70" s="2002"/>
      <c r="D70" s="2002"/>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4d435f69-8686-490b-bd6d-b153bf22ab50"/>
    <ds:schemaRef ds:uri="d21dc803-237d-4c68-8692-8d731fd29118"/>
    <ds:schemaRef ds:uri="6ce3111e-7420-4802-b50a-75d4e9a0b980"/>
    <ds:schemaRef ds:uri="http://purl.org/dc/dcmitype/"/>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16</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Finding 2019-001</vt:lpstr>
      <vt:lpstr>Finding 2019-002</vt:lpstr>
      <vt:lpstr>Finding 2019-003</vt:lpstr>
      <vt:lpstr>SF&amp;QC Sec-3</vt:lpstr>
      <vt:lpstr>SSPAF</vt:lpstr>
      <vt:lpstr>CAP 2019-001</vt:lpstr>
      <vt:lpstr>CAP 2019-002</vt:lpstr>
      <vt:lpstr>CAP 2019-003</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2019-09-30T13:39:33Z</cp:lastPrinted>
  <dcterms:created xsi:type="dcterms:W3CDTF">2003-10-29T19:06:34Z</dcterms:created>
  <dcterms:modified xsi:type="dcterms:W3CDTF">2019-11-20T15:43:52Z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