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F25B2CB-A009-4F66-B7DD-8DEB53F16B4F}" xr6:coauthVersionLast="36" xr6:coauthVersionMax="36" xr10:uidLastSave="{00000000-0000-0000-0000-000000000000}"/>
  <bookViews>
    <workbookView xWindow="2037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1" i="127" l="1"/>
  <c r="G37" i="127"/>
  <c r="G27" i="127"/>
  <c r="G21" i="127"/>
  <c r="G13" i="12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7761" i="106"/>
  <c r="D7761" i="106" s="1"/>
  <c r="L127" i="29"/>
  <c r="L129" i="29" s="1"/>
  <c r="L139" i="29"/>
  <c r="L149" i="29"/>
  <c r="I7" i="145"/>
  <c r="I6" i="145"/>
  <c r="D78" i="36"/>
  <c r="K75" i="29"/>
  <c r="K130" i="29"/>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2" i="127"/>
  <c r="B63" i="127"/>
  <c r="E26" i="108"/>
  <c r="E27" i="108"/>
  <c r="G27" i="108"/>
  <c r="E28" i="108"/>
  <c r="F28" i="108"/>
  <c r="F36" i="108"/>
  <c r="F37" i="108"/>
  <c r="G28" i="108"/>
  <c r="E30" i="108"/>
  <c r="G30" i="108"/>
  <c r="D31" i="108"/>
  <c r="D36" i="108"/>
  <c r="D37"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C57" i="34"/>
  <c r="D57" i="34"/>
  <c r="C61" i="34"/>
  <c r="C62" i="34"/>
  <c r="F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22" i="37"/>
  <c r="J22" i="37"/>
  <c r="L5" i="11"/>
  <c r="B2056" i="106" s="1"/>
  <c r="D2056" i="106" s="1"/>
  <c r="B5752" i="106"/>
  <c r="D5752" i="106" s="1"/>
  <c r="D9" i="7" l="1"/>
  <c r="B1767" i="106" s="1"/>
  <c r="D1767" i="106" s="1"/>
  <c r="H342" i="29"/>
  <c r="J41" i="3"/>
  <c r="B3254" i="106"/>
  <c r="D3254" i="106" s="1"/>
  <c r="G39" i="108"/>
  <c r="F27" i="108"/>
  <c r="D26" i="108"/>
  <c r="F26" i="108"/>
  <c r="F34" i="34"/>
  <c r="G14" i="4"/>
  <c r="B2609" i="106" s="1"/>
  <c r="D2609" i="106" s="1"/>
  <c r="F71" i="34"/>
  <c r="F56" i="34"/>
  <c r="F37" i="34"/>
  <c r="E29" i="108"/>
  <c r="C342" i="29"/>
  <c r="B7216" i="106" s="1"/>
  <c r="D7216" i="106" s="1"/>
  <c r="H365" i="29"/>
  <c r="B7242" i="106" s="1"/>
  <c r="D7242" i="106" s="1"/>
  <c r="B2805" i="106"/>
  <c r="D2805" i="106" s="1"/>
  <c r="B2734" i="106"/>
  <c r="D2734" i="106" s="1"/>
  <c r="I24" i="12"/>
  <c r="B1996" i="106" s="1"/>
  <c r="D1996" i="106" s="1"/>
  <c r="K28" i="118"/>
  <c r="O27" i="118" s="1"/>
  <c r="O29" i="118" s="1"/>
  <c r="L342" i="29"/>
  <c r="B4268" i="106"/>
  <c r="D4268" i="106" s="1"/>
  <c r="F36" i="34"/>
  <c r="D69" i="36"/>
  <c r="K184" i="29"/>
  <c r="F13" i="4" s="1"/>
  <c r="B2596" i="106" s="1"/>
  <c r="D2596" i="106" s="1"/>
  <c r="G210" i="29"/>
  <c r="G15" i="145"/>
  <c r="D17" i="7"/>
  <c r="B4104" i="106" s="1"/>
  <c r="D4104" i="106" s="1"/>
  <c r="D24" i="37"/>
  <c r="B4270" i="106" s="1"/>
  <c r="D4270" i="106" s="1"/>
  <c r="D11" i="37"/>
  <c r="F72" i="34"/>
  <c r="G35" i="108"/>
  <c r="D54" i="36"/>
  <c r="B6289" i="106"/>
  <c r="D6289" i="106" s="1"/>
  <c r="J77" i="4"/>
  <c r="B6262" i="106" s="1"/>
  <c r="D6262" i="106" s="1"/>
  <c r="K41" i="3"/>
  <c r="C129" i="29"/>
  <c r="B1225" i="106" s="1"/>
  <c r="D1225"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G170" i="5" l="1"/>
  <c r="L16" i="11"/>
  <c r="B2061" i="106" s="1"/>
  <c r="D2061" i="106" s="1"/>
  <c r="C114" i="29"/>
  <c r="B757" i="106" s="1"/>
  <c r="D757" i="106" s="1"/>
  <c r="B5527" i="106"/>
  <c r="D5527" i="106" s="1"/>
  <c r="D7256" i="106"/>
  <c r="D7251" i="106"/>
  <c r="L114" i="29"/>
  <c r="I26" i="12"/>
  <c r="B7741" i="106" s="1"/>
  <c r="D7741" i="106" s="1"/>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5778" i="106" l="1"/>
  <c r="D5778" i="106" s="1"/>
  <c r="G6" i="4"/>
  <c r="B2604" i="106" s="1"/>
  <c r="D2604"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J20" i="4"/>
  <c r="J19" i="4"/>
  <c r="B6229" i="106" s="1"/>
  <c r="D6229"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<sst xmlns="http://schemas.openxmlformats.org/spreadsheetml/2006/main" count="5115" uniqueCount="2134">
  <si>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</si>
  <si>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</si>
  <si>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</si>
  <si>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</si>
  <si>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</si>
  <si>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</si>
  <si>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</si>
  <si>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</si>
  <si>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</si>
  <si>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</si>
  <si>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</si>
  <si>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</si>
  <si>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</si>
  <si>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</si>
  <si>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</si>
  <si>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</si>
  <si>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</si>
  <si>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</si>
  <si>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</si>
  <si>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</si>
  <si>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</si>
  <si>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</si>
  <si>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</si>
  <si>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</si>
  <si>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</si>
  <si>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</si>
  <si>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</si>
  <si>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</si>
  <si>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</si>
  <si>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</si>
  <si>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</si>
  <si>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</si>
  <si>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</si>
  <si>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</si>
  <si>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</si>
  <si>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</si>
  <si>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</si>
  <si>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</si>
  <si>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</si>
  <si>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</si>
  <si>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</si>
  <si>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</si>
  <si>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</si>
  <si>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</si>
  <si>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</si>
  <si>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</si>
  <si>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</si>
  <si>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</si>
  <si>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</si>
  <si>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</si>
  <si>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</si>
  <si>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</si>
  <si>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</si>
  <si>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</si>
  <si>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</si>
  <si>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</si>
  <si>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</si>
  <si>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</si>
  <si>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</si>
  <si>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</si>
  <si>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</si>
  <si>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</si>
  <si>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</si>
  <si>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</si>
  <si>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</si>
  <si>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</si>
  <si>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</si>
  <si>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</si>
  <si>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</si>
  <si>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</si>
  <si>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</si>
  <si>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</si>
  <si>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</si>
  <si>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</si>
  <si>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</si>
  <si>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</si>
  <si>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</si>
  <si>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</si>
  <si>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</si>
  <si>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</si>
  <si>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</si>
  <si>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</si>
  <si>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</si>
  <si>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</si>
  <si>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</si>
  <si>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</si>
  <si>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</si>
  <si>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</si>
  <si>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</si>
  <si>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</si>
  <si>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</si>
  <si>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</si>
  <si>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</si>
  <si>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</si>
  <si>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</si>
  <si>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</si>
  <si>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</si>
  <si>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</si>
  <si>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</si>
  <si>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</si>
  <si>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</si>
  <si>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</si>
  <si>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</si>
  <si>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</si>
  <si>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</si>
  <si>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</si>
  <si>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</si>
  <si>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</si>
  <si>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</si>
  <si>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</si>
  <si>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</si>
  <si>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</si>
  <si>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</si>
  <si>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</si>
  <si>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</si>
  <si>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</si>
  <si>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</si>
  <si>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</si>
  <si>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</si>
  <si>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</si>
  <si>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</si>
  <si>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</si>
  <si>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</si>
  <si>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</si>
  <si>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</si>
  <si>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</si>
  <si>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</si>
  <si>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</si>
  <si>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</si>
  <si>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</si>
  <si>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</si>
  <si>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</si>
  <si>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</si>
  <si>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</si>
  <si>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</si>
  <si>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</si>
  <si>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</si>
  <si>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</si>
  <si>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</si>
  <si>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</si>
  <si>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</si>
  <si>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</si>
  <si>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</si>
  <si>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</si>
  <si>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</si>
  <si>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</si>
  <si>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</si>
  <si>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</si>
  <si>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</si>
  <si>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</si>
  <si>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</si>
  <si>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</si>
  <si>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</si>
  <si>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</si>
  <si>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</si>
  <si>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</si>
  <si>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</si>
  <si>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</si>
  <si>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</si>
  <si>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</si>
  <si>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</si>
  <si>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</si>
  <si>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</si>
  <si>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</si>
  <si>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</si>
  <si>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</si>
  <si>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</si>
  <si>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</si>
  <si>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</si>
  <si>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</si>
  <si>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</si>
  <si>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</si>
  <si>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</si>
  <si>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</si>
  <si>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</si>
  <si>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</si>
  <si>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</si>
  <si>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</si>
  <si>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</si>
  <si>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</si>
  <si>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</si>
  <si>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</si>
  <si>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</si>
  <si>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</si>
  <si>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</si>
  <si>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</si>
  <si>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</si>
  <si>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</si>
  <si>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</si>
  <si>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</si>
  <si>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</si>
  <si>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</si>
  <si>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</si>
  <si>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</si>
  <si>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</si>
  <si>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</si>
  <si>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</si>
  <si>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</si>
  <si>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</si>
  <si>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</si>
  <si>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</si>
  <si>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</si>
  <si>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</si>
  <si>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</si>
  <si>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</si>
  <si>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</si>
  <si>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</si>
  <si>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</si>
  <si>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</si>
  <si>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</si>
  <si>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</si>
  <si>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</si>
  <si>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</si>
  <si>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</si>
  <si>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</si>
  <si>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</si>
  <si>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</si>
  <si>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</si>
  <si>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</si>
  <si>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</si>
  <si>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</si>
  <si>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</si>
  <si>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</si>
  <si>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</si>
  <si>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</si>
  <si>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</si>
  <si>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</si>
  <si>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</si>
  <si>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</si>
  <si>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</si>
  <si>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</si>
  <si>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</si>
  <si>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</si>
  <si>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</si>
  <si>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</si>
  <si>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</si>
  <si>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</si>
  <si>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</si>
  <si>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</si>
  <si>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</si>
  <si>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</si>
  <si>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</si>
  <si>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</si>
  <si>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</si>
  <si>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</si>
  <si>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</si>
  <si>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</si>
  <si>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</si>
  <si>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</si>
  <si>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</si>
  <si>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</si>
  <si>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</si>
  <si>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</si>
  <si>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</si>
  <si>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</si>
  <si>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</si>
  <si>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</si>
  <si>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</si>
  <si>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</si>
  <si>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</si>
  <si>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</si>
  <si>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</si>
  <si>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</si>
  <si>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</si>
  <si>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</si>
  <si>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</si>
  <si>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</si>
  <si>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</si>
  <si>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</si>
  <si>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</si>
  <si>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</si>
  <si>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</si>
  <si>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</si>
  <si>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</si>
  <si>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</si>
  <si>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</si>
  <si>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</si>
  <si>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</si>
  <si>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</si>
  <si>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</si>
  <si>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</si>
  <si>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</si>
  <si>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</si>
  <si>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</si>
  <si>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</si>
  <si>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</si>
  <si>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</si>
  <si>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</si>
  <si>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</si>
  <si>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</si>
  <si>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</si>
  <si>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</si>
  <si>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</si>
  <si>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</si>
  <si>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</si>
  <si>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</si>
  <si>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</si>
  <si>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</si>
  <si>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</si>
  <si>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</si>
  <si>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</si>
  <si>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</si>
  <si>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</si>
  <si>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</si>
  <si>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</si>
  <si>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</si>
  <si>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</si>
  <si>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</si>
  <si>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</si>
  <si>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</si>
  <si>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</si>
  <si>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</si>
  <si>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</si>
  <si>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</si>
  <si>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</si>
  <si>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</si>
  <si>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</si>
  <si>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</si>
  <si>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</si>
  <si>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</si>
  <si>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</si>
  <si>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</si>
  <si>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</si>
  <si>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</si>
  <si>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</si>
  <si>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</si>
  <si>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</si>
  <si>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</si>
  <si>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</si>
  <si>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</si>
  <si>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</si>
  <si>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</si>
  <si>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</si>
  <si>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</si>
  <si>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</si>
  <si>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</si>
  <si>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</si>
  <si>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</si>
  <si>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</si>
  <si>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</si>
  <si>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</si>
  <si>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</si>
  <si>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</si>
  <si>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</si>
  <si>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</si>
  <si>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</si>
  <si>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</si>
  <si>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</si>
  <si>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</si>
  <si>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</si>
  <si>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</si>
  <si>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</si>
  <si>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</si>
  <si>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</si>
  <si>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</si>
  <si>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</si>
  <si>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</si>
  <si>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</si>
  <si>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</si>
  <si>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</si>
  <si>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</si>
  <si>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</si>
  <si>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</si>
  <si>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</si>
  <si>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</si>
  <si>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</si>
  <si>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</si>
  <si>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</si>
  <si>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</si>
  <si>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</si>
  <si>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</si>
  <si>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</si>
  <si>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</si>
  <si>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</si>
  <si>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</si>
  <si>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</si>
  <si>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</si>
  <si>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</si>
  <si>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</si>
  <si>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</si>
  <si>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</si>
  <si>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</si>
  <si>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</si>
  <si>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</si>
  <si>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</si>
  <si>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</si>
  <si>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</si>
  <si>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</si>
  <si>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</si>
  <si>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</si>
  <si>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</si>
  <si>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</si>
  <si>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</si>
  <si>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</si>
  <si>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</si>
  <si>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</si>
  <si>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</si>
  <si>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</si>
  <si>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</si>
  <si>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</si>
  <si>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</si>
  <si>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</si>
  <si>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</si>
  <si>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</si>
  <si>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</si>
  <si>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</si>
  <si>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</si>
  <si>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</si>
  <si>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</si>
  <si>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</si>
  <si>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</si>
  <si>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</si>
  <si>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</si>
  <si>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</si>
  <si>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</si>
  <si>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</si>
  <si>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</si>
  <si>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</si>
  <si>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</si>
  <si>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</si>
  <si>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</si>
  <si>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</si>
  <si>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</si>
  <si>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</si>
  <si>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</si>
  <si>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</si>
  <si>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</si>
  <si>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</si>
  <si>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</si>
  <si>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</si>
  <si>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</si>
  <si>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</si>
  <si>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</si>
  <si>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</si>
  <si>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</si>
  <si>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</si>
  <si>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</si>
  <si>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</si>
  <si>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</si>
  <si>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</si>
  <si>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</si>
  <si>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</si>
  <si>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</si>
  <si>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</si>
  <si>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</si>
  <si>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</si>
  <si>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</si>
  <si>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</si>
  <si>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</si>
  <si>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</si>
  <si>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</si>
  <si>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</si>
  <si>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</si>
  <si>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</si>
  <si>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</si>
  <si>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</si>
  <si>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</si>
  <si>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</si>
  <si>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</si>
  <si>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</si>
  <si>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</si>
  <si>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</si>
  <si>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</si>
  <si>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</si>
  <si>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</si>
  <si>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</si>
  <si>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</si>
  <si>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</si>
  <si>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</si>
  <si>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</si>
  <si>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</si>
  <si>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</si>
  <si>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</si>
  <si>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</si>
  <si>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</si>
  <si>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</si>
  <si>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</si>
  <si>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</si>
  <si>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</si>
  <si>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</si>
  <si>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</si>
  <si>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</si>
  <si>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</si>
  <si>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</si>
  <si>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</si>
  <si>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</si>
  <si>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</si>
  <si>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</si>
  <si>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</si>
  <si>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</si>
  <si>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</si>
  <si>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</si>
  <si>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</si>
  <si>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</si>
  <si>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</si>
  <si>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</si>
  <si>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</si>
  <si>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</si>
  <si>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</si>
  <si>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</si>
  <si>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</si>
  <si>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</si>
  <si>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</si>
  <si>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</si>
  <si>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</si>
  <si>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</si>
  <si>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</si>
  <si>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</si>
  <si>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</si>
  <si>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</si>
  <si>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</si>
  <si>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</si>
  <si>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</si>
  <si>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</si>
  <si>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</si>
  <si>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</si>
  <si>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</si>
  <si>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</si>
  <si>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</si>
  <si>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</si>
  <si>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</si>
  <si>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</si>
  <si>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</si>
  <si>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</si>
  <si>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</si>
  <si>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</si>
  <si>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</si>
  <si>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</si>
  <si>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</si>
  <si>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</si>
  <si>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</si>
  <si>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</si>
  <si>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</si>
  <si>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</si>
  <si>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</si>
  <si>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</si>
  <si>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</si>
  <si>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</si>
  <si>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</si>
  <si>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</si>
  <si>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</si>
  <si>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</si>
  <si>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</si>
  <si>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</si>
  <si>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</si>
  <si>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</si>
  <si>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</si>
  <si>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</si>
  <si>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</si>
  <si>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</si>
  <si>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</si>
  <si>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</si>
  <si>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</si>
  <si>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</si>
  <si>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</si>
  <si>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</si>
  <si>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</si>
  <si>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</si>
  <si>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</si>
  <si>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</si>
  <si>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</si>
  <si>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</si>
  <si>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</si>
  <si>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</si>
  <si>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</si>
  <si>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</si>
  <si>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</si>
  <si>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</si>
  <si>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</si>
  <si>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</si>
  <si>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</si>
  <si>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</si>
  <si>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</si>
  <si>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</si>
  <si>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</si>
  <si>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</si>
  <si>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</si>
  <si>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</si>
  <si>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</si>
  <si>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</si>
  <si>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</si>
  <si>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</si>
  <si>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</si>
  <si>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</si>
  <si>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</si>
  <si>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</si>
  <si>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</si>
  <si>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</si>
  <si>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</si>
  <si>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</si>
  <si>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</si>
  <si>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</si>
  <si>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</si>
  <si>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</si>
  <si>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</si>
  <si>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</si>
  <si>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</si>
  <si>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</si>
  <si>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</si>
  <si>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</si>
  <si>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</si>
  <si>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</si>
  <si>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</si>
  <si>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</si>
  <si>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</si>
  <si>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</si>
  <si>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</si>
  <si>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</si>
  <si>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</si>
  <si>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</si>
  <si>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</si>
  <si>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</si>
  <si>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</si>
  <si>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</si>
  <si>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</si>
  <si>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</si>
  <si>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</si>
  <si>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</si>
  <si>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</si>
  <si>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</si>
  <si>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</si>
  <si>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</si>
  <si>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</si>
  <si>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</si>
  <si>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</si>
  <si>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</si>
  <si>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</si>
  <si>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</si>
  <si>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</si>
  <si>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</si>
  <si>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</si>
  <si>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</si>
  <si>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</si>
  <si>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</si>
  <si>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</si>
  <si>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</si>
  <si>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</si>
  <si>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</si>
  <si>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</si>
  <si>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</si>
  <si>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</si>
  <si>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</si>
  <si>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</si>
  <si>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</si>
  <si>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</si>
  <si>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</si>
  <si>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</si>
  <si>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</si>
  <si>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</si>
  <si>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</si>
  <si>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</si>
  <si>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</si>
  <si>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</si>
  <si>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</si>
  <si>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</si>
  <si>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</si>
  <si>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</si>
  <si>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</si>
  <si>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</si>
  <si>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</si>
  <si>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</si>
  <si>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</si>
  <si>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</si>
  <si>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</si>
  <si>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</si>
  <si>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</si>
  <si>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</si>
  <si>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</si>
  <si>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</si>
  <si>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</si>
  <si>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</si>
  <si>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</si>
  <si>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</si>
  <si>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</si>
  <si>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</si>
  <si>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</si>
  <si>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</si>
  <si>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</si>
  <si>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</si>
  <si>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</si>
  <si>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</si>
  <si>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</si>
  <si>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</si>
  <si>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</si>
  <si>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</si>
  <si>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</si>
  <si>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</si>
  <si>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</si>
  <si>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</si>
  <si>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</si>
  <si>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</si>
  <si>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</si>
  <si>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</si>
  <si>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</si>
  <si>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</si>
  <si>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</si>
  <si>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</si>
  <si>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</si>
  <si>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</si>
  <si>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</si>
  <si>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</si>
  <si>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</si>
  <si>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</si>
  <si>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</si>
  <si>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</si>
  <si>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</si>
  <si>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</si>
  <si>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</si>
  <si>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</si>
  <si>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</si>
  <si>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</si>
  <si>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</si>
  <si>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</si>
  <si>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</si>
  <si>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</si>
  <si>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</si>
  <si>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</si>
  <si>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</si>
  <si>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</si>
  <si>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</si>
  <si>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</si>
  <si>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</si>
  <si>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</si>
  <si>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</si>
  <si>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</si>
  <si>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</si>
  <si>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</si>
  <si>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</si>
  <si>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</si>
  <si>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</si>
  <si>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</si>
  <si>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</si>
  <si>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</si>
  <si>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</si>
  <si>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</si>
  <si>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</si>
  <si>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</si>
  <si>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</si>
  <si>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</si>
  <si>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</si>
  <si>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</si>
  <si>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</si>
  <si>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</si>
  <si>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</si>
  <si>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</si>
  <si>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</si>
  <si>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</si>
  <si>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</si>
  <si>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</si>
  <si>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</si>
  <si>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</si>
  <si>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</si>
  <si>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</si>
  <si>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</si>
  <si>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</si>
  <si>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</si>
  <si>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</si>
  <si>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</si>
  <si>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</si>
  <si>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</si>
  <si>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</si>
  <si>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</si>
  <si>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</si>
  <si>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</si>
  <si>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</si>
  <si>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</si>
  <si>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</si>
  <si>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</si>
  <si>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</si>
  <si>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</si>
  <si>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</si>
  <si>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</si>
  <si>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</si>
  <si>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</si>
  <si>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</si>
  <si>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</si>
  <si>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</si>
  <si>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</si>
  <si>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</si>
  <si>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</si>
  <si>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</si>
  <si>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</si>
  <si>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</si>
  <si>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</si>
  <si>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</si>
  <si>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</si>
  <si>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</si>
  <si>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</si>
  <si>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</si>
  <si>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</si>
  <si>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</si>
  <si>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</si>
  <si>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</si>
  <si>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</si>
  <si>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</si>
  <si>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</si>
  <si>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</si>
  <si>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</si>
  <si>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</si>
  <si>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</si>
  <si>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</si>
  <si>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</si>
  <si>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</si>
  <si>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</si>
  <si>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</si>
  <si>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</si>
  <si>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</si>
  <si>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</si>
  <si>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</si>
  <si>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</si>
  <si>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</si>
  <si>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</si>
  <si>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</si>
  <si>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</si>
  <si>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</si>
  <si>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</si>
  <si>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</si>
  <si>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</si>
  <si>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</si>
  <si>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</si>
  <si>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</si>
  <si>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</si>
  <si>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</si>
  <si>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</si>
  <si>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</si>
  <si>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</si>
  <si>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</si>
  <si>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</si>
  <si>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</si>
  <si>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</si>
  <si>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</si>
  <si>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</si>
  <si>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</si>
  <si>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</si>
  <si>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</si>
  <si>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</si>
  <si>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</si>
  <si>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</si>
  <si>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</si>
  <si>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</si>
  <si>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</si>
  <si>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</si>
  <si>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</si>
  <si>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</si>
  <si>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</si>
  <si>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</si>
  <si>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</si>
  <si>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</si>
  <si>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</si>
  <si>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</si>
  <si>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</si>
  <si>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</si>
  <si>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</si>
  <si>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</si>
  <si>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</si>
  <si>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</si>
  <si>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</si>
  <si>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</si>
  <si>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</si>
  <si>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</si>
  <si>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</si>
  <si>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</si>
  <si>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</si>
  <si>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</si>
  <si>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</si>
  <si>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</si>
  <si>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</si>
  <si>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</si>
  <si>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</si>
  <si>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</si>
  <si>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</si>
  <si>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</si>
  <si>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</si>
  <si>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</si>
  <si>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</si>
  <si>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</si>
  <si>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</si>
  <si>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</si>
  <si>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</si>
  <si>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</si>
  <si>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</si>
  <si>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</si>
  <si>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</si>
  <si>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</si>
  <si>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</si>
  <si>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</si>
  <si>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</si>
  <si>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</si>
  <si>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</si>
  <si>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</si>
  <si>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</si>
  <si>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</si>
  <si>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</si>
  <si>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</si>
  <si>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</si>
  <si>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</si>
  <si>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</si>
  <si>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</si>
  <si>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</si>
  <si>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</si>
  <si>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</si>
  <si>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</si>
  <si>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</si>
  <si>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</si>
  <si>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</si>
  <si>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</si>
  <si>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</si>
  <si>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</si>
  <si>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</si>
  <si>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</si>
  <si>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</si>
  <si>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</si>
  <si>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</si>
  <si>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</si>
  <si>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</si>
  <si>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</si>
  <si>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</si>
  <si>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</si>
  <si>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</si>
  <si>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</si>
  <si>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</si>
  <si>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</si>
  <si>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</si>
  <si>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</si>
  <si>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</si>
  <si>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</si>
  <si>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</si>
  <si>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</si>
  <si>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</si>
  <si>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</si>
  <si>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</si>
  <si>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</si>
  <si>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</si>
  <si>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</si>
  <si>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</si>
  <si>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</si>
  <si>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</si>
  <si>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</si>
  <si>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</si>
  <si>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</si>
  <si>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</si>
  <si>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</si>
  <si>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</si>
  <si>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</si>
  <si>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</si>
  <si>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</si>
  <si>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</si>
  <si>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</si>
  <si>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</si>
  <si>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</si>
  <si>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</si>
  <si>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</si>
  <si>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</si>
  <si>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</si>
  <si>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</si>
  <si>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</si>
  <si>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</si>
  <si>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</si>
  <si>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</si>
  <si>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</si>
  <si>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</si>
  <si>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</si>
  <si>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</si>
  <si>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</si>
  <si>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</si>
  <si>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</si>
  <si>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</si>
  <si>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</si>
  <si>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</si>
  <si>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</si>
  <si>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</si>
  <si>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</si>
  <si>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</si>
  <si>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</si>
  <si>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</si>
  <si>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</si>
  <si>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</si>
  <si>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</si>
  <si>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</si>
  <si>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</si>
  <si>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</si>
  <si>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</si>
  <si>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</si>
  <si>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</si>
  <si>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</si>
  <si>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</si>
  <si>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</si>
  <si>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</si>
  <si>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</si>
  <si>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</si>
  <si>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</si>
  <si>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</si>
  <si>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</si>
  <si>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</si>
  <si>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</si>
  <si>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</si>
  <si>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</si>
  <si>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</si>
  <si>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</si>
  <si>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</si>
  <si>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</si>
  <si>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</si>
  <si>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</si>
  <si>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</si>
  <si>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</si>
  <si>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</si>
  <si>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</si>
  <si>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</si>
  <si>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</si>
  <si>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</si>
  <si>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</si>
  <si>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</si>
  <si>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</si>
  <si>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</si>
  <si>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</si>
  <si>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</si>
  <si>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</si>
  <si>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</si>
  <si>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</si>
  <si>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</si>
  <si>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</si>
  <si>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</si>
  <si>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</si>
  <si>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</si>
  <si>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</si>
  <si>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</si>
  <si>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</si>
  <si>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</si>
  <si>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</si>
  <si>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</si>
  <si>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</si>
  <si>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</si>
  <si>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</si>
  <si>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</si>
  <si>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</si>
  <si>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</si>
  <si>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</si>
  <si>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</si>
  <si>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</si>
  <si>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</si>
  <si>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</si>
  <si>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</si>
  <si>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</si>
  <si>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</si>
  <si>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</si>
  <si>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</si>
  <si>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</si>
  <si>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</si>
  <si>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</si>
  <si>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</si>
  <si>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</si>
  <si>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</si>
  <si>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</si>
  <si>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</si>
  <si>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</si>
  <si>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</si>
  <si>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</si>
  <si>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</si>
  <si>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</si>
  <si>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</si>
  <si>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</si>
  <si>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</si>
  <si>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</si>
  <si>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</si>
  <si>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</si>
  <si>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</si>
  <si>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</si>
  <si>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</si>
  <si>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</si>
  <si>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</si>
  <si>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</si>
  <si>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</si>
  <si>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</si>
  <si>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</si>
  <si>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</si>
  <si>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</si>
  <si>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</si>
  <si>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</si>
  <si>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</si>
  <si>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</si>
  <si>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</si>
  <si>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</si>
  <si>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</si>
  <si>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</si>
  <si>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</si>
  <si>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</si>
  <si>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</si>
  <si>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</si>
  <si>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</si>
  <si>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</si>
  <si>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</si>
  <si>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</si>
  <si>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</si>
  <si>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</si>
  <si>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</si>
  <si>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</si>
  <si>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</si>
  <si>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</si>
  <si>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</si>
  <si>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</si>
  <si>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</si>
  <si>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</si>
  <si>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</si>
  <si>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</si>
  <si>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</si>
  <si>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</si>
  <si>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</si>
  <si>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</si>
  <si>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</si>
  <si>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</si>
  <si>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</si>
  <si>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</si>
  <si>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</si>
  <si>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</si>
  <si>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</si>
  <si>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</si>
  <si>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</si>
  <si>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</si>
  <si>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</si>
  <si>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</si>
  <si>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</si>
  <si>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</si>
  <si>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</si>
  <si>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</si>
  <si>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</si>
  <si>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</si>
  <si>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</si>
  <si>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</si>
  <si>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</si>
  <si>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</si>
  <si>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</si>
  <si>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</si>
  <si>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</si>
  <si>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</si>
  <si>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</si>
  <si>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</si>
  <si>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</si>
  <si>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</si>
  <si>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</si>
  <si>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</si>
  <si>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</si>
  <si>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</si>
  <si>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</si>
  <si>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</si>
  <si>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</si>
  <si>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</si>
  <si>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</si>
  <si>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</si>
  <si>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</si>
  <si>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</si>
  <si>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</si>
  <si>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</si>
  <si>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</si>
  <si>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</si>
  <si>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</si>
  <si>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</si>
  <si>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</si>
  <si>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</si>
  <si>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</si>
  <si>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</si>
  <si>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</si>
  <si>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</si>
  <si>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</si>
  <si>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</si>
  <si>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</si>
  <si>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</si>
  <si>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</si>
  <si>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</si>
  <si>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</si>
  <si>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</si>
  <si>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</si>
  <si>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</si>
  <si>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</si>
  <si>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</si>
  <si>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</si>
  <si>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</si>
  <si>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</si>
  <si>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</si>
  <si>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</si>
  <si>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</si>
  <si>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</si>
  <si>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</si>
  <si>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</si>
  <si>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</si>
  <si>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</si>
  <si>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</si>
  <si>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</si>
  <si>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</si>
  <si>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</si>
  <si>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</si>
  <si>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</si>
  <si>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</si>
  <si>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</si>
  <si>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</si>
  <si>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</si>
  <si>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</si>
  <si>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</si>
  <si>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</si>
  <si>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</si>
  <si>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</si>
  <si>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</si>
  <si>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</si>
  <si>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</si>
  <si>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</si>
  <si>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</si>
  <si>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</si>
  <si>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</si>
  <si>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</si>
  <si>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</si>
  <si>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</si>
  <si>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</si>
  <si>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</si>
  <si>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</si>
  <si>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</si>
  <si>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</si>
  <si>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</si>
  <si>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</si>
  <si>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</si>
  <si>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</si>
  <si>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</si>
  <si>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</si>
  <si>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</si>
  <si>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</si>
  <si>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</si>
  <si>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</si>
  <si>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</si>
  <si>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</si>
  <si>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</si>
  <si>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</si>
  <si>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</si>
  <si>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</si>
  <si>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</si>
  <si>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</si>
  <si>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</si>
  <si>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</si>
  <si>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</si>
  <si>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</si>
  <si>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</si>
  <si>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</si>
  <si>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</si>
  <si>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</si>
  <si>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</si>
  <si>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</si>
  <si>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</si>
  <si>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</si>
  <si>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</si>
  <si>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</si>
  <si>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</si>
  <si>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</si>
  <si>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</si>
  <si>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</si>
  <si>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</si>
  <si>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</si>
  <si>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</si>
  <si>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</si>
  <si>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</si>
  <si>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</si>
  <si>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</si>
  <si>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</si>
  <si>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</si>
  <si>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</si>
  <si>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</si>
  <si>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</si>
  <si>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</si>
  <si>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</si>
  <si>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</si>
  <si>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</si>
  <si>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</si>
  <si>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</si>
  <si>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</si>
  <si>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</si>
  <si>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</si>
  <si>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</si>
  <si>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</si>
  <si>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</si>
  <si>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</si>
  <si>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</si>
  <si>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</si>
  <si>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</si>
  <si>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</si>
  <si>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</si>
  <si>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</si>
  <si>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</si>
  <si>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</si>
  <si>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</si>
  <si>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</si>
  <si>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</si>
  <si>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</si>
  <si>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</si>
  <si>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</si>
  <si>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</si>
  <si>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</si>
  <si>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</si>
  <si>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</si>
  <si>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</si>
  <si>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</si>
  <si>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</si>
  <si>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</si>
  <si>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</si>
  <si>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</si>
  <si>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</si>
  <si>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</si>
  <si>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</si>
  <si>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</si>
  <si>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</si>
  <si>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</si>
  <si>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</si>
  <si>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</si>
  <si>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</si>
  <si>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</si>
  <si>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</si>
  <si>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</si>
  <si>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</si>
  <si>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</si>
  <si>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</si>
  <si>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</si>
  <si>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</si>
  <si>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</si>
  <si>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</si>
  <si>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</si>
  <si>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</si>
  <si>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</si>
  <si>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</si>
  <si>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</si>
  <si>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</si>
  <si>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</si>
  <si>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</si>
  <si>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</si>
  <si>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</si>
  <si>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</si>
  <si>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</si>
  <si>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</si>
  <si>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</si>
  <si>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</si>
  <si>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</si>
  <si>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</si>
  <si>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</si>
  <si>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</si>
  <si>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</si>
  <si>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</si>
  <si>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</si>
  <si>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</si>
  <si>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</si>
  <si>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</si>
  <si>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</si>
  <si>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</si>
  <si>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</si>
  <si>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</si>
  <si>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</si>
  <si>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</si>
  <si>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</si>
  <si>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</si>
  <si>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</si>
  <si>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</si>
  <si>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</si>
  <si>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</si>
  <si>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</si>
  <si>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</si>
  <si>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</si>
  <si>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</si>
  <si>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</si>
  <si>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</si>
  <si>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</si>
  <si>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</si>
  <si>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</si>
  <si>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</si>
  <si>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</si>
  <si>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</si>
  <si>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</si>
  <si>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</si>
  <si>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</si>
  <si>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</si>
  <si>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</si>
  <si>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</si>
  <si>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</si>
  <si>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</si>
  <si>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</si>
  <si>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</si>
  <si>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</si>
  <si>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</si>
  <si>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</si>
  <si>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</si>
  <si>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</si>
  <si>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</si>
  <si>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</si>
  <si>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</si>
  <si>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</si>
  <si>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</si>
  <si>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</si>
  <si>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</si>
  <si>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</si>
  <si>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</si>
  <si>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</si>
  <si>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</si>
  <si>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</si>
  <si>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</si>
  <si>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</si>
  <si>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</si>
  <si>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</si>
  <si>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</si>
  <si>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</si>
  <si>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</si>
  <si>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</si>
  <si>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</si>
  <si>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</si>
  <si>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</si>
  <si>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</si>
  <si>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</si>
  <si>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</si>
  <si>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</si>
  <si>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</si>
  <si>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</si>
  <si>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</si>
  <si>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</si>
  <si>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</si>
  <si>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</si>
  <si>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</si>
  <si>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</si>
  <si>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</si>
  <si>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</si>
  <si>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</si>
  <si>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</si>
  <si>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</si>
  <si>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</si>
  <si>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</si>
  <si>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</si>
  <si>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</si>
  <si>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</si>
  <si>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</si>
  <si>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</si>
  <si>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</si>
  <si>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</si>
  <si>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</si>
  <si>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</si>
  <si>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</si>
  <si>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</si>
  <si>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</si>
  <si>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</si>
  <si>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</si>
  <si>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</si>
  <si>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</si>
  <si>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</si>
  <si>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</si>
  <si>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</si>
  <si>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</si>
  <si>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</si>
  <si>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</si>
  <si>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</si>
  <si>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</si>
  <si>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</si>
  <si>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</si>
  <si>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</si>
  <si>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</si>
  <si>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</si>
  <si>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</si>
  <si>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</si>
  <si>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</si>
  <si>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</si>
  <si>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</si>
  <si>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</si>
  <si>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</si>
  <si>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</si>
  <si>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</si>
  <si>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</si>
  <si>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</si>
  <si>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</si>
  <si>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</si>
  <si>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</si>
  <si>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</si>
  <si>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</si>
  <si>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</si>
  <si>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</si>
  <si>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</si>
  <si>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</si>
  <si>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</si>
  <si>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</si>
  <si>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</si>
  <si>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</si>
  <si>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</si>
  <si>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</si>
  <si>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</si>
  <si>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</si>
  <si>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</si>
  <si>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</si>
  <si>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</si>
  <si>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</si>
  <si>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</si>
  <si>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</si>
  <si>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</si>
  <si>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</si>
  <si>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</si>
  <si>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</si>
  <si>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</si>
  <si>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</si>
  <si>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</si>
  <si>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</si>
  <si>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</si>
  <si>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</si>
  <si>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</si>
  <si>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</si>
  <si>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</si>
  <si>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</si>
  <si>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</si>
  <si>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</si>
  <si>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</si>
  <si>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</si>
  <si>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</si>
  <si>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</si>
  <si>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</si>
  <si>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</si>
  <si>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</si>
  <si>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</si>
  <si>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</si>
  <si>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</si>
  <si>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</si>
  <si>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</si>
  <si>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</si>
  <si>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</si>
  <si>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</si>
  <si>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</si>
  <si>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</si>
  <si>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</si>
  <si>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</si>
  <si>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</si>
  <si>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</si>
  <si>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</si>
  <si>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</si>
  <si>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</si>
  <si>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</si>
  <si>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</si>
  <si>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</si>
  <si>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</si>
  <si>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</si>
  <si>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</si>
  <si>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</si>
  <si>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</si>
  <si>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</si>
  <si>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</si>
  <si>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</si>
  <si>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</si>
  <si>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</si>
  <si>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</si>
  <si>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</si>
  <si>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</si>
  <si>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</si>
  <si>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</si>
  <si>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</si>
  <si>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</si>
  <si>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</si>
  <si>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</si>
  <si>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</si>
  <si>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</si>
  <si>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</si>
  <si>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</si>
  <si>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</si>
  <si>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</si>
  <si>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</si>
  <si>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</si>
  <si>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</si>
  <si>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</si>
  <si>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</si>
  <si>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</si>
  <si>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</si>
  <si>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</si>
  <si>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</si>
  <si>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</si>
  <si>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</si>
  <si>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</si>
  <si>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</si>
  <si>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</si>
  <si>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</si>
  <si>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</si>
  <si>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</si>
  <si>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</si>
  <si>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</si>
  <si>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</si>
  <si>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</si>
  <si>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</si>
  <si>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</si>
  <si>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</si>
  <si>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</si>
  <si>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</si>
  <si>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</si>
  <si>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</si>
  <si>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</si>
  <si>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</si>
  <si>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</si>
  <si>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</si>
  <si>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</si>
  <si>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</si>
  <si>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</si>
  <si>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</si>
  <si>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</si>
  <si>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</si>
  <si>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</si>
  <si>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</si>
  <si>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</si>
  <si>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</si>
  <si>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</si>
  <si>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</si>
  <si>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</si>
  <si>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</si>
  <si>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</si>
  <si>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</si>
  <si>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</si>
  <si>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</si>
  <si>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</si>
  <si>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</si>
  <si>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</si>
  <si>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</si>
  <si>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</si>
  <si>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</si>
  <si>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</si>
  <si>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</si>
  <si>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</si>
  <si>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</si>
  <si>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</si>
  <si>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</si>
  <si>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</si>
  <si>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</si>
  <si>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</si>
  <si>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</si>
  <si>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</si>
  <si>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</si>
  <si>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</si>
  <si>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</si>
  <si>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</si>
  <si>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</si>
  <si>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</si>
  <si>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</si>
  <si>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</si>
  <si>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</si>
  <si>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</si>
  <si>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</si>
  <si>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</si>
  <si>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</si>
  <si>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</si>
  <si>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</si>
  <si>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</si>
  <si>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</si>
  <si>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</si>
  <si>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</si>
  <si>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</si>
  <si>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</si>
  <si>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</si>
  <si>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</si>
  <si>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</si>
  <si>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</si>
  <si>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</si>
  <si>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</si>
  <si>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</si>
  <si>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</si>
  <si>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</si>
  <si>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</si>
  <si>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</si>
  <si>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</si>
  <si>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</si>
  <si>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</si>
  <si>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</si>
  <si>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</si>
  <si>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</si>
  <si>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</si>
  <si>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</si>
  <si>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</si>
  <si>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</si>
  <si>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</si>
  <si>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</si>
  <si>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</si>
  <si>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</si>
  <si>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</si>
  <si>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</si>
  <si>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</si>
  <si>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</si>
  <si>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</si>
  <si>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</si>
  <si>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</si>
  <si>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</si>
  <si>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</si>
  <si>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</si>
  <si>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</si>
  <si>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</si>
  <si>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</si>
  <si>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</si>
  <si>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</si>
  <si>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</si>
  <si>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</si>
  <si>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</si>
  <si>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</si>
  <si>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</si>
  <si>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</si>
  <si>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</si>
  <si>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</si>
  <si>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</si>
  <si>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</si>
  <si>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</si>
  <si>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</si>
  <si>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</si>
  <si>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</si>
  <si>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</si>
  <si>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</si>
  <si>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</si>
  <si>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</si>
  <si>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</si>
  <si>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</si>
  <si>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</si>
  <si>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</si>
  <si>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</si>
  <si>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</si>
  <si>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</si>
  <si>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</si>
  <si>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</si>
  <si>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</si>
  <si>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</si>
  <si>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</si>
  <si>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</si>
  <si>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</si>
  <si>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</si>
  <si>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</si>
  <si>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</si>
  <si>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</si>
  <si>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</si>
  <si>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</si>
  <si>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</si>
  <si>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</si>
  <si>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</si>
  <si>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</si>
  <si>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</si>
  <si>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</si>
  <si>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</si>
  <si>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</si>
  <si>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</si>
  <si>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</si>
  <si>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</si>
  <si>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</si>
  <si>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</si>
  <si>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</si>
  <si>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</si>
  <si>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</si>
  <si>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</si>
  <si>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</si>
  <si>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</si>
  <si>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</si>
  <si>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</si>
  <si>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</si>
  <si>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</si>
  <si>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</si>
  <si>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</si>
  <si>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</si>
  <si>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</si>
  <si>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</si>
  <si>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</si>
  <si>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</si>
  <si>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</si>
  <si>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</si>
  <si>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</si>
  <si>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</si>
  <si>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</si>
  <si>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</si>
  <si>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</si>
  <si>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</si>
  <si>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</si>
  <si>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</si>
  <si>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</si>
  <si>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</si>
  <si>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</si>
  <si>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</si>
  <si>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</si>
  <si>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</si>
  <si>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</si>
  <si>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</si>
  <si>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</si>
  <si>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</si>
  <si>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</si>
  <si>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</si>
  <si>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</si>
  <si>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</si>
  <si>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</si>
  <si>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</si>
  <si>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</si>
  <si>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</si>
  <si>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</si>
  <si>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</si>
  <si>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</si>
  <si>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</si>
  <si>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</si>
  <si>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</si>
  <si>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</si>
  <si>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</si>
  <si>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</si>
  <si>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</si>
  <si>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</si>
  <si>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</si>
  <si>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</si>
  <si>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</si>
  <si>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</si>
  <si>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</si>
  <si>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</si>
  <si>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</si>
  <si>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</si>
  <si>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</si>
  <si>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</si>
  <si>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</si>
  <si>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</si>
  <si>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</si>
  <si>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</si>
  <si>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</si>
  <si>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</si>
  <si>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</si>
  <si>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</si>
  <si>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</si>
  <si>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</si>
  <si>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</si>
  <si>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</si>
  <si>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</si>
  <si>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</si>
  <si>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</si>
  <si>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</si>
  <si>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</si>
  <si>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</si>
  <si>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</si>
  <si>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</si>
  <si>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</si>
  <si>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</si>
  <si>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</si>
  <si>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</si>
  <si>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</si>
  <si>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</si>
  <si>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</si>
  <si>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</si>
  <si>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</si>
  <si>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</si>
  <si>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</si>
  <si>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</si>
  <si>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</si>
  <si>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</si>
  <si>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</si>
  <si>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</si>
  <si>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</si>
  <si>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</si>
  <si>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</si>
  <si>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</si>
  <si>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</si>
  <si>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</si>
  <si>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</si>
  <si>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</si>
  <si>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</si>
  <si>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</si>
  <si>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</si>
  <si>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</si>
  <si>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</si>
  <si>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</si>
  <si>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</si>
  <si>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</si>
  <si>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</si>
  <si>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</si>
  <si>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</si>
  <si>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</si>
  <si>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</si>
  <si>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</si>
  <si>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</si>
  <si>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</si>
  <si>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</si>
  <si>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</si>
  <si>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</si>
  <si>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</si>
  <si>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</si>
  <si>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</si>
  <si>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</si>
  <si>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</si>
  <si>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</si>
  <si>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</si>
  <si>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</si>
  <si>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</si>
  <si>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</si>
  <si>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</si>
  <si>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</si>
  <si>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</si>
  <si>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</si>
  <si>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</si>
  <si>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</si>
  <si>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</si>
  <si>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</si>
  <si>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</si>
  <si>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</si>
  <si>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</si>
  <si>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</si>
  <si>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</si>
  <si>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</si>
  <si>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</si>
  <si>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</si>
  <si>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</si>
  <si>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</si>
  <si>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</si>
  <si>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</si>
  <si>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</si>
  <si>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</si>
  <si>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</si>
  <si>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</si>
  <si>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</si>
  <si>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</si>
  <si>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</si>
  <si>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</si>
  <si>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</si>
  <si>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</si>
  <si>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</si>
  <si>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</si>
  <si>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</si>
  <si>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</si>
  <si>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</si>
  <si>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</si>
  <si>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</si>
  <si>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</si>
  <si>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</si>
  <si>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</si>
  <si>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</si>
  <si>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</si>
  <si>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</si>
  <si>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</si>
  <si>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</si>
  <si>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</si>
  <si>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</si>
  <si>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</si>
  <si>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</si>
  <si>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</si>
  <si>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</si>
  <si>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</si>
  <si>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</si>
  <si>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</si>
  <si>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</si>
  <si>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</si>
  <si>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</si>
  <si>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</si>
  <si>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</si>
  <si>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</si>
  <si>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</si>
  <si>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</si>
  <si>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</si>
  <si>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</si>
  <si>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</si>
  <si>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</si>
  <si>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</si>
  <si>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</si>
  <si>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</si>
  <si>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</si>
  <si>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</si>
  <si>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</si>
  <si>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</si>
  <si>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</si>
  <si>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</si>
  <si>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</si>
  <si>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</si>
  <si>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</si>
  <si>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</si>
  <si>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</si>
  <si>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</si>
  <si>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</si>
  <si>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</si>
  <si>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</si>
  <si>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</si>
  <si>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</si>
  <si>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</si>
  <si>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</si>
  <si>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</si>
  <si>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</si>
  <si>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</si>
  <si>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</si>
  <si>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</si>
  <si>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</si>
  <si>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</si>
  <si>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</si>
  <si>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</si>
  <si>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</si>
  <si>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</si>
  <si>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</si>
  <si>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</si>
  <si>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</si>
  <si>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</si>
  <si>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</si>
  <si>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</si>
  <si>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</si>
  <si>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</si>
  <si>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</si>
  <si>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</si>
  <si>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</si>
  <si>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</si>
  <si>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</si>
  <si>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</si>
  <si>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</si>
  <si>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</si>
  <si>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</si>
  <si>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</si>
  <si>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</si>
  <si>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</si>
  <si>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</si>
  <si>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</si>
  <si>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</si>
  <si>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</si>
  <si>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</si>
  <si>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</si>
  <si>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</si>
  <si>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</si>
  <si>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</si>
  <si>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</si>
  <si>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</si>
  <si>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</si>
  <si>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</si>
  <si>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</si>
  <si>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</si>
  <si>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</si>
  <si>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</si>
  <si>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</si>
  <si>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</si>
  <si>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</si>
  <si>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</si>
  <si>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</si>
  <si>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</si>
  <si>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</si>
  <si>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</si>
  <si>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</si>
  <si>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</si>
  <si>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</si>
  <si>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</si>
  <si>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</si>
  <si>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</si>
  <si>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</si>
  <si>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</si>
  <si>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</si>
  <si>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</si>
  <si>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</si>
  <si>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</si>
  <si>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</si>
  <si>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</si>
  <si>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</si>
  <si>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</si>
  <si>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</si>
  <si>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</si>
  <si>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</si>
  <si>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</si>
  <si>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</si>
  <si>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</si>
  <si>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</si>
  <si>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</si>
  <si>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</si>
  <si>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</si>
  <si>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</si>
  <si>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</si>
  <si>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</si>
  <si>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</si>
  <si>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</si>
  <si>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</si>
  <si>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</si>
  <si>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</si>
  <si>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</si>
  <si>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</si>
  <si>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</si>
  <si>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</si>
  <si>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</si>
  <si>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</si>
  <si>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</si>
  <si>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</si>
  <si>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</si>
  <si>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</si>
  <si>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</si>
  <si>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</si>
  <si>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</si>
  <si>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</si>
  <si>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</si>
  <si>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</si>
  <si>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</si>
  <si>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</si>
  <si>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</si>
  <si>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</si>
  <si>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</si>
  <si>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dhogue@riverbendschools.net</t>
  </si>
  <si>
    <t>bsondgeroth@whitesideroe.org</t>
  </si>
  <si>
    <t>General Obligation School Bonds, Series 2016</t>
  </si>
  <si>
    <t>General Obligation School Bonds, Series 2017</t>
  </si>
  <si>
    <t>1,4</t>
  </si>
  <si>
    <t xml:space="preserve">City of Fulton </t>
  </si>
  <si>
    <t>10-2540-300</t>
  </si>
  <si>
    <t xml:space="preserve">KS State Bank </t>
  </si>
  <si>
    <t>40-2550-300</t>
  </si>
  <si>
    <t xml:space="preserve">Clayton Holdings </t>
  </si>
  <si>
    <t>X</t>
  </si>
  <si>
    <t>Three Rivers Cafeteria Cooperative / Iowa Illinois Food Cooperative</t>
  </si>
  <si>
    <t>Lee/Ogle County Regional Office of Education</t>
  </si>
  <si>
    <t>Bi-County Special Education Cooperative</t>
  </si>
  <si>
    <t xml:space="preserve">Whiteside County Paper Purchasing Cooperative </t>
  </si>
  <si>
    <t xml:space="preserve">Account </t>
  </si>
  <si>
    <t xml:space="preserve">Page </t>
  </si>
  <si>
    <t xml:space="preserve">Fund </t>
  </si>
  <si>
    <t xml:space="preserve">Line # </t>
  </si>
  <si>
    <t xml:space="preserve">Description </t>
  </si>
  <si>
    <t xml:space="preserve">Amount </t>
  </si>
  <si>
    <t xml:space="preserve">Vending Machine Sales </t>
  </si>
  <si>
    <t>Activity Class Fee</t>
  </si>
  <si>
    <t>Global Credit Card Fee</t>
  </si>
  <si>
    <t xml:space="preserve">Poster Machine </t>
  </si>
  <si>
    <t>Technology Fee</t>
  </si>
  <si>
    <t xml:space="preserve">E-Rate Reimbursement </t>
  </si>
  <si>
    <t xml:space="preserve">Cobra Insurance Reimbursement </t>
  </si>
  <si>
    <t xml:space="preserve">Computer IPAD Sales </t>
  </si>
  <si>
    <t xml:space="preserve">Cash Back Reimbursement </t>
  </si>
  <si>
    <t xml:space="preserve">Field Trips </t>
  </si>
  <si>
    <t>Miscellaneous Fees</t>
  </si>
  <si>
    <t xml:space="preserve">Scrap Metal </t>
  </si>
  <si>
    <t>Broken Door Repayment</t>
  </si>
  <si>
    <t>Surplus Pallet Jack</t>
  </si>
  <si>
    <t>Key Fob</t>
  </si>
  <si>
    <t xml:space="preserve">State Library Grant </t>
  </si>
  <si>
    <t xml:space="preserve">Noon Hour Salaries </t>
  </si>
  <si>
    <t xml:space="preserve">Noon Hour Benefits </t>
  </si>
  <si>
    <t xml:space="preserve">Residential Room &amp; Board </t>
  </si>
  <si>
    <t>Service Admin Fees</t>
  </si>
  <si>
    <t xml:space="preserve">Noon Hour Medicare </t>
  </si>
  <si>
    <t xml:space="preserve">Restricted Tax Levies - School Facility Occupation Taxes </t>
  </si>
  <si>
    <t xml:space="preserve">Miscellaneous Donations </t>
  </si>
  <si>
    <t xml:space="preserve">Insurance Reimbursement </t>
  </si>
  <si>
    <t xml:space="preserve">Miscellaneous Receipts </t>
  </si>
  <si>
    <t>TR-Pupil Transportation-Purchased Services</t>
  </si>
  <si>
    <t>80-2300-300</t>
  </si>
  <si>
    <t>TORT-General Admin.-Purchased Services</t>
  </si>
  <si>
    <t>ED-Oper. &amp; Maint. Plant Services-Purchased Services</t>
  </si>
  <si>
    <t>WHITESIDE</t>
  </si>
  <si>
    <t>1110 3RD STREET</t>
  </si>
  <si>
    <t>FULTON</t>
  </si>
  <si>
    <t>DR. DARRYL HOGUE</t>
  </si>
  <si>
    <t>815/589-2711</t>
  </si>
  <si>
    <t>815/589-4630</t>
  </si>
  <si>
    <t>ROBERT SONDGEROTH</t>
  </si>
  <si>
    <t>815/625-1495</t>
  </si>
  <si>
    <t>815/625-1625</t>
  </si>
  <si>
    <t>Whiteside Area Career Center</t>
  </si>
  <si>
    <t>River Bend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</si>
</sst>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181" fontId="57" fillId="0" borderId="0" xfId="19" applyNumberFormat="1" applyFont="1" applyAlignment="1">
      <alignment horizontal="left"/>
    </xf>
    <xf numFmtId="182" fontId="57" fillId="0" borderId="0" xfId="1" applyNumberFormat="1" applyFont="1" applyAlignment="1">
      <alignment horizontal="left"/>
    </xf>
    <xf numFmtId="182" fontId="57" fillId="0" borderId="78" xfId="1" applyNumberFormat="1" applyFont="1" applyBorder="1" applyAlignment="1">
      <alignment horizontal="left"/>
    </xf>
    <xf numFmtId="182" fontId="57" fillId="0" borderId="0" xfId="1" applyNumberFormat="1" applyFont="1" applyBorder="1" applyAlignment="1">
      <alignment horizontal="left"/>
    </xf>
    <xf numFmtId="182" fontId="57" fillId="0" borderId="78" xfId="1" applyNumberFormat="1" applyFont="1" applyFill="1" applyBorder="1" applyAlignment="1">
      <alignment horizontal="left"/>
    </xf>
    <xf numFmtId="181" fontId="57" fillId="0" borderId="165" xfId="19" applyNumberFormat="1" applyFont="1" applyBorder="1" applyAlignment="1">
      <alignment horizontal="left"/>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57" fillId="0" borderId="0" xfId="0" applyFont="1" applyAlignment="1">
      <alignment horizontal="center"/>
    </xf>
    <xf numFmtId="166" fontId="62" fillId="0" borderId="0" xfId="0" applyNumberFormat="1" applyFont="1" applyAlignment="1">
      <alignment horizontal="center"/>
    </xf>
    <xf numFmtId="0" fontId="66" fillId="0" borderId="0" xfId="0" applyFont="1" applyAlignment="1">
      <alignment horizontal="center"/>
    </xf>
    <xf numFmtId="0" fontId="66" fillId="0" borderId="0" xfId="0" applyFont="1" applyAlignment="1">
      <alignment horizontal="left"/>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5" t="s">
        <v>405</v>
      </c>
      <c r="J1" s="2026"/>
      <c r="K1" s="2026"/>
      <c r="L1" s="2026"/>
      <c r="M1" s="2026"/>
      <c r="N1" s="2026"/>
      <c r="O1" s="2026"/>
      <c r="P1" s="2026"/>
      <c r="Q1" s="2026"/>
      <c r="R1" s="2026"/>
      <c r="S1" s="2026"/>
    </row>
    <row r="2" spans="1:28" ht="12" customHeight="1" x14ac:dyDescent="0.2">
      <c r="A2" s="47" t="s">
        <v>1993</v>
      </c>
      <c r="D2" s="48"/>
      <c r="I2" s="2027" t="s">
        <v>979</v>
      </c>
      <c r="J2" s="2026"/>
      <c r="K2" s="2026"/>
      <c r="L2" s="2026"/>
      <c r="M2" s="2026"/>
      <c r="N2" s="2026"/>
      <c r="O2" s="2026"/>
      <c r="P2" s="2026"/>
      <c r="Q2" s="2026"/>
      <c r="R2" s="2026"/>
      <c r="S2" s="2026"/>
    </row>
    <row r="3" spans="1:28" ht="12" customHeight="1" x14ac:dyDescent="0.2">
      <c r="A3" s="155" t="s">
        <v>1945</v>
      </c>
      <c r="B3" s="156"/>
      <c r="C3" s="156"/>
      <c r="D3" s="157"/>
      <c r="I3" s="2027" t="s">
        <v>52</v>
      </c>
      <c r="J3" s="2026"/>
      <c r="K3" s="2026"/>
      <c r="L3" s="2026"/>
      <c r="M3" s="2026"/>
      <c r="N3" s="2026"/>
      <c r="O3" s="2026"/>
      <c r="P3" s="2026"/>
      <c r="Q3" s="2026"/>
      <c r="R3" s="2026"/>
      <c r="S3" s="2026"/>
    </row>
    <row r="4" spans="1:28" ht="12" customHeight="1" x14ac:dyDescent="0.2">
      <c r="A4" s="37"/>
      <c r="I4" s="2027" t="s">
        <v>524</v>
      </c>
      <c r="J4" s="2026"/>
      <c r="K4" s="2026"/>
      <c r="L4" s="2026"/>
      <c r="M4" s="2026"/>
      <c r="N4" s="2026"/>
      <c r="O4" s="2026"/>
      <c r="P4" s="2026"/>
      <c r="Q4" s="2026"/>
      <c r="R4" s="2026"/>
      <c r="S4" s="2026"/>
    </row>
    <row r="5" spans="1:28" ht="14.1" customHeight="1" x14ac:dyDescent="0.2">
      <c r="B5" s="104" t="s">
        <v>2083</v>
      </c>
      <c r="C5" s="26" t="s">
        <v>910</v>
      </c>
      <c r="D5" s="84"/>
      <c r="E5" s="84"/>
      <c r="H5" s="38"/>
      <c r="I5" s="2034" t="s">
        <v>680</v>
      </c>
      <c r="J5" s="1979"/>
      <c r="K5" s="1979"/>
      <c r="L5" s="1979"/>
      <c r="M5" s="1979"/>
      <c r="N5" s="1979"/>
      <c r="O5" s="1979"/>
      <c r="P5" s="1979"/>
      <c r="Q5" s="1979"/>
      <c r="R5" s="1979"/>
      <c r="S5" s="1979"/>
    </row>
    <row r="6" spans="1:28" ht="14.1" customHeight="1" x14ac:dyDescent="0.2">
      <c r="B6" s="104"/>
      <c r="C6" s="26" t="s">
        <v>911</v>
      </c>
      <c r="D6" s="84"/>
      <c r="E6" s="84"/>
      <c r="I6" s="2033" t="s">
        <v>883</v>
      </c>
      <c r="J6" s="1979"/>
      <c r="K6" s="1979"/>
      <c r="L6" s="1979"/>
      <c r="M6" s="1979"/>
      <c r="N6" s="1979"/>
      <c r="O6" s="1979"/>
      <c r="P6" s="1979"/>
      <c r="Q6" s="1979"/>
      <c r="R6" s="1979"/>
      <c r="S6" s="1979"/>
    </row>
    <row r="7" spans="1:28" ht="12.2" customHeight="1" x14ac:dyDescent="0.2">
      <c r="I7" s="2028">
        <v>43646</v>
      </c>
      <c r="J7" s="2029"/>
      <c r="K7" s="2029"/>
      <c r="L7" s="2029"/>
      <c r="M7" s="2029"/>
      <c r="N7" s="2029"/>
      <c r="O7" s="2029"/>
      <c r="P7" s="2029"/>
      <c r="Q7" s="2029"/>
      <c r="R7" s="2029"/>
      <c r="S7" s="202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0" t="s">
        <v>674</v>
      </c>
      <c r="J9" s="2031"/>
      <c r="K9" s="2031"/>
      <c r="L9" s="2031"/>
      <c r="M9" s="2031"/>
      <c r="N9" s="2031"/>
      <c r="O9" s="2031"/>
      <c r="P9" s="2031"/>
      <c r="Q9" s="2031"/>
      <c r="R9" s="2031"/>
      <c r="S9" s="2032"/>
      <c r="T9" s="1975" t="s">
        <v>533</v>
      </c>
      <c r="U9" s="1976"/>
      <c r="V9" s="1976"/>
      <c r="W9" s="1976"/>
      <c r="X9" s="1976"/>
      <c r="Y9" s="1976"/>
      <c r="Z9" s="1976"/>
      <c r="AA9" s="1977"/>
    </row>
    <row r="10" spans="1:28" ht="13.5" customHeight="1" x14ac:dyDescent="0.2">
      <c r="A10" s="1984" t="s">
        <v>675</v>
      </c>
      <c r="B10" s="1985"/>
      <c r="C10" s="1985"/>
      <c r="D10" s="1985"/>
      <c r="E10" s="1985"/>
      <c r="F10" s="1985"/>
      <c r="G10" s="1985"/>
      <c r="H10" s="1986"/>
      <c r="I10" s="29"/>
      <c r="J10" s="30"/>
      <c r="K10" s="28"/>
      <c r="R10" s="30"/>
      <c r="S10" s="30"/>
      <c r="T10" s="1978"/>
      <c r="U10" s="1979"/>
      <c r="V10" s="1979"/>
      <c r="W10" s="1979"/>
      <c r="X10" s="1979"/>
      <c r="Y10" s="1979"/>
      <c r="Z10" s="1979"/>
      <c r="AA10" s="1980"/>
    </row>
    <row r="11" spans="1:28" ht="14.25" customHeight="1" x14ac:dyDescent="0.2">
      <c r="A11" s="1987" t="s">
        <v>955</v>
      </c>
      <c r="B11" s="1988"/>
      <c r="C11" s="1988"/>
      <c r="D11" s="1988"/>
      <c r="E11" s="1988"/>
      <c r="F11" s="1988"/>
      <c r="G11" s="1988"/>
      <c r="H11" s="1989"/>
      <c r="I11" s="27"/>
      <c r="J11" s="74"/>
      <c r="K11" s="27"/>
      <c r="O11" s="148" t="s">
        <v>2083</v>
      </c>
      <c r="P11" s="100" t="s">
        <v>201</v>
      </c>
      <c r="Q11" s="30"/>
      <c r="R11" s="28"/>
      <c r="S11" s="27"/>
      <c r="T11" s="1981"/>
      <c r="U11" s="1982"/>
      <c r="V11" s="1982"/>
      <c r="W11" s="1982"/>
      <c r="X11" s="1982"/>
      <c r="Y11" s="1982"/>
      <c r="Z11" s="1982"/>
      <c r="AA11" s="198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5">
        <v>47098002026</v>
      </c>
      <c r="B13" s="1996"/>
      <c r="C13" s="1996"/>
      <c r="D13" s="1996"/>
      <c r="E13" s="1996"/>
      <c r="F13" s="1996"/>
      <c r="G13" s="1996"/>
      <c r="H13" s="1997"/>
      <c r="I13" s="31"/>
      <c r="J13" s="30"/>
      <c r="K13" s="28"/>
      <c r="L13" s="30"/>
      <c r="M13" s="30"/>
      <c r="N13" s="30"/>
      <c r="O13" s="30"/>
      <c r="P13" s="30"/>
      <c r="Q13" s="30"/>
      <c r="R13" s="30"/>
      <c r="S13" s="30"/>
      <c r="T13" s="2000" t="s">
        <v>2064</v>
      </c>
      <c r="U13" s="2001"/>
      <c r="V13" s="2001"/>
      <c r="W13" s="2001"/>
      <c r="X13" s="2001"/>
      <c r="Y13" s="2002"/>
      <c r="Z13" s="2002"/>
      <c r="AA13" s="200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3" t="s">
        <v>2123</v>
      </c>
      <c r="B15" s="1998"/>
      <c r="C15" s="1998"/>
      <c r="D15" s="1998"/>
      <c r="E15" s="1998"/>
      <c r="F15" s="1998"/>
      <c r="G15" s="1998"/>
      <c r="H15" s="1999"/>
      <c r="T15" s="1961" t="s">
        <v>2065</v>
      </c>
      <c r="U15" s="1962"/>
      <c r="V15" s="1962"/>
      <c r="W15" s="1962"/>
      <c r="X15" s="1962"/>
      <c r="Y15" s="2004"/>
      <c r="Z15" s="2004"/>
      <c r="AA15" s="200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3" t="s">
        <v>2133</v>
      </c>
      <c r="B17" s="2023"/>
      <c r="C17" s="2023"/>
      <c r="D17" s="2023"/>
      <c r="E17" s="2023"/>
      <c r="F17" s="2023"/>
      <c r="G17" s="2023"/>
      <c r="H17" s="2024"/>
      <c r="T17" s="2010" t="s">
        <v>2066</v>
      </c>
      <c r="U17" s="2011"/>
      <c r="V17" s="2011"/>
      <c r="W17" s="2011"/>
      <c r="X17" s="2011"/>
      <c r="Y17" s="2011"/>
      <c r="Z17" s="2011"/>
      <c r="AA17" s="2012"/>
    </row>
    <row r="18" spans="1:27" ht="13.5" customHeight="1" x14ac:dyDescent="0.2">
      <c r="A18" s="85" t="s">
        <v>530</v>
      </c>
      <c r="B18" s="76"/>
      <c r="C18" s="72"/>
      <c r="D18" s="76"/>
      <c r="E18" s="76"/>
      <c r="F18" s="76"/>
      <c r="G18" s="76"/>
      <c r="H18" s="56"/>
      <c r="I18" s="2020" t="s">
        <v>676</v>
      </c>
      <c r="J18" s="2021"/>
      <c r="K18" s="2021"/>
      <c r="L18" s="2021"/>
      <c r="M18" s="2021"/>
      <c r="N18" s="2021"/>
      <c r="O18" s="2021"/>
      <c r="P18" s="2021"/>
      <c r="Q18" s="2021"/>
      <c r="R18" s="2021"/>
      <c r="S18" s="2022"/>
      <c r="T18" s="85" t="s">
        <v>711</v>
      </c>
      <c r="U18" s="51"/>
      <c r="V18" s="72"/>
      <c r="W18" s="50"/>
      <c r="X18" s="85" t="s">
        <v>266</v>
      </c>
      <c r="Y18" s="81"/>
      <c r="Z18" s="159" t="s">
        <v>677</v>
      </c>
      <c r="AA18" s="46"/>
    </row>
    <row r="19" spans="1:27" ht="13.5" customHeight="1" x14ac:dyDescent="0.2">
      <c r="A19" s="1993" t="s">
        <v>2124</v>
      </c>
      <c r="B19" s="1994"/>
      <c r="C19" s="1994"/>
      <c r="D19" s="1994"/>
      <c r="E19" s="1994"/>
      <c r="F19" s="1994"/>
      <c r="G19" s="1994"/>
      <c r="H19" s="1992"/>
      <c r="I19" s="30"/>
      <c r="J19" s="99"/>
      <c r="K19" s="40"/>
      <c r="L19" s="38"/>
      <c r="M19" s="112" t="s">
        <v>315</v>
      </c>
      <c r="P19" s="27"/>
      <c r="Q19" s="27"/>
      <c r="R19" s="27"/>
      <c r="S19" s="31"/>
      <c r="T19" s="1993" t="s">
        <v>2067</v>
      </c>
      <c r="U19" s="1991"/>
      <c r="V19" s="1991"/>
      <c r="W19" s="1992"/>
      <c r="X19" s="2008" t="s">
        <v>2068</v>
      </c>
      <c r="Y19" s="2009"/>
      <c r="Z19" s="2006">
        <v>61032</v>
      </c>
      <c r="AA19" s="200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0" t="s">
        <v>2125</v>
      </c>
      <c r="B21" s="1991"/>
      <c r="C21" s="1991"/>
      <c r="D21" s="1991"/>
      <c r="E21" s="1991"/>
      <c r="F21" s="1991"/>
      <c r="G21" s="1991"/>
      <c r="H21" s="1992"/>
      <c r="I21" s="2016" t="s">
        <v>678</v>
      </c>
      <c r="J21" s="1979"/>
      <c r="K21" s="1979"/>
      <c r="L21" s="1979"/>
      <c r="M21" s="1979"/>
      <c r="N21" s="1979"/>
      <c r="O21" s="1979"/>
      <c r="P21" s="1979"/>
      <c r="Q21" s="1979"/>
      <c r="R21" s="1979"/>
      <c r="S21" s="1980"/>
      <c r="T21" s="1958" t="s">
        <v>2069</v>
      </c>
      <c r="U21" s="1959"/>
      <c r="V21" s="1959"/>
      <c r="W21" s="1959"/>
      <c r="X21" s="1972" t="s">
        <v>2070</v>
      </c>
      <c r="Y21" s="1973"/>
      <c r="Z21" s="1973"/>
      <c r="AA21" s="1974"/>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3"/>
      <c r="B23" s="2014"/>
      <c r="C23" s="2014"/>
      <c r="D23" s="2014"/>
      <c r="E23" s="2014"/>
      <c r="F23" s="2014"/>
      <c r="G23" s="2014"/>
      <c r="H23" s="2015"/>
      <c r="T23" s="1953" t="s">
        <v>2071</v>
      </c>
      <c r="U23" s="1954"/>
      <c r="V23" s="1954"/>
      <c r="W23" s="1954"/>
      <c r="X23" s="1969">
        <v>44530</v>
      </c>
      <c r="Y23" s="1970"/>
      <c r="Z23" s="1970"/>
      <c r="AA23" s="1971"/>
    </row>
    <row r="24" spans="1:27" ht="14.1" customHeight="1" x14ac:dyDescent="0.2">
      <c r="A24" s="88" t="s">
        <v>677</v>
      </c>
      <c r="B24" s="49"/>
      <c r="C24" s="49"/>
      <c r="D24" s="49"/>
      <c r="E24" s="49"/>
      <c r="F24" s="49"/>
      <c r="G24" s="49"/>
      <c r="H24" s="61"/>
      <c r="J24" s="2055">
        <f>IF(B5="x",IF(AUDITCHECK!D29="AFR form Incomplete.","",IF(AUDITCHECK!D29="Deficit reduction plan is required.","School District must complete a deficit reduction plan in the 2019-2020 Budget",)),"")</f>
        <v>0</v>
      </c>
      <c r="K24" s="2055"/>
      <c r="L24" s="2055"/>
      <c r="M24" s="2055"/>
      <c r="N24" s="2055"/>
      <c r="O24" s="2055"/>
      <c r="P24" s="2055"/>
      <c r="Q24" s="2055"/>
      <c r="R24" s="2055"/>
      <c r="S24" s="2056"/>
      <c r="T24" s="105" t="s">
        <v>531</v>
      </c>
      <c r="U24" s="106"/>
      <c r="V24" s="106"/>
      <c r="W24" s="106"/>
      <c r="X24" s="107"/>
      <c r="Y24" s="107"/>
      <c r="Z24" s="107"/>
      <c r="AA24" s="108"/>
    </row>
    <row r="25" spans="1:27" ht="14.1" customHeight="1" x14ac:dyDescent="0.2">
      <c r="A25" s="1990">
        <v>61252</v>
      </c>
      <c r="B25" s="1991"/>
      <c r="C25" s="1991"/>
      <c r="D25" s="1991"/>
      <c r="E25" s="1991"/>
      <c r="F25" s="1991"/>
      <c r="G25" s="1991"/>
      <c r="H25" s="1992"/>
      <c r="I25" s="113"/>
      <c r="J25" s="2057"/>
      <c r="K25" s="2057"/>
      <c r="L25" s="2057"/>
      <c r="M25" s="2057"/>
      <c r="N25" s="2057"/>
      <c r="O25" s="2057"/>
      <c r="P25" s="2057"/>
      <c r="Q25" s="2057"/>
      <c r="R25" s="2057"/>
      <c r="S25" s="2058"/>
      <c r="T25" s="1950" t="s">
        <v>2072</v>
      </c>
      <c r="U25" s="1951"/>
      <c r="V25" s="1951"/>
      <c r="W25" s="1951"/>
      <c r="X25" s="1951"/>
      <c r="Y25" s="1951"/>
      <c r="Z25" s="1951"/>
      <c r="AA25" s="19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8" t="s">
        <v>1511</v>
      </c>
      <c r="J27" s="2021"/>
      <c r="K27" s="2021"/>
      <c r="L27" s="2021"/>
      <c r="M27" s="2021"/>
      <c r="N27" s="2021"/>
      <c r="O27" s="2021"/>
      <c r="P27" s="2021"/>
      <c r="Q27" s="2021"/>
      <c r="R27" s="2021"/>
      <c r="S27" s="202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2083</v>
      </c>
      <c r="M29" s="40" t="s">
        <v>99</v>
      </c>
      <c r="N29" s="32" t="s">
        <v>1523</v>
      </c>
      <c r="O29" s="32"/>
      <c r="P29" s="32"/>
      <c r="Q29" s="32"/>
      <c r="R29" s="32"/>
      <c r="S29" s="123"/>
      <c r="T29" s="6"/>
      <c r="U29" s="6"/>
      <c r="V29" s="6"/>
      <c r="W29" s="6"/>
      <c r="X29" s="6"/>
      <c r="Y29" s="6"/>
      <c r="Z29" s="6"/>
      <c r="AA29" s="132"/>
    </row>
    <row r="30" spans="1:27" ht="13.5" customHeight="1" x14ac:dyDescent="0.2">
      <c r="A30" s="153"/>
      <c r="B30" s="136" t="s">
        <v>2083</v>
      </c>
      <c r="C30" s="124" t="s">
        <v>1164</v>
      </c>
      <c r="D30" s="28"/>
      <c r="E30" s="28"/>
      <c r="F30" s="140"/>
      <c r="G30" s="114"/>
      <c r="H30" s="114"/>
      <c r="I30" s="54"/>
      <c r="J30" s="102"/>
      <c r="K30" s="28" t="s">
        <v>576</v>
      </c>
      <c r="L30" s="148" t="s">
        <v>2083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4"/>
      <c r="Q35" s="1991"/>
      <c r="R35" s="199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3" t="s">
        <v>2126</v>
      </c>
      <c r="B38" s="2023"/>
      <c r="C38" s="2023"/>
      <c r="D38" s="2023"/>
      <c r="E38" s="2023"/>
      <c r="F38" s="1991"/>
      <c r="G38" s="1991"/>
      <c r="H38" s="1992"/>
      <c r="I38" s="2042"/>
      <c r="J38" s="1962"/>
      <c r="K38" s="1962"/>
      <c r="L38" s="1962"/>
      <c r="M38" s="1962"/>
      <c r="N38" s="1962"/>
      <c r="O38" s="1962"/>
      <c r="P38" s="1963"/>
      <c r="Q38" s="1963"/>
      <c r="R38" s="1963"/>
      <c r="S38" s="1964"/>
      <c r="T38" s="1961" t="s">
        <v>2129</v>
      </c>
      <c r="U38" s="1962"/>
      <c r="V38" s="1962"/>
      <c r="W38" s="1962"/>
      <c r="X38" s="1963"/>
      <c r="Y38" s="1963"/>
      <c r="Z38" s="1963"/>
      <c r="AA38" s="1964"/>
    </row>
    <row r="39" spans="1:27" ht="12" customHeight="1" x14ac:dyDescent="0.2">
      <c r="A39" s="2046" t="s">
        <v>531</v>
      </c>
      <c r="B39" s="2047"/>
      <c r="C39" s="72"/>
      <c r="D39" s="69"/>
      <c r="E39" s="69"/>
      <c r="F39" s="79"/>
      <c r="G39" s="69"/>
      <c r="H39" s="56"/>
      <c r="I39" s="2046" t="s">
        <v>531</v>
      </c>
      <c r="J39" s="2047"/>
      <c r="K39" s="2047"/>
      <c r="L39" s="2047"/>
      <c r="M39" s="2047"/>
      <c r="N39" s="67"/>
      <c r="O39" s="72"/>
      <c r="P39" s="72"/>
      <c r="Q39" s="78"/>
      <c r="R39" s="72"/>
      <c r="S39" s="56"/>
      <c r="T39" s="72" t="s">
        <v>531</v>
      </c>
      <c r="U39" s="51"/>
      <c r="V39" s="72"/>
      <c r="W39" s="50"/>
      <c r="X39" s="78"/>
      <c r="Y39" s="45"/>
      <c r="Z39" s="45"/>
      <c r="AA39" s="46"/>
    </row>
    <row r="40" spans="1:27" ht="13.5" customHeight="1" x14ac:dyDescent="0.2">
      <c r="A40" s="2049" t="s">
        <v>2073</v>
      </c>
      <c r="B40" s="2050"/>
      <c r="C40" s="2051"/>
      <c r="D40" s="2051"/>
      <c r="E40" s="2051"/>
      <c r="F40" s="2052"/>
      <c r="G40" s="2052"/>
      <c r="H40" s="2053"/>
      <c r="I40" s="1965"/>
      <c r="J40" s="1967"/>
      <c r="K40" s="1967"/>
      <c r="L40" s="1967"/>
      <c r="M40" s="1967"/>
      <c r="N40" s="1967"/>
      <c r="O40" s="1967"/>
      <c r="P40" s="1967"/>
      <c r="Q40" s="1967"/>
      <c r="R40" s="1967"/>
      <c r="S40" s="1968"/>
      <c r="T40" s="1965" t="s">
        <v>2074</v>
      </c>
      <c r="U40" s="1966"/>
      <c r="V40" s="1967"/>
      <c r="W40" s="1967"/>
      <c r="X40" s="1967"/>
      <c r="Y40" s="1967"/>
      <c r="Z40" s="1967"/>
      <c r="AA40" s="196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9" t="s">
        <v>2127</v>
      </c>
      <c r="B42" s="2040"/>
      <c r="C42" s="2041"/>
      <c r="D42" s="2054" t="s">
        <v>2128</v>
      </c>
      <c r="E42" s="2040"/>
      <c r="F42" s="2040"/>
      <c r="G42" s="2040"/>
      <c r="H42" s="2041"/>
      <c r="I42" s="1960"/>
      <c r="J42" s="1956"/>
      <c r="K42" s="1956"/>
      <c r="L42" s="1956"/>
      <c r="M42" s="1956"/>
      <c r="N42" s="1956"/>
      <c r="O42" s="1957"/>
      <c r="P42" s="1955"/>
      <c r="Q42" s="1956"/>
      <c r="R42" s="1956"/>
      <c r="S42" s="1957"/>
      <c r="T42" s="1960" t="s">
        <v>2130</v>
      </c>
      <c r="U42" s="1956"/>
      <c r="V42" s="1956"/>
      <c r="W42" s="1957"/>
      <c r="X42" s="1955" t="s">
        <v>2131</v>
      </c>
      <c r="Y42" s="1956"/>
      <c r="Z42" s="1956"/>
      <c r="AA42" s="195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3"/>
      <c r="B44" s="2044"/>
      <c r="C44" s="2044"/>
      <c r="D44" s="2044"/>
      <c r="E44" s="2044"/>
      <c r="F44" s="2044"/>
      <c r="G44" s="2044"/>
      <c r="H44" s="2045"/>
      <c r="I44" s="2035"/>
      <c r="J44" s="2037"/>
      <c r="K44" s="2037"/>
      <c r="L44" s="2037"/>
      <c r="M44" s="2037"/>
      <c r="N44" s="2037"/>
      <c r="O44" s="2037"/>
      <c r="P44" s="2037"/>
      <c r="Q44" s="2037"/>
      <c r="R44" s="2037"/>
      <c r="S44" s="2038"/>
      <c r="T44" s="2035"/>
      <c r="U44" s="2036"/>
      <c r="V44" s="2036"/>
      <c r="W44" s="2036"/>
      <c r="X44" s="2036"/>
      <c r="Y44" s="2036"/>
      <c r="Z44" s="2037"/>
      <c r="AA44" s="203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F36"/>
  <sheetViews>
    <sheetView showGridLines="0" defaultGridColor="0" colorId="8" zoomScale="110" zoomScaleNormal="110" workbookViewId="0">
      <selection activeCell="C14" activeCellId="2" sqref="C4 C13 C1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92" t="s">
        <v>1802</v>
      </c>
      <c r="B2" s="1527" t="s">
        <v>1951</v>
      </c>
      <c r="C2" s="714" t="s">
        <v>1952</v>
      </c>
      <c r="D2" s="714" t="s">
        <v>1953</v>
      </c>
      <c r="E2" s="714" t="s">
        <v>1954</v>
      </c>
      <c r="F2" s="714" t="s">
        <v>1955</v>
      </c>
    </row>
    <row r="3" spans="1:6" ht="12" customHeight="1" x14ac:dyDescent="0.2">
      <c r="A3" s="2193"/>
      <c r="B3" s="1524"/>
      <c r="C3" s="1525"/>
      <c r="D3" s="1526" t="s">
        <v>256</v>
      </c>
      <c r="E3" s="1525"/>
      <c r="F3" s="1526" t="s">
        <v>257</v>
      </c>
    </row>
    <row r="4" spans="1:6" ht="13.7" customHeight="1" x14ac:dyDescent="0.2">
      <c r="A4" s="715" t="s">
        <v>1155</v>
      </c>
      <c r="B4" s="1748">
        <f>'Revenues 9-14'!C5</f>
        <v>3129077</v>
      </c>
      <c r="C4" s="1523">
        <v>1760121</v>
      </c>
      <c r="D4" s="1751">
        <f>B4-C4</f>
        <v>1368956</v>
      </c>
      <c r="E4" s="1523">
        <v>3101080</v>
      </c>
      <c r="F4" s="1751">
        <f>E4-C4</f>
        <v>1340959</v>
      </c>
    </row>
    <row r="5" spans="1:6" ht="13.7" customHeight="1" x14ac:dyDescent="0.2">
      <c r="A5" s="715" t="s">
        <v>870</v>
      </c>
      <c r="B5" s="1749">
        <f>'Revenues 9-14'!D5</f>
        <v>601747</v>
      </c>
      <c r="C5" s="585">
        <v>338484</v>
      </c>
      <c r="D5" s="1752">
        <f t="shared" ref="D5:D18" si="0">B5-C5</f>
        <v>263263</v>
      </c>
      <c r="E5" s="585">
        <v>596362</v>
      </c>
      <c r="F5" s="1752">
        <f>E5-C5</f>
        <v>257878</v>
      </c>
    </row>
    <row r="6" spans="1:6" ht="13.7" customHeight="1" x14ac:dyDescent="0.2">
      <c r="A6" s="715" t="s">
        <v>411</v>
      </c>
      <c r="B6" s="1749">
        <f>'Revenues 9-14'!E5</f>
        <v>690121</v>
      </c>
      <c r="C6" s="585">
        <v>382420</v>
      </c>
      <c r="D6" s="1752">
        <f t="shared" si="0"/>
        <v>307701</v>
      </c>
      <c r="E6" s="585">
        <v>673769</v>
      </c>
      <c r="F6" s="1752">
        <f t="shared" ref="F6:F18" si="1">E6-C6</f>
        <v>291349</v>
      </c>
    </row>
    <row r="7" spans="1:6" ht="13.7" customHeight="1" x14ac:dyDescent="0.2">
      <c r="A7" s="715" t="s">
        <v>155</v>
      </c>
      <c r="B7" s="1749">
        <f>'Revenues 9-14'!F5</f>
        <v>240697</v>
      </c>
      <c r="C7" s="585">
        <v>135392</v>
      </c>
      <c r="D7" s="1752">
        <f t="shared" si="0"/>
        <v>105305</v>
      </c>
      <c r="E7" s="585">
        <v>238545</v>
      </c>
      <c r="F7" s="1752">
        <f t="shared" si="1"/>
        <v>103153</v>
      </c>
    </row>
    <row r="8" spans="1:6" ht="13.7" customHeight="1" x14ac:dyDescent="0.2">
      <c r="A8" s="715" t="s">
        <v>1179</v>
      </c>
      <c r="B8" s="1749">
        <f>'Revenues 9-14'!G5</f>
        <v>132143</v>
      </c>
      <c r="C8" s="585">
        <v>68169</v>
      </c>
      <c r="D8" s="1752">
        <f t="shared" si="0"/>
        <v>63974</v>
      </c>
      <c r="E8" s="585">
        <v>120107</v>
      </c>
      <c r="F8" s="1752">
        <f t="shared" si="1"/>
        <v>51938</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60177</v>
      </c>
      <c r="C10" s="585">
        <v>33850</v>
      </c>
      <c r="D10" s="1752">
        <f t="shared" si="0"/>
        <v>26327</v>
      </c>
      <c r="E10" s="585">
        <v>59636</v>
      </c>
      <c r="F10" s="1752">
        <f t="shared" si="1"/>
        <v>25786</v>
      </c>
    </row>
    <row r="11" spans="1:6" x14ac:dyDescent="0.2">
      <c r="A11" s="715" t="s">
        <v>409</v>
      </c>
      <c r="B11" s="1749">
        <f>'Revenues 9-14'!J5</f>
        <v>448339</v>
      </c>
      <c r="C11" s="585">
        <v>261106</v>
      </c>
      <c r="D11" s="1752">
        <f t="shared" si="0"/>
        <v>187233</v>
      </c>
      <c r="E11" s="585">
        <v>460034</v>
      </c>
      <c r="F11" s="1752">
        <f t="shared" si="1"/>
        <v>198928</v>
      </c>
    </row>
    <row r="12" spans="1:6" ht="13.7" customHeight="1" x14ac:dyDescent="0.2">
      <c r="A12" s="715" t="s">
        <v>157</v>
      </c>
      <c r="B12" s="1749">
        <f>'Revenues 9-14'!K5</f>
        <v>60177</v>
      </c>
      <c r="C12" s="585">
        <v>33850</v>
      </c>
      <c r="D12" s="1752">
        <f t="shared" si="0"/>
        <v>26327</v>
      </c>
      <c r="E12" s="585">
        <v>59636</v>
      </c>
      <c r="F12" s="1752">
        <f t="shared" si="1"/>
        <v>25786</v>
      </c>
    </row>
    <row r="13" spans="1:6" ht="13.7" customHeight="1" x14ac:dyDescent="0.2">
      <c r="A13" s="715" t="s">
        <v>936</v>
      </c>
      <c r="B13" s="1749">
        <f>SUM('Revenues 9-14'!C6:D6)</f>
        <v>60177</v>
      </c>
      <c r="C13" s="585">
        <v>33850</v>
      </c>
      <c r="D13" s="1752">
        <f t="shared" si="0"/>
        <v>26327</v>
      </c>
      <c r="E13" s="585">
        <v>59636</v>
      </c>
      <c r="F13" s="1752">
        <f t="shared" si="1"/>
        <v>25786</v>
      </c>
    </row>
    <row r="14" spans="1:6" ht="13.7" customHeight="1" x14ac:dyDescent="0.2">
      <c r="A14" s="715" t="s">
        <v>410</v>
      </c>
      <c r="B14" s="1749">
        <f>SUM('Revenues 9-14'!C7:D7,'Revenues 9-14'!F7:H7)</f>
        <v>48138</v>
      </c>
      <c r="C14" s="585">
        <v>27078</v>
      </c>
      <c r="D14" s="1752">
        <f t="shared" si="0"/>
        <v>21060</v>
      </c>
      <c r="E14" s="585">
        <v>47709</v>
      </c>
      <c r="F14" s="1752">
        <f t="shared" si="1"/>
        <v>20631</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157139</v>
      </c>
      <c r="C16" s="585">
        <v>79476</v>
      </c>
      <c r="D16" s="1752">
        <f t="shared" si="0"/>
        <v>77663</v>
      </c>
      <c r="E16" s="585">
        <v>140026</v>
      </c>
      <c r="F16" s="1752">
        <f t="shared" si="1"/>
        <v>60550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5627932</v>
      </c>
      <c r="C19" s="1750">
        <f>SUM(C4:C18)</f>
        <v>3153796</v>
      </c>
      <c r="D19" s="1750">
        <f>SUM(D4:D18)</f>
        <v>2474136</v>
      </c>
      <c r="E19" s="1750">
        <f>SUM(E4:E18)</f>
        <v>5556540</v>
      </c>
      <c r="F19" s="1750">
        <f>SUM(F4:F18)</f>
        <v>2402744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topLeftCell="A34"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629</v>
      </c>
      <c r="B1" s="2199"/>
      <c r="C1" s="721"/>
    </row>
    <row r="2" spans="1:7" ht="33.75" x14ac:dyDescent="0.2">
      <c r="A2" s="2207" t="s">
        <v>1802</v>
      </c>
      <c r="B2" s="2208"/>
      <c r="C2" s="1883" t="s">
        <v>1956</v>
      </c>
      <c r="D2" s="723" t="s">
        <v>1957</v>
      </c>
      <c r="E2" s="723" t="s">
        <v>1958</v>
      </c>
      <c r="F2" s="1883" t="s">
        <v>1959</v>
      </c>
    </row>
    <row r="3" spans="1:7" ht="15.75" customHeight="1" x14ac:dyDescent="0.2">
      <c r="A3" s="2211" t="s">
        <v>1114</v>
      </c>
      <c r="B3" s="2212"/>
      <c r="C3" s="2200"/>
      <c r="D3" s="2201"/>
      <c r="E3" s="2201"/>
      <c r="F3" s="2202"/>
    </row>
    <row r="4" spans="1:7" ht="12.75" customHeight="1" thickBot="1" x14ac:dyDescent="0.25">
      <c r="A4" s="2209" t="s">
        <v>630</v>
      </c>
      <c r="B4" s="2210"/>
      <c r="C4" s="581"/>
      <c r="D4" s="581"/>
      <c r="E4" s="581"/>
      <c r="F4" s="1754">
        <f>SUM(C4+D4)-E4</f>
        <v>0</v>
      </c>
    </row>
    <row r="5" spans="1:7" ht="15.75" customHeight="1" thickTop="1" x14ac:dyDescent="0.2">
      <c r="A5" s="2194" t="s">
        <v>1110</v>
      </c>
      <c r="B5" s="2195"/>
      <c r="C5" s="2203"/>
      <c r="D5" s="2204"/>
      <c r="E5" s="2204"/>
      <c r="F5" s="2205"/>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6" t="s">
        <v>631</v>
      </c>
      <c r="B15" s="2197"/>
      <c r="C15" s="1754">
        <f>SUM(C6:C14)</f>
        <v>0</v>
      </c>
      <c r="D15" s="1754">
        <f>SUM(D6:D14)</f>
        <v>0</v>
      </c>
      <c r="E15" s="1754">
        <f>SUM(E6:E14)</f>
        <v>0</v>
      </c>
      <c r="F15" s="1754">
        <f>SUM(F6:F14)</f>
        <v>0</v>
      </c>
      <c r="G15" s="552"/>
    </row>
    <row r="16" spans="1:7" s="202" customFormat="1" ht="15.75" customHeight="1" thickTop="1" x14ac:dyDescent="0.2">
      <c r="A16" s="2206" t="s">
        <v>1111</v>
      </c>
      <c r="B16" s="2195"/>
      <c r="C16" s="2203"/>
      <c r="D16" s="2204"/>
      <c r="E16" s="2204"/>
      <c r="F16" s="2205"/>
    </row>
    <row r="17" spans="1:11" ht="12.75" customHeight="1" thickBot="1" x14ac:dyDescent="0.25">
      <c r="A17" s="2219" t="s">
        <v>64</v>
      </c>
      <c r="B17" s="2220"/>
      <c r="C17" s="726"/>
      <c r="D17" s="585"/>
      <c r="E17" s="726"/>
      <c r="F17" s="1754">
        <f>SUM(C17+D17)-E17</f>
        <v>0</v>
      </c>
    </row>
    <row r="18" spans="1:11" ht="12.75" customHeight="1" thickTop="1" thickBot="1" x14ac:dyDescent="0.25">
      <c r="A18" s="2219" t="s">
        <v>6</v>
      </c>
      <c r="B18" s="2220"/>
      <c r="C18" s="726"/>
      <c r="D18" s="585"/>
      <c r="E18" s="726"/>
      <c r="F18" s="1754">
        <f>SUM(C18+D18)-E18</f>
        <v>0</v>
      </c>
    </row>
    <row r="19" spans="1:11" ht="12.75" customHeight="1" thickTop="1" thickBot="1" x14ac:dyDescent="0.25">
      <c r="A19" s="2219" t="s">
        <v>388</v>
      </c>
      <c r="B19" s="2220"/>
      <c r="C19" s="726"/>
      <c r="D19" s="585"/>
      <c r="E19" s="726"/>
      <c r="F19" s="1754">
        <f>SUM(C19+D19)-E19</f>
        <v>0</v>
      </c>
    </row>
    <row r="20" spans="1:11" ht="12.75" customHeight="1" thickTop="1" thickBot="1" x14ac:dyDescent="0.25">
      <c r="A20" s="2219" t="s">
        <v>448</v>
      </c>
      <c r="B20" s="2220"/>
      <c r="C20" s="726"/>
      <c r="D20" s="585"/>
      <c r="E20" s="726"/>
      <c r="F20" s="1754">
        <f>SUM(C20+D20)-E20</f>
        <v>0</v>
      </c>
    </row>
    <row r="21" spans="1:11" ht="14.25" thickTop="1" thickBot="1" x14ac:dyDescent="0.25">
      <c r="A21" s="2196" t="s">
        <v>632</v>
      </c>
      <c r="B21" s="2197"/>
      <c r="C21" s="1754">
        <f>SUM(C17:C20)</f>
        <v>0</v>
      </c>
      <c r="D21" s="1754">
        <f>SUM(D17:D20)</f>
        <v>0</v>
      </c>
      <c r="E21" s="1754">
        <f>SUM(E17:E20)</f>
        <v>0</v>
      </c>
      <c r="F21" s="1754">
        <f>SUM(F17:F20)</f>
        <v>0</v>
      </c>
      <c r="G21" s="552"/>
    </row>
    <row r="22" spans="1:11" ht="15.75" customHeight="1" thickTop="1" x14ac:dyDescent="0.2">
      <c r="A22" s="2221" t="s">
        <v>1112</v>
      </c>
      <c r="B22" s="2195"/>
      <c r="C22" s="2203"/>
      <c r="D22" s="2204"/>
      <c r="E22" s="2204"/>
      <c r="F22" s="2205"/>
    </row>
    <row r="23" spans="1:11" ht="13.5" thickBot="1" x14ac:dyDescent="0.25">
      <c r="A23" s="2209" t="s">
        <v>633</v>
      </c>
      <c r="B23" s="2210"/>
      <c r="C23" s="581"/>
      <c r="D23" s="581"/>
      <c r="E23" s="581"/>
      <c r="F23" s="1754">
        <f>SUM(C23+D23)-E23</f>
        <v>0</v>
      </c>
      <c r="G23" s="552"/>
    </row>
    <row r="24" spans="1:11" ht="15.75" customHeight="1" thickTop="1" x14ac:dyDescent="0.2">
      <c r="A24" s="2221" t="s">
        <v>1113</v>
      </c>
      <c r="B24" s="2195"/>
      <c r="C24" s="2203"/>
      <c r="D24" s="2204"/>
      <c r="E24" s="2204"/>
      <c r="F24" s="2205"/>
    </row>
    <row r="25" spans="1:11" ht="13.5" thickBot="1" x14ac:dyDescent="0.25">
      <c r="A25" s="2209" t="s">
        <v>634</v>
      </c>
      <c r="B25" s="2210"/>
      <c r="C25" s="581"/>
      <c r="D25" s="581"/>
      <c r="E25" s="581"/>
      <c r="F25" s="1754">
        <f>SUM(C25+D25)-E25</f>
        <v>0</v>
      </c>
      <c r="G25" s="552"/>
    </row>
    <row r="26" spans="1:11" ht="15.75" customHeight="1" thickTop="1" x14ac:dyDescent="0.2">
      <c r="A26" s="2194" t="s">
        <v>657</v>
      </c>
      <c r="B26" s="2195"/>
      <c r="C26" s="727"/>
      <c r="D26" s="727"/>
      <c r="E26" s="727"/>
      <c r="F26" s="728"/>
    </row>
    <row r="27" spans="1:11" ht="13.5" thickBot="1" x14ac:dyDescent="0.25">
      <c r="A27" s="2196" t="s">
        <v>1070</v>
      </c>
      <c r="B27" s="2197"/>
      <c r="C27" s="585"/>
      <c r="D27" s="585"/>
      <c r="E27" s="585"/>
      <c r="F27" s="1754">
        <f>SUM(C27+D27)-E27</f>
        <v>0</v>
      </c>
      <c r="G27" s="552"/>
    </row>
    <row r="28" spans="1:11" ht="7.5" customHeight="1" thickTop="1" x14ac:dyDescent="0.2">
      <c r="A28" s="593"/>
    </row>
    <row r="29" spans="1:11" ht="23.25" customHeight="1" x14ac:dyDescent="0.2">
      <c r="A29" s="2222" t="s">
        <v>582</v>
      </c>
      <c r="B29" s="2199"/>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2075</v>
      </c>
      <c r="B31" s="733">
        <v>42552</v>
      </c>
      <c r="C31" s="734">
        <v>1200000</v>
      </c>
      <c r="D31" s="735">
        <v>1</v>
      </c>
      <c r="E31" s="734">
        <v>825000</v>
      </c>
      <c r="F31" s="734"/>
      <c r="G31" s="734"/>
      <c r="H31" s="734">
        <v>195000</v>
      </c>
      <c r="I31" s="1755">
        <f>((E31+F31)-H31)+G31</f>
        <v>630000</v>
      </c>
      <c r="J31" s="734">
        <v>180001</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t="s">
        <v>2076</v>
      </c>
      <c r="B33" s="733">
        <v>42927</v>
      </c>
      <c r="C33" s="734">
        <v>1570000</v>
      </c>
      <c r="D33" s="735" t="s">
        <v>2077</v>
      </c>
      <c r="E33" s="734">
        <v>1570000</v>
      </c>
      <c r="F33" s="734"/>
      <c r="G33" s="734"/>
      <c r="H33" s="734">
        <v>570000</v>
      </c>
      <c r="I33" s="1755">
        <f t="shared" ref="I33:I48" si="1">((E33+F33)-H33)+G33</f>
        <v>1000000</v>
      </c>
      <c r="J33" s="734">
        <v>1000000</v>
      </c>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2770000</v>
      </c>
      <c r="D49" s="745"/>
      <c r="E49" s="1755">
        <f t="shared" ref="E49:J49" si="2">SUM(E31:E48)</f>
        <v>2395000</v>
      </c>
      <c r="F49" s="1755">
        <f t="shared" si="2"/>
        <v>0</v>
      </c>
      <c r="G49" s="1755">
        <f t="shared" si="2"/>
        <v>0</v>
      </c>
      <c r="H49" s="1755">
        <f t="shared" si="2"/>
        <v>765000</v>
      </c>
      <c r="I49" s="1755">
        <f t="shared" si="2"/>
        <v>1630000</v>
      </c>
      <c r="J49" s="1755">
        <f t="shared" si="2"/>
        <v>1180001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3" t="s">
        <v>584</v>
      </c>
      <c r="C52" s="2214"/>
      <c r="D52" s="2214"/>
      <c r="E52" s="749" t="s">
        <v>845</v>
      </c>
      <c r="F52" s="2215"/>
      <c r="G52" s="2216"/>
      <c r="H52" s="736"/>
      <c r="I52" s="736"/>
      <c r="J52" s="746"/>
    </row>
    <row r="53" spans="1:11" ht="11.25" customHeight="1" x14ac:dyDescent="0.2">
      <c r="A53" s="750" t="s">
        <v>913</v>
      </c>
      <c r="B53" s="751" t="s">
        <v>951</v>
      </c>
      <c r="C53" s="746"/>
      <c r="D53" s="737"/>
      <c r="E53" s="749" t="s">
        <v>497</v>
      </c>
      <c r="F53" s="2217"/>
      <c r="G53" s="2218"/>
      <c r="H53" s="736"/>
      <c r="I53" s="736"/>
      <c r="J53" s="746"/>
    </row>
    <row r="54" spans="1:11" ht="11.25" customHeight="1" x14ac:dyDescent="0.2">
      <c r="A54" s="752" t="s">
        <v>914</v>
      </c>
      <c r="B54" s="747" t="s">
        <v>952</v>
      </c>
      <c r="C54" s="746"/>
      <c r="D54" s="737"/>
      <c r="E54" s="749" t="s">
        <v>498</v>
      </c>
      <c r="F54" s="2217"/>
      <c r="G54" s="221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K48"/>
  <sheetViews>
    <sheetView showGridLines="0" defaultGridColor="0" topLeftCell="A13" colorId="8" zoomScale="110" zoomScaleNormal="110" workbookViewId="0">
      <selection activeCell="K22" sqref="K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856</v>
      </c>
      <c r="B1" s="2248"/>
      <c r="C1" s="2248"/>
      <c r="D1" s="2248"/>
      <c r="E1" s="2248"/>
      <c r="F1" s="2248"/>
      <c r="G1" s="2249"/>
      <c r="H1" s="1529"/>
      <c r="I1" s="760"/>
      <c r="J1" s="433"/>
    </row>
    <row r="2" spans="1:11" ht="26.25" x14ac:dyDescent="0.2">
      <c r="A2" s="2226" t="s">
        <v>1677</v>
      </c>
      <c r="B2" s="2227"/>
      <c r="C2" s="2227"/>
      <c r="D2" s="2227"/>
      <c r="E2" s="2228"/>
      <c r="F2" s="761" t="s">
        <v>904</v>
      </c>
      <c r="G2" s="762" t="s">
        <v>1674</v>
      </c>
      <c r="H2" s="762" t="s">
        <v>410</v>
      </c>
      <c r="I2" s="762" t="s">
        <v>1158</v>
      </c>
      <c r="J2" s="762" t="s">
        <v>1812</v>
      </c>
      <c r="K2" s="762" t="s">
        <v>138</v>
      </c>
    </row>
    <row r="3" spans="1:11" x14ac:dyDescent="0.2">
      <c r="A3" s="2229" t="s">
        <v>1964</v>
      </c>
      <c r="B3" s="2230"/>
      <c r="C3" s="2230"/>
      <c r="D3" s="2230"/>
      <c r="E3" s="2231"/>
      <c r="F3" s="763"/>
      <c r="G3" s="764"/>
      <c r="H3" s="764"/>
      <c r="I3" s="764"/>
      <c r="J3" s="765">
        <v>397575</v>
      </c>
      <c r="K3" s="765"/>
    </row>
    <row r="4" spans="1:11" x14ac:dyDescent="0.2">
      <c r="A4" s="2232" t="s">
        <v>369</v>
      </c>
      <c r="B4" s="2233"/>
      <c r="C4" s="2233"/>
      <c r="D4" s="2233"/>
      <c r="E4" s="2214"/>
      <c r="F4" s="766"/>
      <c r="G4" s="767"/>
      <c r="H4" s="768"/>
      <c r="I4" s="767"/>
      <c r="J4" s="769"/>
      <c r="K4" s="769"/>
    </row>
    <row r="5" spans="1:11" x14ac:dyDescent="0.2">
      <c r="A5" s="2250" t="s">
        <v>1069</v>
      </c>
      <c r="B5" s="2223"/>
      <c r="C5" s="2223"/>
      <c r="D5" s="2223"/>
      <c r="E5" s="2251"/>
      <c r="F5" s="770" t="s">
        <v>848</v>
      </c>
      <c r="G5" s="771"/>
      <c r="H5" s="764">
        <v>48138</v>
      </c>
      <c r="I5" s="772"/>
      <c r="J5" s="773"/>
      <c r="K5" s="773"/>
    </row>
    <row r="6" spans="1:11" x14ac:dyDescent="0.2">
      <c r="A6" s="774" t="s">
        <v>720</v>
      </c>
      <c r="B6" s="775"/>
      <c r="C6" s="775"/>
      <c r="D6" s="775"/>
      <c r="E6" s="776"/>
      <c r="F6" s="777" t="s">
        <v>849</v>
      </c>
      <c r="G6" s="764"/>
      <c r="H6" s="764">
        <v>19</v>
      </c>
      <c r="I6" s="764"/>
      <c r="J6" s="765">
        <v>4914</v>
      </c>
      <c r="K6" s="765"/>
    </row>
    <row r="7" spans="1:11" x14ac:dyDescent="0.2">
      <c r="A7" s="778" t="s">
        <v>246</v>
      </c>
      <c r="B7" s="779"/>
      <c r="C7" s="779"/>
      <c r="D7" s="779"/>
      <c r="E7" s="780"/>
      <c r="F7" s="770" t="s">
        <v>850</v>
      </c>
      <c r="G7" s="767"/>
      <c r="H7" s="767"/>
      <c r="I7" s="767"/>
      <c r="J7" s="781"/>
      <c r="K7" s="765">
        <v>6422</v>
      </c>
    </row>
    <row r="8" spans="1:11" x14ac:dyDescent="0.2">
      <c r="A8" s="778" t="s">
        <v>345</v>
      </c>
      <c r="B8" s="779"/>
      <c r="C8" s="779"/>
      <c r="D8" s="779"/>
      <c r="E8" s="780"/>
      <c r="F8" s="770" t="s">
        <v>851</v>
      </c>
      <c r="G8" s="782"/>
      <c r="H8" s="782"/>
      <c r="I8" s="782"/>
      <c r="J8" s="765">
        <v>482315</v>
      </c>
      <c r="K8" s="769"/>
    </row>
    <row r="9" spans="1:11" x14ac:dyDescent="0.2">
      <c r="A9" s="778" t="s">
        <v>138</v>
      </c>
      <c r="B9" s="779"/>
      <c r="C9" s="779"/>
      <c r="D9" s="779"/>
      <c r="E9" s="780"/>
      <c r="F9" s="777" t="s">
        <v>853</v>
      </c>
      <c r="G9" s="782"/>
      <c r="H9" s="771"/>
      <c r="I9" s="771"/>
      <c r="J9" s="781"/>
      <c r="K9" s="765">
        <v>13930</v>
      </c>
    </row>
    <row r="10" spans="1:11" x14ac:dyDescent="0.2">
      <c r="A10" s="2250" t="s">
        <v>1813</v>
      </c>
      <c r="B10" s="2223"/>
      <c r="C10" s="2223"/>
      <c r="D10" s="2223"/>
      <c r="E10" s="2252"/>
      <c r="F10" s="783" t="s">
        <v>862</v>
      </c>
      <c r="G10" s="782"/>
      <c r="H10" s="784"/>
      <c r="I10" s="764"/>
      <c r="J10" s="765">
        <v>8750</v>
      </c>
      <c r="K10" s="765"/>
    </row>
    <row r="11" spans="1:11" x14ac:dyDescent="0.2">
      <c r="A11" s="2250" t="s">
        <v>160</v>
      </c>
      <c r="B11" s="2223"/>
      <c r="C11" s="2223"/>
      <c r="D11" s="2223"/>
      <c r="E11" s="2251"/>
      <c r="F11" s="770" t="s">
        <v>852</v>
      </c>
      <c r="G11" s="771"/>
      <c r="H11" s="764"/>
      <c r="I11" s="764"/>
      <c r="J11" s="765"/>
      <c r="K11" s="773"/>
    </row>
    <row r="12" spans="1:11" ht="13.5" thickBot="1" x14ac:dyDescent="0.25">
      <c r="A12" s="2240" t="s">
        <v>905</v>
      </c>
      <c r="B12" s="2241"/>
      <c r="C12" s="2241"/>
      <c r="D12" s="2241"/>
      <c r="E12" s="2242"/>
      <c r="F12" s="1756"/>
      <c r="G12" s="1757">
        <f>SUM(G5:G11)</f>
        <v>0</v>
      </c>
      <c r="H12" s="1757">
        <f>SUM(H5:H11)</f>
        <v>48157</v>
      </c>
      <c r="I12" s="1757">
        <f>SUM(I5:I11)</f>
        <v>0</v>
      </c>
      <c r="J12" s="1757">
        <f>SUM(J5:J11)</f>
        <v>495979</v>
      </c>
      <c r="K12" s="1757">
        <f>SUM(K5:K11)</f>
        <v>20352</v>
      </c>
    </row>
    <row r="13" spans="1:11" ht="13.5" thickTop="1" x14ac:dyDescent="0.2">
      <c r="A13" s="2234" t="s">
        <v>370</v>
      </c>
      <c r="B13" s="2235"/>
      <c r="C13" s="2235"/>
      <c r="D13" s="2235"/>
      <c r="E13" s="2236"/>
      <c r="F13" s="785"/>
      <c r="G13" s="786"/>
      <c r="H13" s="787"/>
      <c r="I13" s="788"/>
      <c r="J13" s="788"/>
      <c r="K13" s="788"/>
    </row>
    <row r="14" spans="1:11" x14ac:dyDescent="0.2">
      <c r="A14" s="2256" t="s">
        <v>456</v>
      </c>
      <c r="B14" s="2256"/>
      <c r="C14" s="2256"/>
      <c r="D14" s="2256"/>
      <c r="E14" s="2257"/>
      <c r="F14" s="789" t="s">
        <v>854</v>
      </c>
      <c r="G14" s="782"/>
      <c r="H14" s="764">
        <v>48157</v>
      </c>
      <c r="I14" s="771"/>
      <c r="J14" s="773"/>
      <c r="K14" s="765">
        <v>20352</v>
      </c>
    </row>
    <row r="15" spans="1:11" x14ac:dyDescent="0.2">
      <c r="A15" s="2223" t="s">
        <v>4</v>
      </c>
      <c r="B15" s="2223"/>
      <c r="C15" s="2223"/>
      <c r="D15" s="2223"/>
      <c r="E15" s="2251"/>
      <c r="F15" s="789" t="s">
        <v>855</v>
      </c>
      <c r="G15" s="771"/>
      <c r="H15" s="764"/>
      <c r="I15" s="764"/>
      <c r="J15" s="765">
        <v>160678</v>
      </c>
      <c r="K15" s="765"/>
    </row>
    <row r="16" spans="1:11" x14ac:dyDescent="0.2">
      <c r="A16" s="2223" t="s">
        <v>298</v>
      </c>
      <c r="B16" s="2223"/>
      <c r="C16" s="2223"/>
      <c r="D16" s="2223"/>
      <c r="E16" s="2251"/>
      <c r="F16" s="789" t="s">
        <v>923</v>
      </c>
      <c r="G16" s="772"/>
      <c r="H16" s="767"/>
      <c r="I16" s="767"/>
      <c r="J16" s="769"/>
      <c r="K16" s="769"/>
    </row>
    <row r="17" spans="1:11" x14ac:dyDescent="0.2">
      <c r="A17" s="2245" t="s">
        <v>935</v>
      </c>
      <c r="B17" s="2245"/>
      <c r="C17" s="2245"/>
      <c r="D17" s="2245"/>
      <c r="E17" s="2246"/>
      <c r="F17" s="790"/>
      <c r="G17" s="791"/>
      <c r="H17" s="792"/>
      <c r="I17" s="792"/>
      <c r="J17" s="793"/>
      <c r="K17" s="794"/>
    </row>
    <row r="18" spans="1:11" x14ac:dyDescent="0.2">
      <c r="A18" s="2237" t="s">
        <v>368</v>
      </c>
      <c r="B18" s="2238"/>
      <c r="C18" s="2238"/>
      <c r="D18" s="2238"/>
      <c r="E18" s="2239"/>
      <c r="F18" s="789" t="s">
        <v>932</v>
      </c>
      <c r="G18" s="782"/>
      <c r="H18" s="782"/>
      <c r="I18" s="782"/>
      <c r="J18" s="765">
        <v>21825</v>
      </c>
      <c r="K18" s="795"/>
    </row>
    <row r="19" spans="1:11" ht="21.75" customHeight="1" x14ac:dyDescent="0.2">
      <c r="A19" s="2258" t="s">
        <v>1809</v>
      </c>
      <c r="B19" s="2258"/>
      <c r="C19" s="2258"/>
      <c r="D19" s="2258"/>
      <c r="E19" s="2259"/>
      <c r="F19" s="789" t="s">
        <v>933</v>
      </c>
      <c r="G19" s="782"/>
      <c r="H19" s="782"/>
      <c r="I19" s="782"/>
      <c r="J19" s="765">
        <v>195000</v>
      </c>
      <c r="K19" s="795"/>
    </row>
    <row r="20" spans="1:11" x14ac:dyDescent="0.2">
      <c r="A20" s="2237" t="s">
        <v>1814</v>
      </c>
      <c r="B20" s="2238"/>
      <c r="C20" s="2238"/>
      <c r="D20" s="2238"/>
      <c r="E20" s="2239"/>
      <c r="F20" s="789" t="s">
        <v>934</v>
      </c>
      <c r="G20" s="782"/>
      <c r="H20" s="782"/>
      <c r="I20" s="782"/>
      <c r="J20" s="765">
        <v>175</v>
      </c>
      <c r="K20" s="795"/>
    </row>
    <row r="21" spans="1:11" ht="13.5" thickBot="1" x14ac:dyDescent="0.25">
      <c r="A21" s="2243" t="s">
        <v>638</v>
      </c>
      <c r="B21" s="2243"/>
      <c r="C21" s="2243"/>
      <c r="D21" s="2243"/>
      <c r="E21" s="2243"/>
      <c r="F21" s="1758"/>
      <c r="G21" s="792"/>
      <c r="H21" s="796"/>
      <c r="I21" s="796"/>
      <c r="J21" s="1759">
        <f>SUM(J18:J20)</f>
        <v>217000</v>
      </c>
      <c r="K21" s="793"/>
    </row>
    <row r="22" spans="1:11" ht="13.5" thickTop="1" x14ac:dyDescent="0.2">
      <c r="A22" s="2223" t="s">
        <v>1815</v>
      </c>
      <c r="B22" s="2223"/>
      <c r="C22" s="2223"/>
      <c r="D22" s="2223"/>
      <c r="E22" s="2251"/>
      <c r="F22" s="789" t="s">
        <v>862</v>
      </c>
      <c r="G22" s="782"/>
      <c r="H22" s="764"/>
      <c r="I22" s="764"/>
      <c r="J22" s="797"/>
      <c r="K22" s="765"/>
    </row>
    <row r="23" spans="1:11" ht="13.5" thickBot="1" x14ac:dyDescent="0.25">
      <c r="A23" s="2244" t="s">
        <v>906</v>
      </c>
      <c r="B23" s="2243"/>
      <c r="C23" s="2243"/>
      <c r="D23" s="2243"/>
      <c r="E23" s="2243"/>
      <c r="F23" s="1760"/>
      <c r="G23" s="1757">
        <f>SUM(G14:G16,G21,G22)</f>
        <v>0</v>
      </c>
      <c r="H23" s="1757">
        <f>SUM(H14:H16,H21,H22)</f>
        <v>48157</v>
      </c>
      <c r="I23" s="1757">
        <f>SUM(I14:I16,I21,I22)</f>
        <v>0</v>
      </c>
      <c r="J23" s="1757">
        <f>SUM(J14:J16,J21,J22)</f>
        <v>377678</v>
      </c>
      <c r="K23" s="1757">
        <f>SUM(K14:K16,K21,K22)</f>
        <v>20352</v>
      </c>
    </row>
    <row r="24" spans="1:11" ht="14.25" thickTop="1" thickBot="1" x14ac:dyDescent="0.25">
      <c r="A24" s="2244" t="s">
        <v>1965</v>
      </c>
      <c r="B24" s="2243"/>
      <c r="C24" s="2243"/>
      <c r="D24" s="2243"/>
      <c r="E24" s="2243"/>
      <c r="F24" s="1761"/>
      <c r="G24" s="1762">
        <f>SUM(G3,G12)-G23</f>
        <v>0</v>
      </c>
      <c r="H24" s="1762">
        <f>SUM(H3,H12)-H23</f>
        <v>0</v>
      </c>
      <c r="I24" s="1762">
        <f>SUM(I3,I12)-I23</f>
        <v>0</v>
      </c>
      <c r="J24" s="1762">
        <f>SUM(J3,J12)-J23</f>
        <v>515876</v>
      </c>
      <c r="K24" s="1762">
        <f>SUM(K3,K12)-K23</f>
        <v>0</v>
      </c>
    </row>
    <row r="25" spans="1:11" ht="13.5" thickTop="1" x14ac:dyDescent="0.2">
      <c r="A25" s="798" t="s">
        <v>420</v>
      </c>
      <c r="B25" s="799"/>
      <c r="C25" s="799"/>
      <c r="D25" s="799"/>
      <c r="E25" s="800"/>
      <c r="F25" s="801">
        <v>714</v>
      </c>
      <c r="G25" s="802"/>
      <c r="H25" s="802"/>
      <c r="I25" s="802"/>
      <c r="J25" s="797">
        <v>515876</v>
      </c>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3"/>
      <c r="I31" s="2254"/>
      <c r="J31" s="2254"/>
      <c r="K31" s="2254"/>
    </row>
    <row r="32" spans="1:11" x14ac:dyDescent="0.2">
      <c r="A32" s="809"/>
      <c r="B32" s="237"/>
      <c r="C32" s="237"/>
      <c r="D32" s="237"/>
      <c r="E32" s="805"/>
      <c r="F32" s="811" t="s">
        <v>540</v>
      </c>
      <c r="G32" s="764"/>
      <c r="H32" s="2255"/>
      <c r="I32" s="2254"/>
      <c r="J32" s="2254"/>
      <c r="K32" s="2254"/>
    </row>
    <row r="33" spans="1:11" ht="1.5" customHeight="1" x14ac:dyDescent="0.2">
      <c r="A33" s="812" t="s">
        <v>1169</v>
      </c>
      <c r="B33" s="364"/>
      <c r="C33" s="364"/>
      <c r="D33" s="364"/>
      <c r="E33" s="364"/>
      <c r="F33" s="364"/>
      <c r="G33" s="813"/>
      <c r="H33" s="2255"/>
      <c r="I33" s="2254"/>
      <c r="J33" s="2254"/>
      <c r="K33" s="225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3" t="s">
        <v>541</v>
      </c>
      <c r="B41" s="2224"/>
      <c r="C41" s="2224"/>
      <c r="D41" s="2224"/>
      <c r="E41" s="2224"/>
      <c r="F41" s="222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1909</v>
      </c>
      <c r="B1" s="2263"/>
      <c r="C1" s="2264"/>
      <c r="D1" s="826"/>
      <c r="E1" s="827"/>
      <c r="F1" s="827"/>
      <c r="G1" s="828"/>
      <c r="H1" s="829"/>
      <c r="I1" s="830"/>
      <c r="J1" s="2260"/>
      <c r="K1" s="2261"/>
      <c r="L1" s="226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469184</v>
      </c>
      <c r="D5" s="841"/>
      <c r="E5" s="841"/>
      <c r="F5" s="1759">
        <f>(C5+D5)-E5</f>
        <v>469184</v>
      </c>
      <c r="G5" s="837"/>
      <c r="H5" s="842"/>
      <c r="I5" s="842"/>
      <c r="J5" s="842"/>
      <c r="K5" s="793"/>
      <c r="L5" s="1768">
        <f>F5-K5</f>
        <v>469184</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12270016</v>
      </c>
      <c r="D8" s="844">
        <v>75217</v>
      </c>
      <c r="E8" s="844"/>
      <c r="F8" s="1759">
        <f>(C8+D8)-E8</f>
        <v>12345233</v>
      </c>
      <c r="G8" s="843">
        <v>50</v>
      </c>
      <c r="H8" s="765">
        <v>4280785</v>
      </c>
      <c r="I8" s="765">
        <v>246148</v>
      </c>
      <c r="J8" s="765"/>
      <c r="K8" s="1768">
        <f>(H8+I8)-J8</f>
        <v>4526933</v>
      </c>
      <c r="L8" s="1768">
        <f>F8-K8</f>
        <v>7818300</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826755</v>
      </c>
      <c r="D10" s="846"/>
      <c r="E10" s="846"/>
      <c r="F10" s="1763">
        <f>(C10+D10)-E10</f>
        <v>826755</v>
      </c>
      <c r="G10" s="843">
        <v>20</v>
      </c>
      <c r="H10" s="847">
        <v>424822</v>
      </c>
      <c r="I10" s="847">
        <v>34897</v>
      </c>
      <c r="J10" s="847"/>
      <c r="K10" s="1768">
        <f>(H10+I10)-J10</f>
        <v>459719</v>
      </c>
      <c r="L10" s="1768">
        <f>F10-K10</f>
        <v>367036</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1703298</v>
      </c>
      <c r="D12" s="844">
        <v>186022</v>
      </c>
      <c r="E12" s="844">
        <v>275752</v>
      </c>
      <c r="F12" s="1759">
        <f>(C12+D12)-E12</f>
        <v>1613568</v>
      </c>
      <c r="G12" s="843">
        <v>10</v>
      </c>
      <c r="H12" s="765">
        <v>967587</v>
      </c>
      <c r="I12" s="765">
        <v>157697</v>
      </c>
      <c r="J12" s="765">
        <v>275752</v>
      </c>
      <c r="K12" s="1768">
        <f>(H12+I12)-J12</f>
        <v>849532</v>
      </c>
      <c r="L12" s="1768">
        <f>F12-K12</f>
        <v>764036</v>
      </c>
    </row>
    <row r="13" spans="1:14" ht="14.25" thickTop="1" thickBot="1" x14ac:dyDescent="0.25">
      <c r="A13" s="848" t="s">
        <v>1122</v>
      </c>
      <c r="B13" s="840">
        <v>252</v>
      </c>
      <c r="C13" s="844">
        <v>414226</v>
      </c>
      <c r="D13" s="844"/>
      <c r="E13" s="844"/>
      <c r="F13" s="1759">
        <f>(C13+D13)-E13</f>
        <v>414226</v>
      </c>
      <c r="G13" s="843">
        <v>5</v>
      </c>
      <c r="H13" s="765">
        <v>294421</v>
      </c>
      <c r="I13" s="765">
        <v>52639</v>
      </c>
      <c r="J13" s="765"/>
      <c r="K13" s="1768">
        <f>(H13+I13)-J13</f>
        <v>347060</v>
      </c>
      <c r="L13" s="1768">
        <f>F13-K13</f>
        <v>67166</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15683479</v>
      </c>
      <c r="D16" s="1759">
        <f>SUM(D3,D5:D6,D8:D10,D12:D15)</f>
        <v>261239</v>
      </c>
      <c r="E16" s="1759">
        <f>SUM(E3,E5:E6,E8:E10,E12:E15)</f>
        <v>275752</v>
      </c>
      <c r="F16" s="1759">
        <f>SUM(F3,F5:F6,F8:F10,F12:F15)</f>
        <v>15668966</v>
      </c>
      <c r="G16" s="843"/>
      <c r="H16" s="1759">
        <f>SUM(H3,H6,H8:H10,H12:H14,)</f>
        <v>5967615</v>
      </c>
      <c r="I16" s="1759">
        <f>SUM(I3,I6,I8:I10,I12:I14,)</f>
        <v>491381</v>
      </c>
      <c r="J16" s="1759">
        <f>SUM(J3,J6,J8:J10,J12:J14,)</f>
        <v>275752</v>
      </c>
      <c r="K16" s="1759">
        <f>(H16+I16)-J16</f>
        <v>6183244</v>
      </c>
      <c r="L16" s="1759">
        <f>F16-K16</f>
        <v>9485722</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491381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H202"/>
  <sheetViews>
    <sheetView showGridLines="0" defaultGridColor="0" colorId="8" zoomScale="110" zoomScaleNormal="110" workbookViewId="0">
      <pane ySplit="5" topLeftCell="A72" activePane="bottomLeft" state="frozen"/>
      <selection activeCell="A47" sqref="A47"/>
      <selection pane="bottomLeft" activeCell="B161" sqref="B16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1975</v>
      </c>
      <c r="B1" s="2269"/>
      <c r="C1" s="2269"/>
      <c r="D1" s="2269"/>
      <c r="E1" s="2269"/>
      <c r="F1" s="2270"/>
      <c r="G1" s="855"/>
    </row>
    <row r="2" spans="1:7" ht="15" customHeight="1" thickBot="1" x14ac:dyDescent="0.25">
      <c r="A2" s="2271" t="s">
        <v>477</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6876679</v>
      </c>
      <c r="G8" s="865"/>
    </row>
    <row r="9" spans="1:7" x14ac:dyDescent="0.2">
      <c r="A9" s="869" t="s">
        <v>460</v>
      </c>
      <c r="B9" s="870" t="s">
        <v>1877</v>
      </c>
      <c r="C9" s="871"/>
      <c r="D9" s="869" t="s">
        <v>501</v>
      </c>
      <c r="E9" s="868"/>
      <c r="F9" s="1908">
        <f>'Expenditures 15-22'!K151</f>
        <v>592115</v>
      </c>
      <c r="G9" s="872"/>
    </row>
    <row r="10" spans="1:7" x14ac:dyDescent="0.2">
      <c r="A10" s="869" t="s">
        <v>499</v>
      </c>
      <c r="B10" s="870" t="s">
        <v>1878</v>
      </c>
      <c r="C10" s="871"/>
      <c r="D10" s="869" t="s">
        <v>501</v>
      </c>
      <c r="E10" s="868"/>
      <c r="F10" s="1908">
        <f>'Expenditures 15-22'!K174</f>
        <v>888346</v>
      </c>
      <c r="G10" s="872"/>
    </row>
    <row r="11" spans="1:7" x14ac:dyDescent="0.2">
      <c r="A11" s="869" t="s">
        <v>461</v>
      </c>
      <c r="B11" s="870" t="s">
        <v>1879</v>
      </c>
      <c r="C11" s="871"/>
      <c r="D11" s="869" t="s">
        <v>501</v>
      </c>
      <c r="E11" s="868"/>
      <c r="F11" s="1908">
        <f>'Expenditures 15-22'!K210</f>
        <v>476605</v>
      </c>
      <c r="G11" s="872"/>
    </row>
    <row r="12" spans="1:7" x14ac:dyDescent="0.2">
      <c r="A12" s="869" t="s">
        <v>462</v>
      </c>
      <c r="B12" s="870" t="s">
        <v>1880</v>
      </c>
      <c r="C12" s="871"/>
      <c r="D12" s="869" t="s">
        <v>501</v>
      </c>
      <c r="E12" s="868"/>
      <c r="F12" s="1908">
        <f>'Expenditures 15-22'!K295</f>
        <v>249779</v>
      </c>
      <c r="G12" s="872"/>
    </row>
    <row r="13" spans="1:7" x14ac:dyDescent="0.2">
      <c r="A13" s="869" t="s">
        <v>106</v>
      </c>
      <c r="B13" s="870" t="s">
        <v>1881</v>
      </c>
      <c r="C13" s="871"/>
      <c r="D13" s="869" t="s">
        <v>501</v>
      </c>
      <c r="E13" s="868"/>
      <c r="F13" s="1908">
        <f>'Expenditures 15-22'!K342</f>
        <v>421202</v>
      </c>
      <c r="G13" s="873"/>
    </row>
    <row r="14" spans="1:7" ht="12" customHeight="1" thickBot="1" x14ac:dyDescent="0.25">
      <c r="A14" s="1769"/>
      <c r="B14" s="1770"/>
      <c r="C14" s="1771"/>
      <c r="D14" s="1772" t="s">
        <v>501</v>
      </c>
      <c r="E14" s="1773" t="s">
        <v>958</v>
      </c>
      <c r="F14" s="1774">
        <f>SUM(F8:F13)</f>
        <v>9504726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80121</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51836</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55759</v>
      </c>
      <c r="G53" s="865"/>
    </row>
    <row r="54" spans="1:7" x14ac:dyDescent="0.2">
      <c r="A54" s="869" t="s">
        <v>459</v>
      </c>
      <c r="B54" s="869" t="s">
        <v>1476</v>
      </c>
      <c r="C54" s="889" t="s">
        <v>982</v>
      </c>
      <c r="D54" s="885" t="s">
        <v>1095</v>
      </c>
      <c r="E54" s="868"/>
      <c r="F54" s="1912">
        <f>'Expenditures 15-22'!G114</f>
        <v>96197</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10276</v>
      </c>
      <c r="G57" s="865"/>
    </row>
    <row r="58" spans="1:7" x14ac:dyDescent="0.2">
      <c r="A58" s="869" t="s">
        <v>460</v>
      </c>
      <c r="B58" s="869" t="s">
        <v>1883</v>
      </c>
      <c r="C58" s="886" t="s">
        <v>982</v>
      </c>
      <c r="D58" s="885" t="s">
        <v>1095</v>
      </c>
      <c r="E58" s="868"/>
      <c r="F58" s="1914">
        <f>'Expenditures 15-22'!G151</f>
        <v>27490</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765000</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0</v>
      </c>
      <c r="G64" s="865"/>
    </row>
    <row r="65" spans="1:8" x14ac:dyDescent="0.2">
      <c r="A65" s="869" t="s">
        <v>461</v>
      </c>
      <c r="B65" s="869" t="s">
        <v>1890</v>
      </c>
      <c r="C65" s="886" t="s">
        <v>982</v>
      </c>
      <c r="D65" s="885" t="s">
        <v>1095</v>
      </c>
      <c r="E65" s="868"/>
      <c r="F65" s="1912">
        <f>'Expenditures 15-22'!G210</f>
        <v>0</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2982</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0</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1089661</v>
      </c>
      <c r="G76" s="865"/>
    </row>
    <row r="77" spans="1:8" s="893" customFormat="1" ht="12" customHeight="1" thickTop="1" thickBot="1" x14ac:dyDescent="0.25">
      <c r="A77" s="1778"/>
      <c r="B77" s="1775"/>
      <c r="C77" s="1771"/>
      <c r="D77" s="1776" t="s">
        <v>1900</v>
      </c>
      <c r="E77" s="1773"/>
      <c r="F77" s="1779">
        <f>(F14-F76)</f>
        <v>8415065</v>
      </c>
      <c r="G77" s="869"/>
    </row>
    <row r="78" spans="1:8" s="893" customFormat="1" ht="12" customHeight="1" thickTop="1" x14ac:dyDescent="0.2">
      <c r="A78" s="1780"/>
      <c r="B78" s="1775"/>
      <c r="C78" s="1771"/>
      <c r="D78" s="1776" t="s">
        <v>2062</v>
      </c>
      <c r="E78" s="1773"/>
      <c r="F78" s="898">
        <v>863.8</v>
      </c>
      <c r="G78" s="899"/>
      <c r="H78" s="869"/>
    </row>
    <row r="79" spans="1:8" s="893" customFormat="1" ht="12" customHeight="1" thickBot="1" x14ac:dyDescent="0.25">
      <c r="A79" s="1781"/>
      <c r="B79" s="1775"/>
      <c r="C79" s="1771"/>
      <c r="D79" s="1776" t="s">
        <v>1901</v>
      </c>
      <c r="E79" s="1773" t="s">
        <v>958</v>
      </c>
      <c r="F79" s="1782">
        <f>IF(F78&gt;0,F77/F78," Complete Line 78")</f>
        <v>9741.9136374160698</v>
      </c>
      <c r="G79" s="869"/>
    </row>
    <row r="80" spans="1:8" s="893" customFormat="1" ht="8.25" customHeight="1" thickTop="1" x14ac:dyDescent="0.2">
      <c r="A80" s="900"/>
      <c r="B80" s="869"/>
      <c r="C80" s="871"/>
      <c r="D80" s="901"/>
      <c r="E80" s="868"/>
      <c r="F80" s="902"/>
      <c r="G80" s="869"/>
    </row>
    <row r="81" spans="1:7" s="893" customFormat="1" ht="12" thickBot="1" x14ac:dyDescent="0.25">
      <c r="A81" s="2265" t="s">
        <v>1105</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237238</v>
      </c>
      <c r="G94" s="912"/>
    </row>
    <row r="95" spans="1:7" x14ac:dyDescent="0.2">
      <c r="A95" s="908" t="s">
        <v>140</v>
      </c>
      <c r="B95" s="908" t="s">
        <v>175</v>
      </c>
      <c r="C95" s="910">
        <v>1700</v>
      </c>
      <c r="D95" s="918" t="str">
        <f>'Revenues 9-14'!A82</f>
        <v>Total District/School Activity Income</v>
      </c>
      <c r="E95" s="906"/>
      <c r="F95" s="1788">
        <f>SUM('Revenues 9-14'!C82,'Revenues 9-14'!D82)</f>
        <v>104737</v>
      </c>
      <c r="G95" s="912"/>
    </row>
    <row r="96" spans="1:7" x14ac:dyDescent="0.2">
      <c r="A96" s="908" t="s">
        <v>459</v>
      </c>
      <c r="B96" s="908" t="s">
        <v>176</v>
      </c>
      <c r="C96" s="910">
        <f>'Revenues 9-14'!B84</f>
        <v>1811</v>
      </c>
      <c r="D96" s="911" t="str">
        <f>'Revenues 9-14'!A84</f>
        <v>Rentals - Regular Textbooks</v>
      </c>
      <c r="E96" s="906"/>
      <c r="F96" s="1788">
        <f>'Revenues 9-14'!C84</f>
        <v>30735</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1845</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2003</v>
      </c>
      <c r="C105" s="913">
        <v>3100</v>
      </c>
      <c r="D105" s="919" t="str">
        <f>'Revenues 9-14'!A132</f>
        <v>Total Special Education</v>
      </c>
      <c r="E105" s="906"/>
      <c r="F105" s="1788">
        <f>SUM('Revenues 9-14'!C132:D132,'Revenues 9-14'!F132)</f>
        <v>39393</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17898</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2590</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13930</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142811</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2297</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168488</v>
      </c>
      <c r="G125" s="930"/>
    </row>
    <row r="126" spans="1:7" x14ac:dyDescent="0.2">
      <c r="A126" s="927" t="s">
        <v>668</v>
      </c>
      <c r="B126" s="927" t="s">
        <v>2024</v>
      </c>
      <c r="C126" s="932">
        <v>4300</v>
      </c>
      <c r="D126" s="933" t="str">
        <f>'Revenues 9-14'!A204</f>
        <v>Total Title I</v>
      </c>
      <c r="E126" s="906"/>
      <c r="F126" s="1788">
        <f>SUM('Revenues 9-14'!C204,'Revenues 9-14'!D204,'Revenues 9-14'!F204,'Revenues 9-14'!G204)</f>
        <v>94894</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9977</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146193</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19242</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9712</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4422</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v>260499</v>
      </c>
      <c r="G171" s="927"/>
    </row>
    <row r="172" spans="1:7" x14ac:dyDescent="0.2">
      <c r="A172" s="1917" t="s">
        <v>664</v>
      </c>
      <c r="B172" s="1918" t="s">
        <v>1920</v>
      </c>
      <c r="C172" s="1919">
        <v>3300</v>
      </c>
      <c r="D172" s="1920" t="s">
        <v>1923</v>
      </c>
      <c r="E172" s="906"/>
      <c r="F172" s="1905">
        <v>0</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1306901</v>
      </c>
    </row>
    <row r="175" spans="1:7" ht="12" customHeight="1" x14ac:dyDescent="0.2">
      <c r="A175" s="1769"/>
      <c r="B175" s="1783"/>
      <c r="C175" s="1784"/>
      <c r="D175" s="1785" t="s">
        <v>2057</v>
      </c>
      <c r="E175" s="1786"/>
      <c r="F175" s="1788">
        <f>'PCTC-OEPP 27-28'!F77-F174</f>
        <v>7108164</v>
      </c>
    </row>
    <row r="176" spans="1:7" ht="12" customHeight="1" x14ac:dyDescent="0.2">
      <c r="A176" s="1769"/>
      <c r="B176" s="1783"/>
      <c r="C176" s="1784"/>
      <c r="D176" s="1785" t="s">
        <v>1817</v>
      </c>
      <c r="E176" s="1786"/>
      <c r="F176" s="1788">
        <f>'Cap Outlay Deprec 26'!I18</f>
        <v>491381</v>
      </c>
    </row>
    <row r="177" spans="1:7" ht="12" customHeight="1" x14ac:dyDescent="0.2">
      <c r="A177" s="1769"/>
      <c r="B177" s="1783"/>
      <c r="C177" s="1784"/>
      <c r="D177" s="1785" t="s">
        <v>2058</v>
      </c>
      <c r="E177" s="1786"/>
      <c r="F177" s="1788">
        <f>F175+F176</f>
        <v>7599545</v>
      </c>
    </row>
    <row r="178" spans="1:7" ht="12" customHeight="1" x14ac:dyDescent="0.2">
      <c r="A178" s="1769"/>
      <c r="B178" s="1789"/>
      <c r="C178" s="1784"/>
      <c r="D178" s="1785" t="str">
        <f>D78</f>
        <v>9 Month ADA from District Average Daily Attendance/Prior General State Aid Inquiry 2018-2019</v>
      </c>
      <c r="E178" s="1786"/>
      <c r="F178" s="1790">
        <f>'PCTC-OEPP 27-28'!F78</f>
        <v>863.8</v>
      </c>
      <c r="G178" s="930"/>
    </row>
    <row r="179" spans="1:7" ht="12" customHeight="1" thickBot="1" x14ac:dyDescent="0.25">
      <c r="A179" s="1769"/>
      <c r="B179" s="1789"/>
      <c r="C179" s="1784"/>
      <c r="D179" s="1785" t="s">
        <v>2059</v>
      </c>
      <c r="E179" s="1786" t="s">
        <v>1545</v>
      </c>
      <c r="F179" s="1791">
        <f>F177/F178</f>
        <v>8797.8062051400793</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H141"/>
  <sheetViews>
    <sheetView showGridLines="0" topLeftCell="A4" zoomScaleNormal="100" workbookViewId="0">
      <selection activeCell="A19" sqref="A19"/>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9" t="s">
        <v>1818</v>
      </c>
      <c r="B4" s="2280"/>
      <c r="C4" s="2280"/>
      <c r="D4" s="2280"/>
      <c r="E4" s="2280"/>
      <c r="F4" s="2280"/>
      <c r="G4" s="2281"/>
    </row>
    <row r="5" spans="1:7" x14ac:dyDescent="0.25">
      <c r="A5" s="2282"/>
      <c r="B5" s="2283"/>
      <c r="C5" s="2283"/>
      <c r="D5" s="2283"/>
      <c r="E5" s="2283"/>
      <c r="F5" s="2283"/>
      <c r="G5" s="2284"/>
    </row>
    <row r="6" spans="1:7" ht="18.75" x14ac:dyDescent="0.25">
      <c r="A6" s="1533" t="s">
        <v>1819</v>
      </c>
      <c r="B6" s="1534"/>
      <c r="C6" s="1534"/>
      <c r="D6" s="1534"/>
      <c r="E6" s="1534"/>
      <c r="F6" s="1534"/>
      <c r="G6" s="1535"/>
    </row>
    <row r="7" spans="1:7" ht="30.75" customHeight="1" x14ac:dyDescent="0.25">
      <c r="A7" s="2285" t="s">
        <v>1932</v>
      </c>
      <c r="B7" s="2286"/>
      <c r="C7" s="2286"/>
      <c r="D7" s="2286"/>
      <c r="E7" s="2286"/>
      <c r="F7" s="2286"/>
      <c r="G7" s="2287"/>
    </row>
    <row r="8" spans="1:7" ht="15.75" customHeight="1" x14ac:dyDescent="0.25">
      <c r="A8" s="2288" t="s">
        <v>1907</v>
      </c>
      <c r="B8" s="2289"/>
      <c r="C8" s="2289"/>
      <c r="D8" s="2289"/>
      <c r="E8" s="2289"/>
      <c r="F8" s="2289"/>
      <c r="G8" s="2290"/>
    </row>
    <row r="9" spans="1:7" ht="35.25" customHeight="1" x14ac:dyDescent="0.25">
      <c r="A9" s="2285" t="s">
        <v>1935</v>
      </c>
      <c r="B9" s="2286"/>
      <c r="C9" s="2286"/>
      <c r="D9" s="2286"/>
      <c r="E9" s="2286"/>
      <c r="F9" s="2286"/>
      <c r="G9" s="2287"/>
    </row>
    <row r="10" spans="1:7" ht="15" customHeight="1" x14ac:dyDescent="0.25">
      <c r="A10" s="1536" t="s">
        <v>1820</v>
      </c>
      <c r="B10" s="1537"/>
      <c r="C10" s="1537"/>
      <c r="D10" s="1537"/>
      <c r="E10" s="1537"/>
      <c r="F10" s="1537"/>
      <c r="G10" s="1538"/>
    </row>
    <row r="11" spans="1:7" ht="17.25" customHeight="1" x14ac:dyDescent="0.25">
      <c r="A11" s="2285" t="s">
        <v>1934</v>
      </c>
      <c r="B11" s="2286"/>
      <c r="C11" s="2286"/>
      <c r="D11" s="2286"/>
      <c r="E11" s="2286"/>
      <c r="F11" s="2286"/>
      <c r="G11" s="2287"/>
    </row>
    <row r="12" spans="1:7" ht="15" customHeight="1" x14ac:dyDescent="0.25">
      <c r="A12" s="1536" t="s">
        <v>1825</v>
      </c>
      <c r="B12" s="1537"/>
      <c r="C12" s="1537"/>
      <c r="D12" s="1537"/>
      <c r="E12" s="1537"/>
      <c r="F12" s="1537"/>
      <c r="G12" s="1538"/>
    </row>
    <row r="13" spans="1:7" ht="32.25" customHeight="1" x14ac:dyDescent="0.25">
      <c r="A13" s="2276" t="s">
        <v>1976</v>
      </c>
      <c r="B13" s="2277"/>
      <c r="C13" s="2277"/>
      <c r="D13" s="2277"/>
      <c r="E13" s="2277"/>
      <c r="F13" s="2277"/>
      <c r="G13" s="2278"/>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44" t="s">
        <v>2121</v>
      </c>
      <c r="B17" s="1945" t="s">
        <v>2120</v>
      </c>
      <c r="C17" s="1937" t="s">
        <v>2078</v>
      </c>
      <c r="D17" s="1843">
        <v>47602</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22602</v>
      </c>
      <c r="H17" s="1646"/>
    </row>
    <row r="18" spans="1:8" x14ac:dyDescent="0.25">
      <c r="A18" s="1944" t="s">
        <v>2122</v>
      </c>
      <c r="B18" s="1936" t="s">
        <v>2079</v>
      </c>
      <c r="C18" s="1937" t="s">
        <v>2080</v>
      </c>
      <c r="D18" s="1843">
        <v>36000</v>
      </c>
      <c r="E18" s="1539">
        <f t="shared" ref="E18:E140" si="2">IF(D18&lt;=25000,D18,IF(D18&gt;25000,25000,0))</f>
        <v>25000</v>
      </c>
      <c r="F18" s="1931">
        <f t="shared" si="1"/>
        <v>25000</v>
      </c>
      <c r="G18" s="1792">
        <f t="shared" ref="G18:G140" si="3">IF(F18=0,0,D18-F18)</f>
        <v>11000</v>
      </c>
    </row>
    <row r="19" spans="1:8" x14ac:dyDescent="0.25">
      <c r="A19" s="1944" t="s">
        <v>2119</v>
      </c>
      <c r="B19" s="1936" t="s">
        <v>2081</v>
      </c>
      <c r="C19" s="1937" t="s">
        <v>2082</v>
      </c>
      <c r="D19" s="1843">
        <v>145933</v>
      </c>
      <c r="E19" s="1539">
        <f t="shared" si="2"/>
        <v>25000</v>
      </c>
      <c r="F19" s="1931">
        <f t="shared" si="1"/>
        <v>25000</v>
      </c>
      <c r="G19" s="1792">
        <f t="shared" si="3"/>
        <v>120933</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229535</v>
      </c>
      <c r="E141" s="1540">
        <f t="shared" si="0"/>
        <v>25000</v>
      </c>
      <c r="F141" s="1932">
        <f>SUM(F17:F140)</f>
        <v>75000</v>
      </c>
      <c r="G141" s="1794">
        <f>SUM(G17:G140)</f>
        <v>154535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I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1" t="s">
        <v>1679</v>
      </c>
      <c r="B5" s="2292"/>
      <c r="C5" s="2292"/>
      <c r="D5" s="2292"/>
      <c r="E5" s="2292"/>
      <c r="F5" s="2292"/>
      <c r="G5" s="2293"/>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168488</v>
      </c>
      <c r="F10" s="974"/>
      <c r="G10" s="975"/>
      <c r="H10" s="162"/>
      <c r="I10" s="162"/>
    </row>
    <row r="11" spans="1:9" s="668" customFormat="1" ht="22.5" customHeight="1" x14ac:dyDescent="0.2">
      <c r="A11" s="2296" t="s">
        <v>1977</v>
      </c>
      <c r="B11" s="2297"/>
      <c r="C11" s="2297"/>
      <c r="D11" s="2298"/>
      <c r="E11" s="977">
        <v>34919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4758455</v>
      </c>
      <c r="F19" s="1798"/>
      <c r="G19" s="1800">
        <f>'Expenditures 15-22'!K33-SUM('Expenditures 15-22'!G33,'Expenditures 15-22'!I33)+'Expenditures 15-22'!D229</f>
        <v>4758455</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248524</v>
      </c>
      <c r="F21" s="1801"/>
      <c r="G21" s="1804">
        <f>'Expenditures 15-22'!K42-SUM('Expenditures 15-22'!G42,'Expenditures 15-22'!I42)+'Expenditures 15-22'!K120-SUM('Expenditures 15-22'!G120,'Expenditures 15-22'!I120)+'Expenditures 15-22'!K180-SUM('Expenditures 15-22'!G180,'Expenditures 15-22'!I180)+'Expenditures 15-22'!D238</f>
        <v>248524</v>
      </c>
      <c r="H21" s="987"/>
      <c r="I21" s="162"/>
    </row>
    <row r="22" spans="1:9" s="668" customFormat="1" ht="12" customHeight="1" x14ac:dyDescent="0.2">
      <c r="A22" s="994" t="s">
        <v>564</v>
      </c>
      <c r="B22" s="995"/>
      <c r="C22" s="993">
        <v>2200</v>
      </c>
      <c r="D22" s="1801"/>
      <c r="E22" s="1803">
        <f>'Expenditures 15-22'!K47-SUM('Expenditures 15-22'!G47,'Expenditures 15-22'!I47)+'Expenditures 15-22'!D243</f>
        <v>235909</v>
      </c>
      <c r="F22" s="1801"/>
      <c r="G22" s="1804">
        <f>'Expenditures 15-22'!K47-SUM('Expenditures 15-22'!G47,'Expenditures 15-22'!I47)+'Expenditures 15-22'!D243</f>
        <v>235909</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705521</v>
      </c>
      <c r="F23" s="1801"/>
      <c r="G23" s="1803">
        <f>'Expenditures 15-22'!K53-SUM('Expenditures 15-22'!G53,'Expenditures 15-22'!I53)+'Expenditures 15-22'!D257+'Expenditures 15-22'!K330-SUM('Expenditures 15-22'!G330,'Expenditures 15-22'!I330)</f>
        <v>705521</v>
      </c>
      <c r="H23" s="987"/>
      <c r="I23" s="162"/>
    </row>
    <row r="24" spans="1:9" s="668" customFormat="1" ht="12" customHeight="1" x14ac:dyDescent="0.2">
      <c r="A24" s="994" t="s">
        <v>566</v>
      </c>
      <c r="B24" s="995"/>
      <c r="C24" s="993">
        <v>2400</v>
      </c>
      <c r="D24" s="1801"/>
      <c r="E24" s="1803">
        <f>'Expenditures 15-22'!K57-SUM('Expenditures 15-22'!G57,'Expenditures 15-22'!I57)+'Expenditures 15-22'!D261</f>
        <v>517245</v>
      </c>
      <c r="F24" s="1801"/>
      <c r="G24" s="1804">
        <f>'Expenditures 15-22'!K57-SUM('Expenditures 15-22'!G57,'Expenditures 15-22'!I57)+'Expenditures 15-22'!D261</f>
        <v>517245</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238</v>
      </c>
      <c r="E26" s="1803">
        <f>'Expenditures 15-22'!K122-SUM('Expenditures 15-22'!G122,'Expenditures 15-22'!I122)+E7</f>
        <v>0</v>
      </c>
      <c r="F26" s="1803">
        <f>'Expenditures 15-22'!K59-SUM('Expenditures 15-22'!G59,'Expenditures 15-22'!I59)+'Expenditures 15-22'!D263-E7</f>
        <v>238</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81404</v>
      </c>
      <c r="E27" s="1803">
        <f>E8</f>
        <v>0</v>
      </c>
      <c r="F27" s="1803">
        <f>'Expenditures 15-22'!K60-SUM('Expenditures 15-22'!G60,'Expenditures 15-22'!I60)+'Expenditures 15-22'!D264-E8</f>
        <v>81404</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754194</v>
      </c>
      <c r="F28" s="1805">
        <f>'Expenditures 15-22'!K61-SUM('Expenditures 15-22'!G61,'Expenditures 15-22'!I61)+'Expenditures 15-22'!K124-SUM('Expenditures 15-22'!G124,'Expenditures 15-22'!I124)+'Expenditures 15-22'!D266-E9</f>
        <v>754194</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511497</v>
      </c>
      <c r="F29" s="1801"/>
      <c r="G29" s="1804">
        <f>'Expenditures 15-22'!K62-SUM('Expenditures 15-22'!G62,'Expenditures 15-22'!I62)+'Expenditures 15-22'!K125-SUM('Expenditures 15-22'!G125,'Expenditures 15-22'!I125)+'Expenditures 15-22'!K182-SUM('Expenditures 15-22'!G182,'Expenditures 15-22'!I182)+'Expenditures 15-22'!D267</f>
        <v>511497</v>
      </c>
      <c r="H29" s="985"/>
    </row>
    <row r="30" spans="1:9" ht="12" customHeight="1" x14ac:dyDescent="0.2">
      <c r="A30" s="994" t="s">
        <v>100</v>
      </c>
      <c r="B30" s="997"/>
      <c r="C30" s="993">
        <v>2560</v>
      </c>
      <c r="D30" s="1801"/>
      <c r="E30" s="1803">
        <f>'Expenditures 15-22'!K63-SUM('Expenditures 15-22'!G63,'Expenditures 15-22'!I63)+'Expenditures 15-22'!D268-E10</f>
        <v>215670</v>
      </c>
      <c r="F30" s="1801"/>
      <c r="G30" s="1803">
        <f>'Expenditures 15-22'!K63-SUM('Expenditures 15-22'!G63,'Expenditures 15-22'!I63)+'Expenditures 15-22'!D268-E10</f>
        <v>215670</v>
      </c>
    </row>
    <row r="31" spans="1:9" ht="12" customHeight="1" x14ac:dyDescent="0.2">
      <c r="A31" s="994" t="s">
        <v>101</v>
      </c>
      <c r="B31" s="997"/>
      <c r="C31" s="993">
        <v>2570</v>
      </c>
      <c r="D31" s="1803">
        <f>'Expenditures 15-22'!K64-SUM('Expenditures 15-22'!G64,'Expenditures 15-22'!I64)+'Expenditures 15-22'!D269-E12</f>
        <v>3402</v>
      </c>
      <c r="E31" s="1803">
        <f>E12</f>
        <v>0</v>
      </c>
      <c r="F31" s="1803">
        <f>'Expenditures 15-22'!K64-SUM('Expenditures 15-22'!G64,'Expenditures 15-22'!I64)+'Expenditures 15-22'!D269-E12</f>
        <v>3402</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78823</v>
      </c>
      <c r="F35" s="1801"/>
      <c r="G35" s="1803">
        <f>'Expenditures 15-22'!K69-SUM('Expenditures 15-22'!G69,'Expenditures 15-22'!I69)+'Expenditures 15-22'!D274</f>
        <v>78823</v>
      </c>
    </row>
    <row r="36" spans="1:7" ht="12" customHeight="1" x14ac:dyDescent="0.2">
      <c r="A36" s="994" t="s">
        <v>403</v>
      </c>
      <c r="B36" s="997"/>
      <c r="C36" s="993">
        <v>2640</v>
      </c>
      <c r="D36" s="1803">
        <f>'Expenditures 15-22'!K70-SUM('Expenditures 15-22'!G70,'Expenditures 15-22'!I70)+'Expenditures 15-22'!D275-E13</f>
        <v>1095</v>
      </c>
      <c r="E36" s="1803">
        <f>E13</f>
        <v>0</v>
      </c>
      <c r="F36" s="1803">
        <f>'Expenditures 15-22'!K70-SUM('Expenditures 15-22'!G70,'Expenditures 15-22'!I70)+'Expenditures 15-22'!D275-E13</f>
        <v>1095</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146193</v>
      </c>
      <c r="F38" s="1801"/>
      <c r="G38" s="1803">
        <f>'Expenditures 15-22'!K73-SUM('Expenditures 15-22'!G73,'Expenditures 15-22'!I73)+'Expenditures 15-22'!K128-SUM('Expenditures 15-22'!G128,'Expenditures 15-22'!I128)+'Expenditures 15-22'!K183-SUM('Expenditures 15-22'!G183,'Expenditures 15-22'!I183)+'Expenditures 15-22'!D278</f>
        <v>146193</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29'!G141</f>
        <v>-154535</v>
      </c>
      <c r="F40" s="1801"/>
      <c r="G40" s="1805">
        <f>-'Contracts Paid in CY 29'!G141</f>
        <v>-154535</v>
      </c>
    </row>
    <row r="41" spans="1:7" ht="12" customHeight="1" x14ac:dyDescent="0.2">
      <c r="A41" s="998" t="s">
        <v>156</v>
      </c>
      <c r="B41" s="999"/>
      <c r="C41" s="1000"/>
      <c r="D41" s="1805">
        <f>SUM(D19:D39)</f>
        <v>86139</v>
      </c>
      <c r="E41" s="1805">
        <f>SUM(E19:E40)</f>
        <v>8017496</v>
      </c>
      <c r="F41" s="1805">
        <f>SUM(F19:F39)</f>
        <v>840333</v>
      </c>
      <c r="G41" s="1805">
        <f>SUM(G19:G40)</f>
        <v>7263302</v>
      </c>
    </row>
    <row r="42" spans="1:7" x14ac:dyDescent="0.2">
      <c r="A42" s="987"/>
      <c r="B42" s="162"/>
      <c r="C42" s="1001"/>
      <c r="D42" s="2294" t="s">
        <v>522</v>
      </c>
      <c r="E42" s="2295"/>
      <c r="F42" s="1002" t="s">
        <v>523</v>
      </c>
      <c r="G42" s="1003"/>
    </row>
    <row r="43" spans="1:7" ht="12" customHeight="1" x14ac:dyDescent="0.2">
      <c r="A43" s="987"/>
      <c r="B43" s="162"/>
      <c r="C43" s="1001"/>
      <c r="D43" s="1806" t="s">
        <v>473</v>
      </c>
      <c r="E43" s="1807">
        <f>D41</f>
        <v>86139</v>
      </c>
      <c r="F43" s="1806" t="s">
        <v>473</v>
      </c>
      <c r="G43" s="1807">
        <f>F41</f>
        <v>840333</v>
      </c>
    </row>
    <row r="44" spans="1:7" ht="12" customHeight="1" x14ac:dyDescent="0.2">
      <c r="A44" s="987"/>
      <c r="B44" s="162"/>
      <c r="C44" s="1001"/>
      <c r="D44" s="1806" t="s">
        <v>474</v>
      </c>
      <c r="E44" s="1807">
        <f>E41</f>
        <v>8017496</v>
      </c>
      <c r="F44" s="1806" t="s">
        <v>474</v>
      </c>
      <c r="G44" s="1807">
        <f>G41</f>
        <v>7263302</v>
      </c>
    </row>
    <row r="45" spans="1:7" ht="12" customHeight="1" x14ac:dyDescent="0.2">
      <c r="A45" s="987"/>
      <c r="B45" s="162"/>
      <c r="C45" s="162"/>
      <c r="D45" s="1808" t="s">
        <v>1006</v>
      </c>
      <c r="E45" s="1809">
        <f>(E43/E44)</f>
        <v>1.0743878138511076E-2</v>
      </c>
      <c r="F45" s="1808" t="s">
        <v>1006</v>
      </c>
      <c r="G45" s="1809">
        <f>(G43/G44)</f>
        <v>0.11569572626885127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L97"/>
  <sheetViews>
    <sheetView showGridLines="0" zoomScale="110" zoomScaleNormal="110" workbookViewId="0">
      <pane ySplit="4" topLeftCell="A26" activePane="bottomLeft" state="frozen"/>
      <selection activeCell="A47" sqref="A47"/>
      <selection pane="bottomLeft" activeCell="A37" sqref="A37:F37"/>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2" t="s">
        <v>1379</v>
      </c>
      <c r="B1" s="2302"/>
      <c r="C1" s="2302"/>
      <c r="D1" s="2302"/>
      <c r="E1" s="2302"/>
      <c r="F1" s="2302"/>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3" t="s">
        <v>1546</v>
      </c>
      <c r="B5" s="2304"/>
      <c r="C5" s="2305"/>
      <c r="D5" s="2305"/>
      <c r="E5" s="2305"/>
      <c r="F5" s="2305"/>
    </row>
    <row r="6" spans="1:10" ht="12" customHeight="1" x14ac:dyDescent="0.25">
      <c r="A6" s="1849"/>
      <c r="B6" s="1850"/>
      <c r="C6" s="2306" t="str">
        <f>COVER!A17</f>
        <v>River Bend CUSD 2</v>
      </c>
      <c r="D6" s="2306"/>
      <c r="E6" s="2306"/>
      <c r="F6" s="1851"/>
    </row>
    <row r="7" spans="1:10" ht="11.25" customHeight="1" thickBot="1" x14ac:dyDescent="0.3">
      <c r="A7" s="1849"/>
      <c r="B7" s="1850"/>
      <c r="C7" s="2307">
        <f>COVER!A13</f>
        <v>47098002026</v>
      </c>
      <c r="D7" s="2307"/>
      <c r="E7" s="2307"/>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t="s">
        <v>2083</v>
      </c>
      <c r="D16" s="1864" t="s">
        <v>2083</v>
      </c>
      <c r="E16" s="1867" t="s">
        <v>2083</v>
      </c>
      <c r="F16" s="1866" t="s">
        <v>2084</v>
      </c>
      <c r="H16" s="1877">
        <f t="shared" si="0"/>
        <v>5</v>
      </c>
      <c r="I16" s="1877">
        <f t="shared" si="1"/>
        <v>5</v>
      </c>
      <c r="J16" s="1877">
        <f t="shared" si="2"/>
        <v>5</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t="s">
        <v>2083</v>
      </c>
      <c r="D24" s="1864" t="s">
        <v>2083</v>
      </c>
      <c r="E24" s="1867" t="s">
        <v>2083</v>
      </c>
      <c r="F24" s="1866" t="s">
        <v>2085</v>
      </c>
      <c r="H24" s="1877">
        <f t="shared" si="0"/>
        <v>5</v>
      </c>
      <c r="I24" s="1877">
        <f t="shared" si="1"/>
        <v>5</v>
      </c>
      <c r="J24" s="1877">
        <f t="shared" si="2"/>
        <v>5</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2083</v>
      </c>
      <c r="D26" s="1864" t="s">
        <v>2083</v>
      </c>
      <c r="E26" s="1867" t="s">
        <v>2083</v>
      </c>
      <c r="F26" s="1866" t="s">
        <v>2086</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t="s">
        <v>2083</v>
      </c>
      <c r="D28" s="1864" t="s">
        <v>2083</v>
      </c>
      <c r="E28" s="1867" t="s">
        <v>2083</v>
      </c>
      <c r="F28" s="1866" t="s">
        <v>2087</v>
      </c>
      <c r="H28" s="1877">
        <f t="shared" si="0"/>
        <v>5</v>
      </c>
      <c r="I28" s="1877">
        <f t="shared" si="1"/>
        <v>5</v>
      </c>
      <c r="J28" s="1877">
        <f t="shared" si="2"/>
        <v>5</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t="s">
        <v>2083</v>
      </c>
      <c r="D31" s="1864" t="s">
        <v>2083</v>
      </c>
      <c r="E31" s="1867" t="s">
        <v>2083</v>
      </c>
      <c r="F31" s="1866" t="s">
        <v>2132</v>
      </c>
      <c r="H31" s="1877">
        <f t="shared" si="0"/>
        <v>5</v>
      </c>
      <c r="I31" s="1877">
        <f t="shared" si="1"/>
        <v>5</v>
      </c>
      <c r="J31" s="1877">
        <f t="shared" si="2"/>
        <v>5</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25</v>
      </c>
      <c r="I34" s="1877">
        <f>SUM(I11:I32)</f>
        <v>25</v>
      </c>
      <c r="J34" s="1877">
        <f>SUM(J11:J32)</f>
        <v>25</v>
      </c>
      <c r="K34" s="1877">
        <f>SUM(H34:J34)</f>
        <v>75</v>
      </c>
    </row>
    <row r="35" spans="1:11" ht="12" customHeight="1" x14ac:dyDescent="0.2">
      <c r="A35" s="1870" t="s">
        <v>1392</v>
      </c>
      <c r="B35" s="1871"/>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72"/>
      <c r="B39" s="1872"/>
      <c r="C39" s="1872"/>
      <c r="D39" s="1872"/>
      <c r="E39" s="1872"/>
      <c r="F39" s="1872"/>
    </row>
    <row r="40" spans="1:11" s="1869" customFormat="1" ht="12" customHeight="1" x14ac:dyDescent="0.25">
      <c r="A40" s="1873" t="s">
        <v>1391</v>
      </c>
      <c r="B40" s="1874"/>
      <c r="C40" s="2316"/>
      <c r="D40" s="2316"/>
      <c r="E40" s="2316"/>
      <c r="F40" s="2317"/>
      <c r="H40" s="1878"/>
      <c r="I40" s="1878"/>
      <c r="J40" s="1878"/>
      <c r="K40" s="1878"/>
    </row>
    <row r="41" spans="1:11" s="1869" customFormat="1" ht="12" customHeight="1" x14ac:dyDescent="0.25">
      <c r="A41" s="2318"/>
      <c r="B41" s="2319"/>
      <c r="C41" s="2319"/>
      <c r="D41" s="2319"/>
      <c r="E41" s="2319"/>
      <c r="F41" s="2320"/>
      <c r="H41" s="1878"/>
      <c r="I41" s="1878"/>
      <c r="J41" s="1878"/>
      <c r="K41" s="1878"/>
    </row>
    <row r="42" spans="1:11" s="1869" customFormat="1" ht="12" customHeight="1" x14ac:dyDescent="0.25">
      <c r="A42" s="2318"/>
      <c r="B42" s="2319"/>
      <c r="C42" s="2319"/>
      <c r="D42" s="2319"/>
      <c r="E42" s="2319"/>
      <c r="F42" s="2320"/>
      <c r="H42" s="1878"/>
      <c r="I42" s="1878"/>
      <c r="J42" s="1878"/>
      <c r="K42" s="1878"/>
    </row>
    <row r="43" spans="1:11" s="1869" customFormat="1" ht="15" x14ac:dyDescent="0.25">
      <c r="A43" s="2310"/>
      <c r="B43" s="2311"/>
      <c r="C43" s="2311"/>
      <c r="D43" s="2311"/>
      <c r="E43" s="2311"/>
      <c r="F43" s="2312"/>
      <c r="H43" s="1878"/>
      <c r="I43" s="1878"/>
      <c r="J43" s="1878"/>
      <c r="K43" s="1878"/>
    </row>
    <row r="44" spans="1:11" s="1869" customFormat="1" ht="12" hidden="1" customHeight="1" x14ac:dyDescent="0.25">
      <c r="A44" s="2310"/>
      <c r="B44" s="2311"/>
      <c r="C44" s="2311"/>
      <c r="D44" s="2311"/>
      <c r="E44" s="2311"/>
      <c r="F44" s="2312"/>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8" tint="0.59999389629810485"/>
  </sheetPr>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26" t="str">
        <f>COVER!A17</f>
        <v>River Bend CUSD 2</v>
      </c>
      <c r="J6" s="2327"/>
      <c r="Q6" s="1663"/>
    </row>
    <row r="7" spans="1:17" x14ac:dyDescent="0.2">
      <c r="A7" s="2328" t="s">
        <v>869</v>
      </c>
      <c r="B7" s="2329"/>
      <c r="C7" s="2329"/>
      <c r="D7" s="2329"/>
      <c r="E7" s="2330"/>
      <c r="F7" s="1017"/>
      <c r="G7" s="1009"/>
      <c r="H7" s="1016" t="s">
        <v>372</v>
      </c>
      <c r="I7" s="2331">
        <f>COVER!A13</f>
        <v>47098002026</v>
      </c>
      <c r="J7" s="2331"/>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2" t="s">
        <v>481</v>
      </c>
      <c r="B11" s="2333"/>
      <c r="C11" s="233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180511</v>
      </c>
      <c r="F12" s="1039"/>
      <c r="G12" s="1810">
        <f t="shared" ref="G12:G18" si="0">SUM(E12:F12)</f>
        <v>180511</v>
      </c>
      <c r="H12" s="1040">
        <v>189000</v>
      </c>
      <c r="I12" s="1039"/>
      <c r="J12" s="1810">
        <f t="shared" ref="J12:J18" si="1">SUM(H12:I12)</f>
        <v>189000</v>
      </c>
    </row>
    <row r="13" spans="1:17" ht="15" customHeight="1" x14ac:dyDescent="0.2">
      <c r="A13" s="1035">
        <v>2</v>
      </c>
      <c r="B13" s="1036" t="s">
        <v>42</v>
      </c>
      <c r="C13" s="1037"/>
      <c r="D13" s="1038">
        <v>2330</v>
      </c>
      <c r="E13" s="1810">
        <f>'Expenditures 15-22'!K51</f>
        <v>0</v>
      </c>
      <c r="F13" s="1039"/>
      <c r="G13" s="1810">
        <f t="shared" si="0"/>
        <v>0</v>
      </c>
      <c r="H13" s="1040">
        <v>723</v>
      </c>
      <c r="I13" s="1039"/>
      <c r="J13" s="1810">
        <f t="shared" si="1"/>
        <v>723</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201</v>
      </c>
      <c r="F15" s="1810">
        <f>'Expenditures 15-22'!K122</f>
        <v>0</v>
      </c>
      <c r="G15" s="1810">
        <f t="shared" si="0"/>
        <v>201</v>
      </c>
      <c r="H15" s="1040"/>
      <c r="I15" s="1040"/>
      <c r="J15" s="1810">
        <f t="shared" si="1"/>
        <v>0</v>
      </c>
    </row>
    <row r="16" spans="1:17" ht="15" customHeight="1" x14ac:dyDescent="0.2">
      <c r="A16" s="1035">
        <v>5</v>
      </c>
      <c r="B16" s="1036" t="s">
        <v>101</v>
      </c>
      <c r="C16" s="1037"/>
      <c r="D16" s="1038">
        <v>2570</v>
      </c>
      <c r="E16" s="1810">
        <f>'Expenditures 15-22'!K64</f>
        <v>3402</v>
      </c>
      <c r="F16" s="1039"/>
      <c r="G16" s="1810">
        <f t="shared" si="0"/>
        <v>3402</v>
      </c>
      <c r="H16" s="1040">
        <v>2000</v>
      </c>
      <c r="I16" s="1039"/>
      <c r="J16" s="1810">
        <f t="shared" si="1"/>
        <v>2000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35" t="s">
        <v>7</v>
      </c>
      <c r="C18" s="2336"/>
      <c r="D18" s="2337"/>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184114</v>
      </c>
      <c r="F19" s="1812">
        <f t="shared" si="2"/>
        <v>0</v>
      </c>
      <c r="G19" s="1812">
        <f t="shared" si="2"/>
        <v>184114</v>
      </c>
      <c r="H19" s="1812">
        <f t="shared" si="2"/>
        <v>191723</v>
      </c>
      <c r="I19" s="1812">
        <f t="shared" si="2"/>
        <v>0</v>
      </c>
      <c r="J19" s="1812">
        <f t="shared" si="2"/>
        <v>191723</v>
      </c>
    </row>
    <row r="20" spans="1:10" ht="13.5" thickTop="1" x14ac:dyDescent="0.2">
      <c r="A20" s="1035">
        <v>9</v>
      </c>
      <c r="B20" s="2338" t="s">
        <v>1981</v>
      </c>
      <c r="C20" s="2338"/>
      <c r="D20" s="2339"/>
      <c r="E20" s="1046"/>
      <c r="F20" s="1046"/>
      <c r="G20" s="1046"/>
      <c r="H20" s="1046"/>
      <c r="I20" s="1046"/>
      <c r="J20" s="1813">
        <f>IF(AND(G19&gt;0,J19&gt;0),(((J19-G19)/G19)),"Enter Budget Data")</f>
        <v>4.1327655691582386E-2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1033</v>
      </c>
      <c r="D27" s="1052"/>
      <c r="E27" s="1053"/>
      <c r="F27" s="2340" t="s">
        <v>1509</v>
      </c>
      <c r="G27" s="2340"/>
    </row>
    <row r="28" spans="1:10" ht="28.5" customHeight="1" x14ac:dyDescent="0.2">
      <c r="B28" s="1047"/>
      <c r="C28" s="2342"/>
      <c r="D28" s="2342"/>
      <c r="E28" s="1054"/>
      <c r="F28" s="2342"/>
      <c r="G28" s="2342"/>
    </row>
    <row r="29" spans="1:10" x14ac:dyDescent="0.2">
      <c r="B29" s="1047"/>
      <c r="C29" s="1055" t="s">
        <v>1561</v>
      </c>
      <c r="E29" s="1056"/>
      <c r="F29" s="2341" t="s">
        <v>1510</v>
      </c>
      <c r="G29" s="234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1983</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c r="C39" s="2321" t="s">
        <v>882</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3"/>
  <sheetViews>
    <sheetView showGridLines="0" topLeftCell="A10" zoomScale="110" zoomScaleNormal="110" workbookViewId="0">
      <selection activeCell="E34" sqref="E34"/>
    </sheetView>
  </sheetViews>
  <sheetFormatPr defaultRowHeight="12.75" x14ac:dyDescent="0.2"/>
  <cols>
    <col min="1" max="1" width="3" style="329" customWidth="1"/>
    <col min="2" max="2" width="14.85546875" style="1946" customWidth="1"/>
    <col min="3" max="3" width="12.28515625" style="1946" customWidth="1"/>
    <col min="4" max="4" width="14.5703125" style="1946" customWidth="1"/>
    <col min="5" max="5" width="15.5703125" style="1946" customWidth="1"/>
    <col min="6" max="6" width="40.28515625" style="329" customWidth="1"/>
    <col min="7" max="7" width="14.28515625" style="329" customWidth="1"/>
    <col min="8" max="16384" width="9.140625" style="329"/>
  </cols>
  <sheetData>
    <row r="2" spans="1:7" x14ac:dyDescent="0.2">
      <c r="A2" s="389" t="s">
        <v>258</v>
      </c>
    </row>
    <row r="3" spans="1:7" x14ac:dyDescent="0.2">
      <c r="A3" s="329" t="s">
        <v>259</v>
      </c>
    </row>
    <row r="5" spans="1:7" x14ac:dyDescent="0.2">
      <c r="A5" s="1068"/>
      <c r="B5" s="1948" t="s">
        <v>2088</v>
      </c>
      <c r="C5" s="1948" t="s">
        <v>2089</v>
      </c>
      <c r="D5" s="1948" t="s">
        <v>2090</v>
      </c>
      <c r="E5" s="1948" t="s">
        <v>2091</v>
      </c>
      <c r="F5" s="1949" t="s">
        <v>2092</v>
      </c>
      <c r="G5" s="1949" t="s">
        <v>2093</v>
      </c>
    </row>
    <row r="6" spans="1:7" x14ac:dyDescent="0.2">
      <c r="A6" s="1068"/>
      <c r="B6" s="1948"/>
      <c r="C6" s="1948"/>
      <c r="D6" s="1948"/>
      <c r="E6" s="1948"/>
      <c r="F6" s="1949"/>
      <c r="G6" s="1949"/>
    </row>
    <row r="7" spans="1:7" ht="13.5" thickBot="1" x14ac:dyDescent="0.25">
      <c r="A7" s="1068"/>
      <c r="B7" s="1946">
        <v>1690</v>
      </c>
      <c r="C7" s="1946">
        <v>10</v>
      </c>
      <c r="D7" s="1946">
        <v>10</v>
      </c>
      <c r="E7" s="1946">
        <v>74</v>
      </c>
      <c r="F7" s="391" t="s">
        <v>2094</v>
      </c>
      <c r="G7" s="1943">
        <v>5584</v>
      </c>
    </row>
    <row r="8" spans="1:7" ht="13.5" thickTop="1" x14ac:dyDescent="0.2">
      <c r="A8" s="1068"/>
      <c r="F8" s="391"/>
      <c r="G8" s="391"/>
    </row>
    <row r="9" spans="1:7" x14ac:dyDescent="0.2">
      <c r="A9" s="1068"/>
      <c r="B9" s="1946">
        <v>1790</v>
      </c>
      <c r="C9" s="1946">
        <v>10</v>
      </c>
      <c r="D9" s="1946">
        <v>10</v>
      </c>
      <c r="E9" s="1946">
        <v>81</v>
      </c>
      <c r="F9" s="391" t="s">
        <v>2095</v>
      </c>
      <c r="G9" s="1938">
        <v>25110</v>
      </c>
    </row>
    <row r="10" spans="1:7" x14ac:dyDescent="0.2">
      <c r="A10" s="1069"/>
      <c r="F10" s="391" t="s">
        <v>2096</v>
      </c>
      <c r="G10" s="1939">
        <v>2695</v>
      </c>
    </row>
    <row r="11" spans="1:7" x14ac:dyDescent="0.2">
      <c r="A11" s="1069"/>
      <c r="F11" s="391" t="s">
        <v>2097</v>
      </c>
      <c r="G11" s="1939">
        <v>262</v>
      </c>
    </row>
    <row r="12" spans="1:7" x14ac:dyDescent="0.2">
      <c r="A12" s="1069"/>
      <c r="F12" s="391" t="s">
        <v>2098</v>
      </c>
      <c r="G12" s="1940">
        <v>6989</v>
      </c>
    </row>
    <row r="13" spans="1:7" ht="13.5" thickBot="1" x14ac:dyDescent="0.25">
      <c r="A13" s="1069"/>
      <c r="F13" s="391"/>
      <c r="G13" s="1943">
        <f>SUM(G9:G12)</f>
        <v>35056</v>
      </c>
    </row>
    <row r="14" spans="1:7" ht="13.5" thickTop="1" x14ac:dyDescent="0.2">
      <c r="A14" s="1069"/>
      <c r="F14" s="391"/>
      <c r="G14" s="391"/>
    </row>
    <row r="15" spans="1:7" x14ac:dyDescent="0.2">
      <c r="A15" s="1069"/>
      <c r="B15" s="1946">
        <v>1999</v>
      </c>
      <c r="C15" s="1946">
        <v>10</v>
      </c>
      <c r="D15" s="1946">
        <v>10</v>
      </c>
      <c r="E15" s="1946">
        <v>107</v>
      </c>
      <c r="F15" s="391" t="s">
        <v>2099</v>
      </c>
      <c r="G15" s="1938">
        <v>20906</v>
      </c>
    </row>
    <row r="16" spans="1:7" x14ac:dyDescent="0.2">
      <c r="A16" s="1069"/>
      <c r="F16" s="391" t="s">
        <v>2100</v>
      </c>
      <c r="G16" s="1939">
        <v>21385</v>
      </c>
    </row>
    <row r="17" spans="1:7" x14ac:dyDescent="0.2">
      <c r="A17" s="1069"/>
      <c r="F17" s="391" t="s">
        <v>2101</v>
      </c>
      <c r="G17" s="1939">
        <v>1030</v>
      </c>
    </row>
    <row r="18" spans="1:7" x14ac:dyDescent="0.2">
      <c r="A18" s="1069"/>
      <c r="F18" s="391" t="s">
        <v>2102</v>
      </c>
      <c r="G18" s="1939">
        <v>650</v>
      </c>
    </row>
    <row r="19" spans="1:7" x14ac:dyDescent="0.2">
      <c r="A19" s="1069"/>
      <c r="F19" s="391" t="s">
        <v>2103</v>
      </c>
      <c r="G19" s="1939">
        <v>1702</v>
      </c>
    </row>
    <row r="20" spans="1:7" x14ac:dyDescent="0.2">
      <c r="A20" s="1069"/>
      <c r="F20" s="391" t="s">
        <v>2104</v>
      </c>
      <c r="G20" s="1940">
        <v>3319</v>
      </c>
    </row>
    <row r="21" spans="1:7" ht="13.5" thickBot="1" x14ac:dyDescent="0.25">
      <c r="A21" s="1069"/>
      <c r="F21" s="391"/>
      <c r="G21" s="1943">
        <f>SUM(G15:G20)</f>
        <v>48992</v>
      </c>
    </row>
    <row r="22" spans="1:7" ht="13.5" thickTop="1" x14ac:dyDescent="0.2">
      <c r="A22" s="1069"/>
      <c r="F22" s="391"/>
      <c r="G22" s="391"/>
    </row>
    <row r="23" spans="1:7" x14ac:dyDescent="0.2">
      <c r="A23" s="1069"/>
      <c r="B23" s="1946">
        <v>1999</v>
      </c>
      <c r="C23" s="1946">
        <v>10</v>
      </c>
      <c r="D23" s="1946">
        <v>20</v>
      </c>
      <c r="E23" s="1946">
        <v>107</v>
      </c>
      <c r="F23" s="391" t="s">
        <v>2105</v>
      </c>
      <c r="G23" s="1938">
        <v>101</v>
      </c>
    </row>
    <row r="24" spans="1:7" x14ac:dyDescent="0.2">
      <c r="A24" s="1069"/>
      <c r="F24" s="391" t="s">
        <v>2106</v>
      </c>
      <c r="G24" s="1939">
        <v>430</v>
      </c>
    </row>
    <row r="25" spans="1:7" x14ac:dyDescent="0.2">
      <c r="A25" s="1069"/>
      <c r="F25" s="391" t="s">
        <v>2107</v>
      </c>
      <c r="G25" s="1939">
        <v>150</v>
      </c>
    </row>
    <row r="26" spans="1:7" x14ac:dyDescent="0.2">
      <c r="A26" s="1069"/>
      <c r="F26" s="391" t="s">
        <v>2108</v>
      </c>
      <c r="G26" s="1940">
        <v>5</v>
      </c>
    </row>
    <row r="27" spans="1:7" ht="13.5" thickBot="1" x14ac:dyDescent="0.25">
      <c r="A27" s="1069"/>
      <c r="F27" s="391"/>
      <c r="G27" s="1943">
        <f>SUM(G23:G26)</f>
        <v>686</v>
      </c>
    </row>
    <row r="28" spans="1:7" ht="13.5" thickTop="1" x14ac:dyDescent="0.2">
      <c r="A28" s="1069"/>
      <c r="F28" s="391"/>
      <c r="G28" s="391"/>
    </row>
    <row r="29" spans="1:7" x14ac:dyDescent="0.2">
      <c r="A29" s="1069"/>
      <c r="B29" s="1946">
        <v>1999</v>
      </c>
      <c r="C29" s="1946">
        <v>10</v>
      </c>
      <c r="D29" s="1946">
        <v>40</v>
      </c>
      <c r="E29" s="1946">
        <v>107</v>
      </c>
      <c r="F29" s="391" t="s">
        <v>2117</v>
      </c>
      <c r="G29" s="1938">
        <v>3036</v>
      </c>
    </row>
    <row r="30" spans="1:7" x14ac:dyDescent="0.2">
      <c r="A30" s="1069"/>
      <c r="F30" s="391" t="s">
        <v>2118</v>
      </c>
      <c r="G30" s="1942">
        <v>123</v>
      </c>
    </row>
    <row r="31" spans="1:7" ht="13.5" thickBot="1" x14ac:dyDescent="0.25">
      <c r="A31" s="1069"/>
      <c r="G31" s="1943">
        <f>SUM(G29:G30)</f>
        <v>3159</v>
      </c>
    </row>
    <row r="32" spans="1:7" ht="13.5" thickTop="1" x14ac:dyDescent="0.2">
      <c r="A32" s="1069"/>
    </row>
    <row r="33" spans="1:7" x14ac:dyDescent="0.2">
      <c r="A33" s="1069"/>
      <c r="B33" s="1946">
        <v>3999</v>
      </c>
      <c r="C33" s="1946">
        <v>12</v>
      </c>
      <c r="D33" s="1946">
        <v>10</v>
      </c>
      <c r="E33" s="1946">
        <v>168</v>
      </c>
      <c r="F33" s="391" t="s">
        <v>2109</v>
      </c>
      <c r="G33" s="1938">
        <v>2297</v>
      </c>
    </row>
    <row r="34" spans="1:7" x14ac:dyDescent="0.2">
      <c r="A34" s="1069"/>
      <c r="F34" s="391"/>
      <c r="G34" s="1941"/>
    </row>
    <row r="35" spans="1:7" x14ac:dyDescent="0.2">
      <c r="A35" s="1069"/>
      <c r="B35" s="1946">
        <v>2190</v>
      </c>
      <c r="C35" s="1946">
        <v>15</v>
      </c>
      <c r="D35" s="1946">
        <v>10</v>
      </c>
      <c r="E35" s="1946">
        <v>41</v>
      </c>
      <c r="F35" s="391" t="s">
        <v>2110</v>
      </c>
      <c r="G35" s="1938">
        <v>7422</v>
      </c>
    </row>
    <row r="36" spans="1:7" x14ac:dyDescent="0.2">
      <c r="A36" s="1069"/>
      <c r="F36" s="391" t="s">
        <v>2111</v>
      </c>
      <c r="G36" s="1940">
        <v>842</v>
      </c>
    </row>
    <row r="37" spans="1:7" ht="13.5" thickBot="1" x14ac:dyDescent="0.25">
      <c r="A37" s="1069"/>
      <c r="F37" s="391"/>
      <c r="G37" s="1943">
        <f>SUM(G35:G36)</f>
        <v>8264</v>
      </c>
    </row>
    <row r="38" spans="1:7" ht="13.5" thickTop="1" x14ac:dyDescent="0.2">
      <c r="A38" s="1069"/>
      <c r="F38" s="391"/>
      <c r="G38" s="1941"/>
    </row>
    <row r="39" spans="1:7" ht="13.5" thickBot="1" x14ac:dyDescent="0.25">
      <c r="A39" s="1069"/>
      <c r="B39" s="1946">
        <v>2900</v>
      </c>
      <c r="C39" s="1946">
        <v>16</v>
      </c>
      <c r="D39" s="1946">
        <v>10</v>
      </c>
      <c r="E39" s="1946">
        <v>73</v>
      </c>
      <c r="F39" s="391" t="s">
        <v>2112</v>
      </c>
      <c r="G39" s="1943">
        <v>146193</v>
      </c>
    </row>
    <row r="40" spans="1:7" ht="13.5" thickTop="1" x14ac:dyDescent="0.2">
      <c r="A40" s="1069"/>
      <c r="F40" s="391"/>
      <c r="G40" s="1941"/>
    </row>
    <row r="41" spans="1:7" ht="13.5" thickBot="1" x14ac:dyDescent="0.25">
      <c r="A41" s="1069"/>
      <c r="B41" s="1946">
        <v>5400</v>
      </c>
      <c r="C41" s="1946">
        <v>18</v>
      </c>
      <c r="D41" s="1946">
        <v>30</v>
      </c>
      <c r="E41" s="1946">
        <v>171</v>
      </c>
      <c r="F41" s="391" t="s">
        <v>2113</v>
      </c>
      <c r="G41" s="1943">
        <v>1000</v>
      </c>
    </row>
    <row r="42" spans="1:7" ht="13.5" thickTop="1" x14ac:dyDescent="0.2">
      <c r="A42" s="1069"/>
      <c r="F42" s="391"/>
      <c r="G42" s="1941"/>
    </row>
    <row r="43" spans="1:7" ht="13.5" thickBot="1" x14ac:dyDescent="0.25">
      <c r="A43" s="1069"/>
      <c r="B43" s="1946">
        <v>2190</v>
      </c>
      <c r="C43" s="1946">
        <v>19</v>
      </c>
      <c r="D43" s="1946">
        <v>50</v>
      </c>
      <c r="E43" s="1946">
        <v>237</v>
      </c>
      <c r="F43" s="391" t="s">
        <v>2114</v>
      </c>
      <c r="G43" s="1943">
        <v>203</v>
      </c>
    </row>
    <row r="44" spans="1:7" ht="13.5" thickTop="1" x14ac:dyDescent="0.2">
      <c r="A44" s="1069"/>
      <c r="F44" s="391"/>
      <c r="G44" s="1941"/>
    </row>
    <row r="45" spans="1:7" x14ac:dyDescent="0.2">
      <c r="A45" s="1069"/>
      <c r="B45" s="391" t="s">
        <v>2115</v>
      </c>
      <c r="F45" s="391"/>
      <c r="G45" s="1941"/>
    </row>
    <row r="46" spans="1:7" ht="13.5" thickBot="1" x14ac:dyDescent="0.25">
      <c r="A46" s="1069"/>
      <c r="B46" s="1946">
        <v>1920</v>
      </c>
      <c r="C46" s="1946">
        <v>26</v>
      </c>
      <c r="D46" s="1946">
        <v>60</v>
      </c>
      <c r="E46" s="1946">
        <v>10</v>
      </c>
      <c r="F46" s="391" t="s">
        <v>2116</v>
      </c>
      <c r="G46" s="1943">
        <v>8750</v>
      </c>
    </row>
    <row r="47" spans="1:7" ht="14.25" thickTop="1" thickBot="1" x14ac:dyDescent="0.25">
      <c r="A47" s="1069"/>
      <c r="B47" s="1946">
        <v>5400</v>
      </c>
      <c r="C47" s="1946">
        <v>26</v>
      </c>
      <c r="D47" s="1946">
        <v>60</v>
      </c>
      <c r="E47" s="1946">
        <v>20</v>
      </c>
      <c r="F47" s="391" t="s">
        <v>2104</v>
      </c>
      <c r="G47" s="1943">
        <v>175</v>
      </c>
    </row>
    <row r="48" spans="1:7" ht="13.5" thickTop="1" x14ac:dyDescent="0.2">
      <c r="A48" s="1069"/>
      <c r="F48" s="391"/>
      <c r="G48" s="1941"/>
    </row>
    <row r="49" spans="1:7" x14ac:dyDescent="0.2">
      <c r="A49" s="1069"/>
      <c r="F49" s="391"/>
      <c r="G49" s="1941"/>
    </row>
    <row r="50" spans="1:7" x14ac:dyDescent="0.2">
      <c r="A50" s="1069"/>
      <c r="F50" s="391"/>
      <c r="G50" s="1941"/>
    </row>
    <row r="51" spans="1:7" x14ac:dyDescent="0.2">
      <c r="A51" s="1069"/>
      <c r="F51" s="391"/>
      <c r="G51" s="1941"/>
    </row>
    <row r="52" spans="1:7" x14ac:dyDescent="0.2">
      <c r="A52" s="1069"/>
      <c r="F52" s="391"/>
      <c r="G52" s="1941"/>
    </row>
    <row r="53" spans="1:7" x14ac:dyDescent="0.2">
      <c r="A53" s="1069"/>
      <c r="F53" s="391"/>
      <c r="G53" s="1941"/>
    </row>
    <row r="54" spans="1:7" x14ac:dyDescent="0.2">
      <c r="A54" s="1069"/>
      <c r="F54" s="391"/>
      <c r="G54" s="1941"/>
    </row>
    <row r="55" spans="1:7" x14ac:dyDescent="0.2">
      <c r="A55" s="1069"/>
      <c r="F55" s="391"/>
      <c r="G55" s="1941"/>
    </row>
    <row r="56" spans="1:7" x14ac:dyDescent="0.2">
      <c r="A56" s="1069"/>
      <c r="F56" s="391"/>
      <c r="G56" s="1941"/>
    </row>
    <row r="57" spans="1:7" x14ac:dyDescent="0.2">
      <c r="A57" s="1069"/>
      <c r="F57" s="391"/>
      <c r="G57" s="1941"/>
    </row>
    <row r="58" spans="1:7" x14ac:dyDescent="0.2">
      <c r="A58" s="1069"/>
      <c r="G58" s="180"/>
    </row>
    <row r="59" spans="1:7" x14ac:dyDescent="0.2">
      <c r="A59" s="1069"/>
      <c r="G59" s="180"/>
    </row>
    <row r="60" spans="1:7" x14ac:dyDescent="0.2">
      <c r="A60" s="1069"/>
    </row>
    <row r="61" spans="1:7" x14ac:dyDescent="0.2">
      <c r="A61" s="1069"/>
    </row>
    <row r="62" spans="1:7" x14ac:dyDescent="0.2">
      <c r="A62" s="1069"/>
      <c r="B62" s="258" t="str">
        <f>COVER!A17</f>
        <v>River Bend CUSD 2</v>
      </c>
    </row>
    <row r="63" spans="1:7" x14ac:dyDescent="0.2">
      <c r="B63" s="1947">
        <f>COVER!A13</f>
        <v>47098002026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1608</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5" t="s">
        <v>1685</v>
      </c>
      <c r="B18" s="234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1690</v>
      </c>
      <c r="B1" s="2347"/>
      <c r="C1" s="2347"/>
      <c r="D1" s="2347"/>
      <c r="E1" s="2347"/>
      <c r="F1" s="2348"/>
    </row>
    <row r="2" spans="1:8" ht="45" customHeight="1" x14ac:dyDescent="0.2">
      <c r="A2" s="2356" t="s">
        <v>1987</v>
      </c>
      <c r="B2" s="2357"/>
      <c r="C2" s="2357"/>
      <c r="D2" s="2357"/>
      <c r="E2" s="2357"/>
      <c r="F2" s="2358"/>
      <c r="G2" s="1073"/>
      <c r="H2" s="1073"/>
    </row>
    <row r="3" spans="1:8" ht="57" customHeight="1" x14ac:dyDescent="0.2">
      <c r="A3" s="2359" t="s">
        <v>1686</v>
      </c>
      <c r="B3" s="2360"/>
      <c r="C3" s="2360"/>
      <c r="D3" s="2360"/>
      <c r="E3" s="2360"/>
      <c r="F3" s="2361"/>
      <c r="G3" s="1073"/>
      <c r="H3" s="1073"/>
    </row>
    <row r="4" spans="1:8" ht="14.25" customHeight="1" x14ac:dyDescent="0.2">
      <c r="A4" s="2365" t="s">
        <v>1988</v>
      </c>
      <c r="B4" s="2366"/>
      <c r="C4" s="2366"/>
      <c r="D4" s="2366"/>
      <c r="E4" s="2366"/>
      <c r="F4" s="2367"/>
      <c r="G4" s="1073"/>
      <c r="H4" s="1073"/>
    </row>
    <row r="5" spans="1:8" ht="14.25" customHeight="1" x14ac:dyDescent="0.2">
      <c r="A5" s="2368" t="s">
        <v>1984</v>
      </c>
      <c r="B5" s="2369"/>
      <c r="C5" s="2369"/>
      <c r="D5" s="2369"/>
      <c r="E5" s="2369"/>
      <c r="F5" s="2370"/>
      <c r="G5" s="1073"/>
      <c r="H5" s="1073"/>
    </row>
    <row r="6" spans="1:8" s="1074" customFormat="1" ht="41.25" customHeight="1" x14ac:dyDescent="0.2">
      <c r="A6" s="2362" t="s">
        <v>1691</v>
      </c>
      <c r="B6" s="2363"/>
      <c r="C6" s="2363"/>
      <c r="D6" s="2363"/>
      <c r="E6" s="2363"/>
      <c r="F6" s="2364"/>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7251188</v>
      </c>
      <c r="C8" s="1814">
        <f>'Acct Summary 7-8'!D8</f>
        <v>612506</v>
      </c>
      <c r="D8" s="1814">
        <f>'Acct Summary 7-8'!F8</f>
        <v>388821</v>
      </c>
      <c r="E8" s="1814">
        <f>'Acct Summary 7-8'!I8</f>
        <v>69359</v>
      </c>
      <c r="F8" s="1814">
        <f>SUM(B8:E8)</f>
        <v>8321874</v>
      </c>
    </row>
    <row r="9" spans="1:8" s="1078" customFormat="1" ht="14.25" customHeight="1" thickBot="1" x14ac:dyDescent="0.25">
      <c r="A9" s="1077" t="s">
        <v>1369</v>
      </c>
      <c r="B9" s="1815">
        <f>'Acct Summary 7-8'!C17</f>
        <v>6876679</v>
      </c>
      <c r="C9" s="1815">
        <f>'Acct Summary 7-8'!D17</f>
        <v>592115</v>
      </c>
      <c r="D9" s="1815">
        <f>'Acct Summary 7-8'!F17</f>
        <v>476605</v>
      </c>
      <c r="E9" s="1814"/>
      <c r="F9" s="1814">
        <f>SUM(B9:E9)</f>
        <v>7945399</v>
      </c>
    </row>
    <row r="10" spans="1:8" s="1078" customFormat="1" ht="14.25" thickTop="1" thickBot="1" x14ac:dyDescent="0.25">
      <c r="A10" s="1079" t="s">
        <v>1370</v>
      </c>
      <c r="B10" s="1816">
        <f>(B8-B9)</f>
        <v>374509</v>
      </c>
      <c r="C10" s="1816">
        <f>(C8-C9)</f>
        <v>20391</v>
      </c>
      <c r="D10" s="1816">
        <f>(D8-D9)</f>
        <v>-87784</v>
      </c>
      <c r="E10" s="1815">
        <f>(E8-E9)</f>
        <v>69359</v>
      </c>
      <c r="F10" s="1817">
        <f>SUM(F8-F9)</f>
        <v>376475</v>
      </c>
    </row>
    <row r="11" spans="1:8" s="1078" customFormat="1" ht="14.25" thickTop="1" thickBot="1" x14ac:dyDescent="0.25">
      <c r="A11" s="1080" t="s">
        <v>1985</v>
      </c>
      <c r="B11" s="1818">
        <f>'Acct Summary 7-8'!C81</f>
        <v>2195409</v>
      </c>
      <c r="C11" s="1818">
        <f>'Acct Summary 7-8'!D81</f>
        <v>727586</v>
      </c>
      <c r="D11" s="1818">
        <f>'Acct Summary 7-8'!F81</f>
        <v>201243</v>
      </c>
      <c r="E11" s="1818">
        <f>'Acct Summary 7-8'!I81</f>
        <v>734236</v>
      </c>
      <c r="F11" s="1819">
        <f>SUM(B11:E11)</f>
        <v>3858474</v>
      </c>
    </row>
    <row r="12" spans="1:8" ht="16.5" customHeight="1" thickTop="1" x14ac:dyDescent="0.2">
      <c r="A12" s="1081"/>
      <c r="B12" s="1082"/>
      <c r="C12" s="2350" t="str">
        <f>IF(AND(F10&lt;0,F11&gt;=0,ABS(F10*3)&gt;ABS(F11)),A16,IF(AND(F10&lt;0,F11&gt;0,ABS(F10*3)&lt;=ABS(F11)),A17,IF(AND(F10&lt;0,F11&lt;0),A16,IF(F11=0,A19,A18))))</f>
        <v>Balanced - no deficit reduction plan is required.</v>
      </c>
      <c r="D12" s="2351"/>
      <c r="E12" s="2351"/>
      <c r="F12" s="2352"/>
    </row>
    <row r="13" spans="1:8" ht="19.5" customHeight="1" x14ac:dyDescent="0.2">
      <c r="A13" s="1083"/>
      <c r="B13" s="1084"/>
      <c r="C13" s="2350"/>
      <c r="D13" s="2351"/>
      <c r="E13" s="2351"/>
      <c r="F13" s="2352"/>
      <c r="H13" s="1073"/>
    </row>
    <row r="14" spans="1:8" ht="19.5" customHeight="1" x14ac:dyDescent="0.2">
      <c r="A14" s="1083"/>
      <c r="B14" s="1084"/>
      <c r="C14" s="2350"/>
      <c r="D14" s="2351"/>
      <c r="E14" s="2351"/>
      <c r="F14" s="2352"/>
      <c r="H14" s="1073"/>
    </row>
    <row r="15" spans="1:8" ht="17.25" customHeight="1" x14ac:dyDescent="0.2">
      <c r="A15" s="1083"/>
      <c r="B15" s="1084"/>
      <c r="C15" s="2353"/>
      <c r="D15" s="2354"/>
      <c r="E15" s="2354"/>
      <c r="F15" s="2355"/>
      <c r="H15" s="1073"/>
    </row>
    <row r="16" spans="1:8" s="310" customFormat="1" ht="51.75" hidden="1" customHeight="1" x14ac:dyDescent="0.2">
      <c r="A16" s="2349" t="s">
        <v>1687</v>
      </c>
      <c r="B16" s="2349"/>
      <c r="C16" s="2349"/>
      <c r="D16" s="2349"/>
      <c r="E16" s="2349"/>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7" colorId="8" zoomScale="110" zoomScaleNormal="110" workbookViewId="0">
      <selection activeCell="C32" sqref="C32"/>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71" t="s">
        <v>665</v>
      </c>
      <c r="B3" s="2372"/>
      <c r="C3" s="2372"/>
      <c r="D3" s="2373"/>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82" t="s">
        <v>1504</v>
      </c>
      <c r="D7" s="2383"/>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4" t="s">
        <v>1008</v>
      </c>
      <c r="B15" s="2375"/>
      <c r="C15" s="2375"/>
      <c r="D15" s="2376"/>
    </row>
    <row r="16" spans="1:4" s="668" customFormat="1" ht="24" customHeight="1" x14ac:dyDescent="0.2">
      <c r="A16" s="2377" t="s">
        <v>663</v>
      </c>
      <c r="B16" s="2378"/>
      <c r="C16" s="2378"/>
      <c r="D16" s="2379"/>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6" t="s">
        <v>314</v>
      </c>
      <c r="D21" s="2387"/>
    </row>
    <row r="22" spans="1:10" ht="12.75" x14ac:dyDescent="0.2">
      <c r="A22" s="1138"/>
      <c r="B22" s="1139">
        <v>2</v>
      </c>
      <c r="C22" s="2384" t="s">
        <v>1524</v>
      </c>
      <c r="D22" s="2385"/>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8" t="s">
        <v>536</v>
      </c>
      <c r="D43" s="2389"/>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80" t="s">
        <v>784</v>
      </c>
      <c r="D56" s="2381"/>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80" t="s">
        <v>1696</v>
      </c>
      <c r="D70" s="2381"/>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47098002026</v>
      </c>
    </row>
    <row r="3" spans="1:2" x14ac:dyDescent="0.2">
      <c r="A3" t="s">
        <v>956</v>
      </c>
      <c r="B3" s="138" t="str">
        <f>COVER!A15</f>
        <v>WHITESIDE</v>
      </c>
    </row>
    <row r="4" spans="1:2" x14ac:dyDescent="0.2">
      <c r="A4" t="s">
        <v>1007</v>
      </c>
      <c r="B4" s="138" t="str">
        <f>COVER!A17</f>
        <v>River Bend CUSD 2</v>
      </c>
    </row>
    <row r="5" spans="1:2" x14ac:dyDescent="0.2">
      <c r="A5" t="s">
        <v>704</v>
      </c>
      <c r="B5" s="138" t="str">
        <f>COVER!A38</f>
        <v>DR. DARRYL HOGUE</v>
      </c>
    </row>
    <row r="6" spans="1:2" x14ac:dyDescent="0.2">
      <c r="A6" t="s">
        <v>709</v>
      </c>
      <c r="B6" s="138">
        <f>COVER!P35</f>
        <v>0</v>
      </c>
    </row>
    <row r="7" spans="1:2" x14ac:dyDescent="0.2">
      <c r="A7" t="s">
        <v>705</v>
      </c>
      <c r="B7" s="138">
        <f>COVER!I38</f>
        <v>0</v>
      </c>
    </row>
    <row r="8" spans="1:2" x14ac:dyDescent="0.2">
      <c r="A8" t="s">
        <v>706</v>
      </c>
      <c r="B8" s="138" t="str">
        <f>COVER!T38</f>
        <v>ROBERT SONDGEROTH</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2114649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-80760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-80760</v>
      </c>
      <c r="C91" s="2" t="s">
        <v>573</v>
      </c>
      <c r="D91" s="2" t="str">
        <f t="shared" si="0"/>
        <v>Error?</v>
      </c>
    </row>
    <row r="92" spans="1:4" x14ac:dyDescent="0.2">
      <c r="A92" s="5">
        <v>31</v>
      </c>
      <c r="B92" s="138">
        <f>'Assets-Liab 5-6'!C39</f>
        <v>2195409</v>
      </c>
      <c r="D92" s="2" t="str">
        <f t="shared" si="0"/>
        <v>Error?</v>
      </c>
    </row>
    <row r="93" spans="1:4" x14ac:dyDescent="0.2">
      <c r="A93" s="5">
        <v>32</v>
      </c>
      <c r="B93" s="138">
        <f>'Assets-Liab 5-6'!C41</f>
        <v>2114649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727586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727586</v>
      </c>
      <c r="D123" s="2" t="str">
        <f t="shared" si="0"/>
        <v>Error?</v>
      </c>
    </row>
    <row r="124" spans="1:4" x14ac:dyDescent="0.2">
      <c r="A124" s="5">
        <v>63</v>
      </c>
      <c r="B124" s="138">
        <f>'Assets-Liab 5-6'!D41</f>
        <v>727586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449999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449999</v>
      </c>
      <c r="D140" s="2" t="str">
        <f t="shared" si="1"/>
        <v>Error?</v>
      </c>
    </row>
    <row r="141" spans="1:4" x14ac:dyDescent="0.2">
      <c r="A141" s="5">
        <v>80</v>
      </c>
      <c r="B141" s="138">
        <f>'Assets-Liab 5-6'!E41</f>
        <v>449999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201243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201243</v>
      </c>
      <c r="D170" s="2" t="str">
        <f t="shared" si="1"/>
        <v>Error?</v>
      </c>
    </row>
    <row r="171" spans="1:4" x14ac:dyDescent="0.2">
      <c r="A171" s="5">
        <v>110</v>
      </c>
      <c r="B171" s="138">
        <f>'Assets-Liab 5-6'!F41</f>
        <v>201243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596392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304616</v>
      </c>
      <c r="D189" s="2" t="str">
        <f t="shared" si="1"/>
        <v>Error?</v>
      </c>
    </row>
    <row r="190" spans="1:4" x14ac:dyDescent="0.2">
      <c r="A190" s="5">
        <v>129</v>
      </c>
      <c r="B190" s="138">
        <f>'Assets-Liab 5-6'!G41</f>
        <v>596392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515876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515876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469184</v>
      </c>
      <c r="D273" s="2" t="str">
        <f t="shared" si="3"/>
        <v>Error?</v>
      </c>
    </row>
    <row r="274" spans="1:4" x14ac:dyDescent="0.2">
      <c r="A274" s="5">
        <v>213</v>
      </c>
      <c r="B274" s="138">
        <f>'Assets-Liab 5-6'!M17</f>
        <v>12345233</v>
      </c>
      <c r="D274" s="2" t="str">
        <f t="shared" si="3"/>
        <v>Error?</v>
      </c>
    </row>
    <row r="275" spans="1:4" x14ac:dyDescent="0.2">
      <c r="A275" s="5">
        <v>214</v>
      </c>
      <c r="B275" s="138">
        <f>'Assets-Liab 5-6'!M18</f>
        <v>826755</v>
      </c>
      <c r="D275" s="2" t="str">
        <f t="shared" si="3"/>
        <v>Error?</v>
      </c>
    </row>
    <row r="276" spans="1:4" x14ac:dyDescent="0.2">
      <c r="A276" s="5">
        <v>215</v>
      </c>
      <c r="B276" s="138">
        <f>'Assets-Liab 5-6'!M19</f>
        <v>2027794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15668966</v>
      </c>
      <c r="C279" s="2" t="s">
        <v>573</v>
      </c>
      <c r="D279" s="2" t="str">
        <f t="shared" si="3"/>
        <v>Error?</v>
      </c>
    </row>
    <row r="280" spans="1:4" x14ac:dyDescent="0.2">
      <c r="A280" s="5">
        <v>219</v>
      </c>
      <c r="B280" s="138">
        <f>'Assets-Liab 5-6'!M40</f>
        <v>15668966</v>
      </c>
      <c r="D280" s="2" t="str">
        <f t="shared" si="3"/>
        <v>Error?</v>
      </c>
    </row>
    <row r="281" spans="1:4" x14ac:dyDescent="0.2">
      <c r="A281" s="5">
        <v>220</v>
      </c>
      <c r="B281" s="138">
        <f>'Assets-Liab 5-6'!M41</f>
        <v>15668966</v>
      </c>
      <c r="C281" s="2" t="s">
        <v>573</v>
      </c>
      <c r="D281" s="2" t="str">
        <f t="shared" si="3"/>
        <v>Error?</v>
      </c>
    </row>
    <row r="282" spans="1:4" x14ac:dyDescent="0.2">
      <c r="A282" s="5">
        <v>221</v>
      </c>
      <c r="B282" s="138">
        <f>'Assets-Liab 5-6'!N21</f>
        <v>449999</v>
      </c>
      <c r="D282" s="2" t="str">
        <f t="shared" si="3"/>
        <v>Error?</v>
      </c>
    </row>
    <row r="283" spans="1:4" x14ac:dyDescent="0.2">
      <c r="A283" s="5">
        <v>222</v>
      </c>
      <c r="B283" s="138">
        <f>'Assets-Liab 5-6'!N22</f>
        <v>1180001</v>
      </c>
      <c r="D283" s="2" t="str">
        <f t="shared" si="3"/>
        <v>Error?</v>
      </c>
    </row>
    <row r="284" spans="1:4" x14ac:dyDescent="0.2">
      <c r="A284" s="5">
        <v>223</v>
      </c>
      <c r="B284" s="138">
        <f>'Assets-Liab 5-6'!N23</f>
        <v>1630000</v>
      </c>
      <c r="C284" s="2" t="s">
        <v>573</v>
      </c>
      <c r="D284" s="2" t="str">
        <f t="shared" si="3"/>
        <v>Error?</v>
      </c>
    </row>
    <row r="285" spans="1:4" x14ac:dyDescent="0.2">
      <c r="A285" s="5">
        <v>224</v>
      </c>
      <c r="B285" s="138">
        <f>'Assets-Liab 5-6'!N36</f>
        <v>1630000</v>
      </c>
      <c r="D285" s="2" t="str">
        <f t="shared" si="3"/>
        <v>Error?</v>
      </c>
    </row>
    <row r="286" spans="1:4" x14ac:dyDescent="0.2">
      <c r="A286" s="10">
        <v>225</v>
      </c>
      <c r="D286" s="2" t="str">
        <f t="shared" si="3"/>
        <v>OK</v>
      </c>
    </row>
    <row r="287" spans="1:4" x14ac:dyDescent="0.2">
      <c r="A287" s="5">
        <v>226</v>
      </c>
      <c r="B287" s="138">
        <f>'Assets-Liab 5-6'!N37</f>
        <v>1630000</v>
      </c>
      <c r="C287" s="2" t="s">
        <v>573</v>
      </c>
      <c r="D287" s="2" t="str">
        <f t="shared" si="3"/>
        <v>Error?</v>
      </c>
    </row>
    <row r="288" spans="1:4" x14ac:dyDescent="0.2">
      <c r="A288" s="5">
        <v>227</v>
      </c>
      <c r="B288" s="138">
        <f>'Assets-Liab 5-6'!N41</f>
        <v>1630000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2467439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211070</v>
      </c>
      <c r="D717" s="2" t="str">
        <f t="shared" si="10"/>
        <v>Error?</v>
      </c>
    </row>
    <row r="718" spans="1:4" x14ac:dyDescent="0.2">
      <c r="A718" s="5">
        <v>657</v>
      </c>
      <c r="B718" s="138">
        <f>'Expenditures 15-22'!C14</f>
        <v>143728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3547660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125911</v>
      </c>
      <c r="D722" s="2" t="str">
        <f t="shared" si="10"/>
        <v>Error?</v>
      </c>
    </row>
    <row r="723" spans="1:4" x14ac:dyDescent="0.2">
      <c r="A723" s="5">
        <v>662</v>
      </c>
      <c r="B723" s="138">
        <f>'Expenditures 15-22'!C38</f>
        <v>18789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33333</v>
      </c>
      <c r="D725" s="2" t="str">
        <f t="shared" si="10"/>
        <v>Error?</v>
      </c>
    </row>
    <row r="726" spans="1:4" x14ac:dyDescent="0.2">
      <c r="A726" s="5">
        <v>665</v>
      </c>
      <c r="B726" s="138">
        <f>'Expenditures 15-22'!C41</f>
        <v>7422</v>
      </c>
      <c r="D726" s="2" t="str">
        <f t="shared" si="10"/>
        <v>Error?</v>
      </c>
    </row>
    <row r="727" spans="1:4" x14ac:dyDescent="0.2">
      <c r="A727" s="5">
        <v>666</v>
      </c>
      <c r="B727" s="138">
        <f>'Expenditures 15-22'!C42</f>
        <v>185455</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109464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109464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124936</v>
      </c>
      <c r="D733" s="2" t="str">
        <f t="shared" si="10"/>
        <v>Error?</v>
      </c>
    </row>
    <row r="734" spans="1:4" x14ac:dyDescent="0.2">
      <c r="A734" s="5">
        <v>673</v>
      </c>
      <c r="B734" s="138">
        <f>'Expenditures 15-22'!C53</f>
        <v>124936</v>
      </c>
      <c r="C734" s="2" t="s">
        <v>573</v>
      </c>
      <c r="D734" s="2" t="str">
        <f t="shared" si="10"/>
        <v>Error?</v>
      </c>
    </row>
    <row r="735" spans="1:4" x14ac:dyDescent="0.2">
      <c r="A735" s="5">
        <v>674</v>
      </c>
      <c r="B735" s="138">
        <f>'Expenditures 15-22'!C55</f>
        <v>391215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391215</v>
      </c>
      <c r="C737" s="2" t="s">
        <v>573</v>
      </c>
      <c r="D737" s="2" t="str">
        <f t="shared" si="10"/>
        <v>Error?</v>
      </c>
    </row>
    <row r="738" spans="1:4" x14ac:dyDescent="0.2">
      <c r="A738" s="5">
        <v>677</v>
      </c>
      <c r="B738" s="138">
        <f>'Expenditures 15-22'!C59</f>
        <v>201</v>
      </c>
      <c r="D738" s="2" t="str">
        <f t="shared" si="10"/>
        <v>Error?</v>
      </c>
    </row>
    <row r="739" spans="1:4" x14ac:dyDescent="0.2">
      <c r="A739" s="5">
        <v>678</v>
      </c>
      <c r="B739" s="138">
        <f>'Expenditures 15-22'!C60</f>
        <v>50787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v>
      </c>
      <c r="D741" s="2" t="str">
        <f t="shared" si="10"/>
        <v>Error?</v>
      </c>
    </row>
    <row r="742" spans="1:4" x14ac:dyDescent="0.2">
      <c r="A742" s="5">
        <v>681</v>
      </c>
      <c r="B742" s="138">
        <f>'Expenditures 15-22'!C63</f>
        <v>103274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154264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63024</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63024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1028358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4576018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641677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51949</v>
      </c>
      <c r="D775" s="2" t="str">
        <f t="shared" si="11"/>
        <v>Error?</v>
      </c>
    </row>
    <row r="776" spans="1:4" x14ac:dyDescent="0.2">
      <c r="A776" s="5">
        <v>715</v>
      </c>
      <c r="B776" s="138">
        <f>'Expenditures 15-22'!D14</f>
        <v>10269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846698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33804</v>
      </c>
      <c r="D780" s="2" t="str">
        <f t="shared" si="11"/>
        <v>Error?</v>
      </c>
    </row>
    <row r="781" spans="1:4" x14ac:dyDescent="0.2">
      <c r="A781" s="5">
        <v>720</v>
      </c>
      <c r="B781" s="138">
        <f>'Expenditures 15-22'!D38</f>
        <v>20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10820</v>
      </c>
      <c r="D783" s="2" t="str">
        <f t="shared" si="11"/>
        <v>Error?</v>
      </c>
    </row>
    <row r="784" spans="1:4" x14ac:dyDescent="0.2">
      <c r="A784" s="5">
        <v>723</v>
      </c>
      <c r="B784" s="138">
        <f>'Expenditures 15-22'!D41</f>
        <v>842</v>
      </c>
      <c r="D784" s="2" t="str">
        <f t="shared" si="11"/>
        <v>Error?</v>
      </c>
    </row>
    <row r="785" spans="1:4" x14ac:dyDescent="0.2">
      <c r="A785" s="5">
        <v>724</v>
      </c>
      <c r="B785" s="138">
        <f>'Expenditures 15-22'!D42</f>
        <v>45486</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31546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31546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47782</v>
      </c>
      <c r="D791" s="2" t="str">
        <f t="shared" si="11"/>
        <v>Error?</v>
      </c>
    </row>
    <row r="792" spans="1:4" x14ac:dyDescent="0.2">
      <c r="A792" s="5">
        <v>731</v>
      </c>
      <c r="B792" s="138">
        <f>'Expenditures 15-22'!D53</f>
        <v>65918</v>
      </c>
      <c r="C792" s="2" t="s">
        <v>573</v>
      </c>
      <c r="D792" s="2" t="str">
        <f t="shared" si="11"/>
        <v>Error?</v>
      </c>
    </row>
    <row r="793" spans="1:4" x14ac:dyDescent="0.2">
      <c r="A793" s="5">
        <v>732</v>
      </c>
      <c r="B793" s="138">
        <f>'Expenditures 15-22'!D55</f>
        <v>92093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92093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700</v>
      </c>
      <c r="D799" s="2" t="str">
        <f t="shared" si="11"/>
        <v>Error?</v>
      </c>
    </row>
    <row r="800" spans="1:4" x14ac:dyDescent="0.2">
      <c r="A800" s="5">
        <v>739</v>
      </c>
      <c r="B800" s="138">
        <f>'Expenditures 15-22'!D63</f>
        <v>18133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18872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14597</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14597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268512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1115210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9146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36</v>
      </c>
      <c r="D833" s="2" t="str">
        <f t="shared" si="12"/>
        <v>Error?</v>
      </c>
    </row>
    <row r="834" spans="1:4" x14ac:dyDescent="0.2">
      <c r="A834" s="5">
        <v>773</v>
      </c>
      <c r="B834" s="138">
        <f>'Expenditures 15-22'!E14</f>
        <v>23127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67962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88</v>
      </c>
      <c r="D838" s="2" t="str">
        <f t="shared" si="12"/>
        <v>Error?</v>
      </c>
    </row>
    <row r="839" spans="1:4" x14ac:dyDescent="0.2">
      <c r="A839" s="5">
        <v>778</v>
      </c>
      <c r="B839" s="138">
        <f>'Expenditures 15-22'!E38</f>
        <v>4635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4763</v>
      </c>
      <c r="C843" s="2" t="s">
        <v>573</v>
      </c>
      <c r="D843" s="2" t="str">
        <f t="shared" si="12"/>
        <v>Error?</v>
      </c>
    </row>
    <row r="844" spans="1:4" x14ac:dyDescent="0.2">
      <c r="A844" s="5">
        <v>783</v>
      </c>
      <c r="B844" s="138">
        <f>'Expenditures 15-22'!E44</f>
        <v>29209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29209</v>
      </c>
      <c r="C847" s="2" t="s">
        <v>573</v>
      </c>
      <c r="D847" s="2" t="str">
        <f t="shared" si="12"/>
        <v>Error?</v>
      </c>
    </row>
    <row r="848" spans="1:4" x14ac:dyDescent="0.2">
      <c r="A848" s="5">
        <v>787</v>
      </c>
      <c r="B848" s="138">
        <f>'Expenditures 15-22'!E49</f>
        <v>37296</v>
      </c>
      <c r="D848" s="2" t="str">
        <f t="shared" si="12"/>
        <v>Error?</v>
      </c>
    </row>
    <row r="849" spans="1:4" x14ac:dyDescent="0.2">
      <c r="A849" s="5">
        <v>788</v>
      </c>
      <c r="B849" s="138">
        <f>'Expenditures 15-22'!E50</f>
        <v>4897</v>
      </c>
      <c r="D849" s="2" t="str">
        <f t="shared" si="12"/>
        <v>Error?</v>
      </c>
    </row>
    <row r="850" spans="1:4" x14ac:dyDescent="0.2">
      <c r="A850" s="5">
        <v>789</v>
      </c>
      <c r="B850" s="138">
        <f>'Expenditures 15-22'!E53</f>
        <v>47422</v>
      </c>
      <c r="C850" s="2" t="s">
        <v>573</v>
      </c>
      <c r="D850" s="2" t="str">
        <f t="shared" si="12"/>
        <v>Error?</v>
      </c>
    </row>
    <row r="851" spans="1:4" x14ac:dyDescent="0.2">
      <c r="A851" s="5">
        <v>790</v>
      </c>
      <c r="B851" s="138">
        <f>'Expenditures 15-22'!E55</f>
        <v>526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526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6181</v>
      </c>
      <c r="D855" s="2" t="str">
        <f t="shared" si="12"/>
        <v>Error?</v>
      </c>
    </row>
    <row r="856" spans="1:4" x14ac:dyDescent="0.2">
      <c r="A856" s="5">
        <v>795</v>
      </c>
      <c r="B856" s="138">
        <f>'Expenditures 15-22'!E61</f>
        <v>123724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6177</v>
      </c>
      <c r="D858" s="2" t="str">
        <f t="shared" si="12"/>
        <v>Error?</v>
      </c>
    </row>
    <row r="859" spans="1:4" x14ac:dyDescent="0.2">
      <c r="A859" s="5">
        <v>798</v>
      </c>
      <c r="B859" s="138">
        <f>'Expenditures 15-22'!E64</f>
        <v>3402</v>
      </c>
      <c r="D859" s="2" t="str">
        <f t="shared" si="12"/>
        <v>Error?</v>
      </c>
    </row>
    <row r="860" spans="1:4" x14ac:dyDescent="0.2">
      <c r="A860" s="10">
        <v>799</v>
      </c>
      <c r="D860" s="2" t="str">
        <f t="shared" si="12"/>
        <v>OK</v>
      </c>
    </row>
    <row r="861" spans="1:4" x14ac:dyDescent="0.2">
      <c r="A861" s="5">
        <v>800</v>
      </c>
      <c r="B861" s="138">
        <f>'Expenditures 15-22'!E65</f>
        <v>139484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201</v>
      </c>
      <c r="D864" s="2" t="str">
        <f t="shared" si="12"/>
        <v>Error?</v>
      </c>
    </row>
    <row r="865" spans="1:4" x14ac:dyDescent="0.2">
      <c r="A865" s="5">
        <v>804</v>
      </c>
      <c r="B865" s="138">
        <f>'Expenditures 15-22'!E70</f>
        <v>1095</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1296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222700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290662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102684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9394</v>
      </c>
      <c r="D891" s="2" t="str">
        <f t="shared" si="12"/>
        <v>Error?</v>
      </c>
    </row>
    <row r="892" spans="1:4" x14ac:dyDescent="0.2">
      <c r="A892" s="5">
        <v>831</v>
      </c>
      <c r="B892" s="138">
        <f>'Expenditures 15-22'!F14</f>
        <v>23328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143180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2194</v>
      </c>
      <c r="D896" s="2" t="str">
        <f t="shared" si="13"/>
        <v>Error?</v>
      </c>
    </row>
    <row r="897" spans="1:4" x14ac:dyDescent="0.2">
      <c r="A897" s="5">
        <v>836</v>
      </c>
      <c r="B897" s="138">
        <f>'Expenditures 15-22'!F38</f>
        <v>895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1224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4313</v>
      </c>
      <c r="C901" s="2" t="s">
        <v>573</v>
      </c>
      <c r="D901" s="2" t="str">
        <f t="shared" si="13"/>
        <v>Error?</v>
      </c>
    </row>
    <row r="902" spans="1:4" x14ac:dyDescent="0.2">
      <c r="A902" s="5">
        <v>841</v>
      </c>
      <c r="B902" s="138">
        <f>'Expenditures 15-22'!F44</f>
        <v>15571</v>
      </c>
      <c r="D902" s="2" t="str">
        <f t="shared" si="13"/>
        <v>Error?</v>
      </c>
    </row>
    <row r="903" spans="1:4" x14ac:dyDescent="0.2">
      <c r="A903" s="5">
        <v>842</v>
      </c>
      <c r="B903" s="138">
        <f>'Expenditures 15-22'!F45</f>
        <v>37418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52989</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1473</v>
      </c>
      <c r="D907" s="2" t="str">
        <f t="shared" si="13"/>
        <v>Error?</v>
      </c>
    </row>
    <row r="908" spans="1:4" x14ac:dyDescent="0.2">
      <c r="A908" s="5">
        <v>847</v>
      </c>
      <c r="B908" s="138">
        <f>'Expenditures 15-22'!F53</f>
        <v>1473</v>
      </c>
      <c r="C908" s="2" t="s">
        <v>573</v>
      </c>
      <c r="D908" s="2" t="str">
        <f t="shared" si="13"/>
        <v>Error?</v>
      </c>
    </row>
    <row r="909" spans="1:4" x14ac:dyDescent="0.2">
      <c r="A909" s="5">
        <v>848</v>
      </c>
      <c r="B909" s="138">
        <f>'Expenditures 15-22'!F55</f>
        <v>9424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9424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15594</v>
      </c>
      <c r="D913" s="2" t="str">
        <f t="shared" si="13"/>
        <v>Error?</v>
      </c>
    </row>
    <row r="914" spans="1:4" x14ac:dyDescent="0.2">
      <c r="A914" s="5">
        <v>853</v>
      </c>
      <c r="B914" s="138">
        <f>'Expenditures 15-22'!F61</f>
        <v>30379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240619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286592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354791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497971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46303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56101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38800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1296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40096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40096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96197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9439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61275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34314</v>
      </c>
      <c r="D1022" s="2" t="str">
        <f t="shared" si="14"/>
        <v>Error?</v>
      </c>
    </row>
    <row r="1023" spans="1:4" x14ac:dyDescent="0.2">
      <c r="A1023" s="5">
        <v>962</v>
      </c>
      <c r="B1023" s="138">
        <f>'Expenditures 15-22'!H50</f>
        <v>1423</v>
      </c>
      <c r="D1023" s="2" t="str">
        <f t="shared" ref="D1023:D1086" si="15">IF(ISBLANK(B1023),"OK",IF(A1023-B1023=0,"OK","Error?"))</f>
        <v>Error?</v>
      </c>
    </row>
    <row r="1024" spans="1:4" x14ac:dyDescent="0.2">
      <c r="A1024" s="5">
        <v>963</v>
      </c>
      <c r="B1024" s="138">
        <f>'Expenditures 15-22'!H53</f>
        <v>35737</v>
      </c>
      <c r="C1024" s="2" t="s">
        <v>573</v>
      </c>
      <c r="D1024" s="2" t="str">
        <f t="shared" si="15"/>
        <v>Error?</v>
      </c>
    </row>
    <row r="1025" spans="1:4" x14ac:dyDescent="0.2">
      <c r="A1025" s="5">
        <v>964</v>
      </c>
      <c r="B1025" s="138">
        <f>'Expenditures 15-22'!H55</f>
        <v>1657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1657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146193</v>
      </c>
      <c r="D1044" s="2" t="str">
        <f t="shared" si="15"/>
        <v>Error?</v>
      </c>
    </row>
    <row r="1045" spans="1:4" x14ac:dyDescent="0.2">
      <c r="A1045" s="5">
        <v>984</v>
      </c>
      <c r="B1045" s="138">
        <f>'Expenditures 15-22'!H74</f>
        <v>183587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55759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300621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3267249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272449</v>
      </c>
      <c r="C1105" s="2" t="s">
        <v>573</v>
      </c>
      <c r="D1105" s="2" t="str">
        <f t="shared" si="16"/>
        <v>Error?</v>
      </c>
    </row>
    <row r="1106" spans="1:4" x14ac:dyDescent="0.2">
      <c r="A1106" s="5">
        <v>1045</v>
      </c>
      <c r="B1106" s="138">
        <f>'Expenditures 15-22'!K14</f>
        <v>209891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4722876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161997</v>
      </c>
      <c r="C1110" s="2" t="s">
        <v>573</v>
      </c>
      <c r="D1110" s="2" t="str">
        <f t="shared" si="16"/>
        <v>Error?</v>
      </c>
    </row>
    <row r="1111" spans="1:4" x14ac:dyDescent="0.2">
      <c r="A1111" s="5">
        <v>1050</v>
      </c>
      <c r="B1111" s="138">
        <f>'Expenditures 15-22'!K38</f>
        <v>24339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45417</v>
      </c>
      <c r="C1113" s="2" t="s">
        <v>573</v>
      </c>
      <c r="D1113" s="2" t="str">
        <f t="shared" si="16"/>
        <v>Error?</v>
      </c>
    </row>
    <row r="1114" spans="1:4" x14ac:dyDescent="0.2">
      <c r="A1114" s="5">
        <v>1053</v>
      </c>
      <c r="B1114" s="138">
        <f>'Expenditures 15-22'!K41</f>
        <v>8264</v>
      </c>
      <c r="C1114" s="2" t="s">
        <v>573</v>
      </c>
      <c r="D1114" s="2" t="str">
        <f t="shared" si="16"/>
        <v>Error?</v>
      </c>
    </row>
    <row r="1115" spans="1:4" x14ac:dyDescent="0.2">
      <c r="A1115" s="5">
        <v>1054</v>
      </c>
      <c r="B1115" s="138">
        <f>'Expenditures 15-22'!K42</f>
        <v>240017</v>
      </c>
      <c r="C1115" s="2" t="s">
        <v>573</v>
      </c>
      <c r="D1115" s="2" t="str">
        <f t="shared" si="16"/>
        <v>Error?</v>
      </c>
    </row>
    <row r="1116" spans="1:4" x14ac:dyDescent="0.2">
      <c r="A1116" s="5">
        <v>1055</v>
      </c>
      <c r="B1116" s="138">
        <f>'Expenditures 15-22'!K44</f>
        <v>44780</v>
      </c>
      <c r="C1116" s="2" t="s">
        <v>573</v>
      </c>
      <c r="D1116" s="2" t="str">
        <f t="shared" si="16"/>
        <v>Error?</v>
      </c>
    </row>
    <row r="1117" spans="1:4" x14ac:dyDescent="0.2">
      <c r="A1117" s="5">
        <v>1056</v>
      </c>
      <c r="B1117" s="138">
        <f>'Expenditures 15-22'!K45</f>
        <v>178428</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223208</v>
      </c>
      <c r="C1119" s="2" t="s">
        <v>573</v>
      </c>
      <c r="D1119" s="2" t="str">
        <f t="shared" si="16"/>
        <v>Error?</v>
      </c>
    </row>
    <row r="1120" spans="1:4" x14ac:dyDescent="0.2">
      <c r="A1120" s="5">
        <v>1059</v>
      </c>
      <c r="B1120" s="138">
        <f>'Expenditures 15-22'!K49</f>
        <v>71610</v>
      </c>
      <c r="C1120" s="2" t="s">
        <v>573</v>
      </c>
      <c r="D1120" s="2" t="str">
        <f t="shared" si="16"/>
        <v>Error?</v>
      </c>
    </row>
    <row r="1121" spans="1:4" x14ac:dyDescent="0.2">
      <c r="A1121" s="5">
        <v>1060</v>
      </c>
      <c r="B1121" s="138">
        <f>'Expenditures 15-22'!K50</f>
        <v>180511</v>
      </c>
      <c r="C1121" s="2" t="s">
        <v>573</v>
      </c>
      <c r="D1121" s="2" t="str">
        <f t="shared" si="16"/>
        <v>Error?</v>
      </c>
    </row>
    <row r="1122" spans="1:4" x14ac:dyDescent="0.2">
      <c r="A1122" s="5">
        <v>1061</v>
      </c>
      <c r="B1122" s="138">
        <f>'Expenditures 15-22'!K53</f>
        <v>275486</v>
      </c>
      <c r="C1122" s="2" t="s">
        <v>573</v>
      </c>
      <c r="D1122" s="2" t="str">
        <f t="shared" si="16"/>
        <v>Error?</v>
      </c>
    </row>
    <row r="1123" spans="1:4" x14ac:dyDescent="0.2">
      <c r="A1123" s="5">
        <v>1062</v>
      </c>
      <c r="B1123" s="138">
        <f>'Expenditures 15-22'!K55</f>
        <v>494915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494915</v>
      </c>
      <c r="C1125" s="2" t="s">
        <v>573</v>
      </c>
      <c r="D1125" s="2" t="str">
        <f t="shared" si="16"/>
        <v>Error?</v>
      </c>
    </row>
    <row r="1126" spans="1:4" x14ac:dyDescent="0.2">
      <c r="A1126" s="5">
        <v>1065</v>
      </c>
      <c r="B1126" s="138">
        <f>'Expenditures 15-22'!K59</f>
        <v>201</v>
      </c>
      <c r="C1126" s="2" t="s">
        <v>573</v>
      </c>
      <c r="D1126" s="2" t="str">
        <f t="shared" si="16"/>
        <v>Error?</v>
      </c>
    </row>
    <row r="1127" spans="1:4" x14ac:dyDescent="0.2">
      <c r="A1127" s="5">
        <v>1066</v>
      </c>
      <c r="B1127" s="138">
        <f>'Expenditures 15-22'!K60</f>
        <v>72601</v>
      </c>
      <c r="C1127" s="2" t="s">
        <v>573</v>
      </c>
      <c r="D1127" s="2" t="str">
        <f t="shared" si="16"/>
        <v>Error?</v>
      </c>
    </row>
    <row r="1128" spans="1:4" x14ac:dyDescent="0.2">
      <c r="A1128" s="5">
        <v>1067</v>
      </c>
      <c r="B1128" s="138">
        <f>'Expenditures 15-22'!K61</f>
        <v>192903</v>
      </c>
      <c r="C1128" s="2" t="s">
        <v>573</v>
      </c>
      <c r="D1128" s="2" t="str">
        <f t="shared" si="16"/>
        <v>Error?</v>
      </c>
    </row>
    <row r="1129" spans="1:4" x14ac:dyDescent="0.2">
      <c r="A1129" s="5">
        <v>1068</v>
      </c>
      <c r="B1129" s="138">
        <f>'Expenditures 15-22'!K62</f>
        <v>702</v>
      </c>
      <c r="C1129" s="2" t="s">
        <v>573</v>
      </c>
      <c r="D1129" s="2" t="str">
        <f t="shared" si="16"/>
        <v>Error?</v>
      </c>
    </row>
    <row r="1130" spans="1:4" x14ac:dyDescent="0.2">
      <c r="A1130" s="5">
        <v>1069</v>
      </c>
      <c r="B1130" s="138">
        <f>'Expenditures 15-22'!K63</f>
        <v>369499</v>
      </c>
      <c r="C1130" s="2" t="s">
        <v>573</v>
      </c>
      <c r="D1130" s="2" t="str">
        <f t="shared" si="16"/>
        <v>Error?</v>
      </c>
    </row>
    <row r="1131" spans="1:4" x14ac:dyDescent="0.2">
      <c r="A1131" s="5">
        <v>1070</v>
      </c>
      <c r="B1131" s="138">
        <f>'Expenditures 15-22'!K64</f>
        <v>3402</v>
      </c>
      <c r="C1131" s="2" t="s">
        <v>573</v>
      </c>
      <c r="D1131" s="2" t="str">
        <f t="shared" si="16"/>
        <v>Error?</v>
      </c>
    </row>
    <row r="1132" spans="1:4" x14ac:dyDescent="0.2">
      <c r="A1132" s="10">
        <v>1071</v>
      </c>
      <c r="D1132" s="2" t="str">
        <f t="shared" si="16"/>
        <v>OK</v>
      </c>
    </row>
    <row r="1133" spans="1:4" x14ac:dyDescent="0.2">
      <c r="A1133" s="5">
        <v>1072</v>
      </c>
      <c r="B1133" s="138">
        <f>'Expenditures 15-22'!K65</f>
        <v>639308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77822</v>
      </c>
      <c r="C1136" s="2" t="s">
        <v>573</v>
      </c>
      <c r="D1136" s="2" t="str">
        <f t="shared" si="16"/>
        <v>Error?</v>
      </c>
    </row>
    <row r="1137" spans="1:4" x14ac:dyDescent="0.2">
      <c r="A1137" s="5">
        <v>1076</v>
      </c>
      <c r="B1137" s="138">
        <f>'Expenditures 15-22'!K70</f>
        <v>1095</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78917</v>
      </c>
      <c r="C1141" s="2" t="s">
        <v>573</v>
      </c>
      <c r="D1141" s="2" t="str">
        <f t="shared" si="16"/>
        <v>Error?</v>
      </c>
    </row>
    <row r="1142" spans="1:4" x14ac:dyDescent="0.2">
      <c r="A1142" s="5">
        <v>1081</v>
      </c>
      <c r="B1142" s="138">
        <f>'Expenditures 15-22'!K73</f>
        <v>146193</v>
      </c>
      <c r="C1142" s="2" t="s">
        <v>573</v>
      </c>
      <c r="D1142" s="2" t="str">
        <f t="shared" si="16"/>
        <v>Error?</v>
      </c>
    </row>
    <row r="1143" spans="1:4" x14ac:dyDescent="0.2">
      <c r="A1143" s="5">
        <v>1082</v>
      </c>
      <c r="B1143" s="138">
        <f>'Expenditures 15-22'!K74</f>
        <v>2098044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55759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6876679</v>
      </c>
      <c r="C1152" s="2" t="s">
        <v>573</v>
      </c>
      <c r="D1152" s="2" t="str">
        <f t="shared" si="17"/>
        <v>Error?</v>
      </c>
    </row>
    <row r="1153" spans="1:4" x14ac:dyDescent="0.2">
      <c r="A1153" s="5">
        <v>1092</v>
      </c>
      <c r="B1153" s="138">
        <f>'Expenditures 15-22'!K115</f>
        <v>374509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221446</v>
      </c>
      <c r="D1221" s="2" t="str">
        <f t="shared" si="18"/>
        <v>Error?</v>
      </c>
    </row>
    <row r="1222" spans="1:4" x14ac:dyDescent="0.2">
      <c r="A1222" s="10">
        <v>1161</v>
      </c>
      <c r="D1222" s="2" t="str">
        <f t="shared" si="18"/>
        <v>OK</v>
      </c>
    </row>
    <row r="1223" spans="1:4" x14ac:dyDescent="0.2">
      <c r="A1223" s="5">
        <v>1162</v>
      </c>
      <c r="B1223" s="138">
        <f>'Expenditures 15-22'!C127</f>
        <v>221446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221446</v>
      </c>
      <c r="C1225" s="2" t="s">
        <v>573</v>
      </c>
      <c r="D1225" s="2" t="str">
        <f t="shared" si="18"/>
        <v>Error?</v>
      </c>
    </row>
    <row r="1226" spans="1:4" x14ac:dyDescent="0.2">
      <c r="A1226" s="5">
        <v>1165</v>
      </c>
      <c r="B1226" s="138">
        <f>'Expenditures 15-22'!C151</f>
        <v>221446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47413</v>
      </c>
      <c r="D1229" s="2" t="str">
        <f t="shared" si="18"/>
        <v>Error?</v>
      </c>
    </row>
    <row r="1230" spans="1:4" x14ac:dyDescent="0.2">
      <c r="A1230" s="10">
        <v>1169</v>
      </c>
      <c r="D1230" s="2" t="str">
        <f t="shared" si="18"/>
        <v>OK</v>
      </c>
    </row>
    <row r="1231" spans="1:4" x14ac:dyDescent="0.2">
      <c r="A1231" s="5">
        <v>1170</v>
      </c>
      <c r="B1231" s="138">
        <f>'Expenditures 15-22'!D127</f>
        <v>47413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47413</v>
      </c>
      <c r="C1233" s="2" t="s">
        <v>573</v>
      </c>
      <c r="D1233" s="2" t="str">
        <f t="shared" si="18"/>
        <v>Error?</v>
      </c>
    </row>
    <row r="1234" spans="1:4" x14ac:dyDescent="0.2">
      <c r="A1234" s="5">
        <v>1173</v>
      </c>
      <c r="B1234" s="138">
        <f>'Expenditures 15-22'!D151</f>
        <v>47413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71046</v>
      </c>
      <c r="D1237" s="2" t="str">
        <f t="shared" si="18"/>
        <v>Error?</v>
      </c>
    </row>
    <row r="1238" spans="1:4" x14ac:dyDescent="0.2">
      <c r="A1238" s="10">
        <v>1177</v>
      </c>
      <c r="D1238" s="2" t="str">
        <f t="shared" si="18"/>
        <v>OK</v>
      </c>
    </row>
    <row r="1239" spans="1:4" x14ac:dyDescent="0.2">
      <c r="A1239" s="5">
        <v>1178</v>
      </c>
      <c r="B1239" s="138">
        <f>'Expenditures 15-22'!E127</f>
        <v>71046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71046</v>
      </c>
      <c r="C1241" s="2" t="s">
        <v>573</v>
      </c>
      <c r="D1241" s="2" t="str">
        <f t="shared" si="18"/>
        <v>Error?</v>
      </c>
    </row>
    <row r="1242" spans="1:4" x14ac:dyDescent="0.2">
      <c r="A1242" s="5">
        <v>1181</v>
      </c>
      <c r="B1242" s="138">
        <f>'Expenditures 15-22'!E151</f>
        <v>71046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214444</v>
      </c>
      <c r="D1245" s="2" t="str">
        <f t="shared" si="18"/>
        <v>Error?</v>
      </c>
    </row>
    <row r="1246" spans="1:4" x14ac:dyDescent="0.2">
      <c r="A1246" s="10">
        <v>1185</v>
      </c>
      <c r="D1246" s="2" t="str">
        <f t="shared" si="18"/>
        <v>OK</v>
      </c>
    </row>
    <row r="1247" spans="1:4" x14ac:dyDescent="0.2">
      <c r="A1247" s="5">
        <v>1186</v>
      </c>
      <c r="B1247" s="138">
        <f>'Expenditures 15-22'!F127</f>
        <v>214444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214444</v>
      </c>
      <c r="C1249" s="2" t="s">
        <v>573</v>
      </c>
      <c r="D1249" s="2" t="str">
        <f t="shared" si="18"/>
        <v>Error?</v>
      </c>
    </row>
    <row r="1250" spans="1:4" x14ac:dyDescent="0.2">
      <c r="A1250" s="5">
        <v>1189</v>
      </c>
      <c r="B1250" s="138">
        <f>'Expenditures 15-22'!F151</f>
        <v>214444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27490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27490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27490</v>
      </c>
      <c r="C1258" s="2" t="s">
        <v>573</v>
      </c>
      <c r="D1258" s="2" t="str">
        <f t="shared" si="18"/>
        <v>Error?</v>
      </c>
    </row>
    <row r="1259" spans="1:4" x14ac:dyDescent="0.2">
      <c r="A1259" s="5">
        <v>1198</v>
      </c>
      <c r="B1259" s="138">
        <f>'Expenditures 15-22'!G151</f>
        <v>27490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10276</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10276</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581839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581839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581839</v>
      </c>
      <c r="C1281" s="2" t="s">
        <v>573</v>
      </c>
      <c r="D1281" s="2" t="str">
        <f t="shared" si="19"/>
        <v>Error?</v>
      </c>
    </row>
    <row r="1282" spans="1:4" x14ac:dyDescent="0.2">
      <c r="A1282" s="5">
        <v>1221</v>
      </c>
      <c r="B1282" s="138">
        <f>'Expenditures 15-22'!K139</f>
        <v>10276</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592115</v>
      </c>
      <c r="C1288" s="2" t="s">
        <v>573</v>
      </c>
      <c r="D1288" s="2" t="str">
        <f t="shared" si="19"/>
        <v>Error?</v>
      </c>
    </row>
    <row r="1289" spans="1:4" x14ac:dyDescent="0.2">
      <c r="A1289" s="5">
        <v>1228</v>
      </c>
      <c r="B1289" s="138">
        <f>'Expenditures 15-22'!K152</f>
        <v>20391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122346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765000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888346</v>
      </c>
      <c r="C1317" s="2" t="s">
        <v>573</v>
      </c>
      <c r="D1317" s="2" t="str">
        <f t="shared" si="19"/>
        <v>Error?</v>
      </c>
    </row>
    <row r="1318" spans="1:4" x14ac:dyDescent="0.2">
      <c r="A1318" s="5">
        <v>1257</v>
      </c>
      <c r="B1318" s="138">
        <f>'Expenditures 15-22'!H174</f>
        <v>888346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122346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765000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888346</v>
      </c>
      <c r="C1331" s="2" t="s">
        <v>573</v>
      </c>
      <c r="D1331" s="2" t="str">
        <f t="shared" si="19"/>
        <v>Error?</v>
      </c>
    </row>
    <row r="1332" spans="1:4" x14ac:dyDescent="0.2">
      <c r="A1332" s="5">
        <v>1271</v>
      </c>
      <c r="B1332" s="138">
        <f>'Expenditures 15-22'!K174</f>
        <v>888346</v>
      </c>
      <c r="C1332" s="2" t="s">
        <v>573</v>
      </c>
      <c r="D1332" s="2" t="str">
        <f t="shared" si="19"/>
        <v>Error?</v>
      </c>
    </row>
    <row r="1333" spans="1:4" x14ac:dyDescent="0.2">
      <c r="A1333" s="5">
        <v>1272</v>
      </c>
      <c r="B1333" s="138">
        <f>'Expenditures 15-22'!K175</f>
        <v>-193544</v>
      </c>
      <c r="C1333" s="2" t="s">
        <v>573</v>
      </c>
      <c r="D1333" s="2" t="str">
        <f t="shared" si="19"/>
        <v>Error?</v>
      </c>
    </row>
    <row r="1334" spans="1:4" x14ac:dyDescent="0.2">
      <c r="A1334" s="10">
        <v>1273</v>
      </c>
      <c r="D1334" s="2" t="str">
        <f t="shared" si="19"/>
        <v>OK</v>
      </c>
    </row>
    <row r="1335" spans="1:4" x14ac:dyDescent="0.2">
      <c r="A1335" s="5">
        <v>1274</v>
      </c>
      <c r="B1335" s="138">
        <f>'Expenditures 15-22'!C182</f>
        <v>200424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200424</v>
      </c>
      <c r="C1339" s="2" t="s">
        <v>573</v>
      </c>
      <c r="D1339" s="2" t="str">
        <f t="shared" si="19"/>
        <v>Error?</v>
      </c>
    </row>
    <row r="1340" spans="1:4" x14ac:dyDescent="0.2">
      <c r="A1340" s="5">
        <v>1279</v>
      </c>
      <c r="B1340" s="138">
        <f>'Expenditures 15-22'!C210</f>
        <v>200424</v>
      </c>
      <c r="C1340" s="2" t="s">
        <v>573</v>
      </c>
      <c r="D1340" s="2" t="str">
        <f t="shared" si="19"/>
        <v>Error?</v>
      </c>
    </row>
    <row r="1341" spans="1:4" x14ac:dyDescent="0.2">
      <c r="A1341" s="5">
        <v>1280</v>
      </c>
      <c r="B1341" s="138">
        <f>'Expenditures 15-22'!D182</f>
        <v>27223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27223</v>
      </c>
      <c r="C1345" s="2" t="s">
        <v>573</v>
      </c>
      <c r="D1345" s="2" t="str">
        <f t="shared" si="20"/>
        <v>Error?</v>
      </c>
    </row>
    <row r="1346" spans="1:4" x14ac:dyDescent="0.2">
      <c r="A1346" s="5">
        <v>1285</v>
      </c>
      <c r="B1346" s="138">
        <f>'Expenditures 15-22'!D210</f>
        <v>27223</v>
      </c>
      <c r="C1346" s="2" t="s">
        <v>573</v>
      </c>
      <c r="D1346" s="2" t="str">
        <f t="shared" si="20"/>
        <v>Error?</v>
      </c>
    </row>
    <row r="1347" spans="1:4" x14ac:dyDescent="0.2">
      <c r="A1347" s="5">
        <v>1286</v>
      </c>
      <c r="B1347" s="138">
        <f>'Expenditures 15-22'!E182</f>
        <v>193576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193576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193576</v>
      </c>
      <c r="C1353" s="2" t="s">
        <v>573</v>
      </c>
      <c r="D1353" s="2" t="str">
        <f t="shared" si="20"/>
        <v>Error?</v>
      </c>
    </row>
    <row r="1354" spans="1:4" x14ac:dyDescent="0.2">
      <c r="A1354" s="5">
        <v>1293</v>
      </c>
      <c r="B1354" s="138">
        <f>'Expenditures 15-22'!F182</f>
        <v>55382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55382</v>
      </c>
      <c r="C1358" s="2" t="s">
        <v>573</v>
      </c>
      <c r="D1358" s="2" t="str">
        <f t="shared" si="20"/>
        <v>Error?</v>
      </c>
    </row>
    <row r="1359" spans="1:4" x14ac:dyDescent="0.2">
      <c r="A1359" s="5">
        <v>1298</v>
      </c>
      <c r="B1359" s="138">
        <f>'Expenditures 15-22'!F210</f>
        <v>55382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476605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476605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476605</v>
      </c>
      <c r="C1388" s="2" t="s">
        <v>573</v>
      </c>
      <c r="D1388" s="2" t="str">
        <f t="shared" si="20"/>
        <v>Error?</v>
      </c>
    </row>
    <row r="1389" spans="1:4" x14ac:dyDescent="0.2">
      <c r="A1389" s="5">
        <v>1328</v>
      </c>
      <c r="B1389" s="138">
        <f>'Expenditures 15-22'!K211</f>
        <v>-87784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3156</v>
      </c>
      <c r="D1407" s="2" t="str">
        <f t="shared" ref="D1407:D1470" si="21">IF(ISBLANK(B1407),"OK",IF(A1407-B1407=0,"OK","Error?"))</f>
        <v>Error?</v>
      </c>
    </row>
    <row r="1408" spans="1:4" x14ac:dyDescent="0.2">
      <c r="A1408" s="5">
        <v>1347</v>
      </c>
      <c r="B1408" s="138">
        <f>'Expenditures 15-22'!D223</f>
        <v>6260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91680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3131</v>
      </c>
      <c r="D1412" s="2" t="str">
        <f t="shared" si="21"/>
        <v>Error?</v>
      </c>
    </row>
    <row r="1413" spans="1:4" x14ac:dyDescent="0.2">
      <c r="A1413" s="5">
        <v>1352</v>
      </c>
      <c r="B1413" s="138">
        <f>'Expenditures 15-22'!D234</f>
        <v>4697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476</v>
      </c>
      <c r="D1415" s="2" t="str">
        <f t="shared" si="21"/>
        <v>Error?</v>
      </c>
    </row>
    <row r="1416" spans="1:4" x14ac:dyDescent="0.2">
      <c r="A1416" s="5">
        <v>1355</v>
      </c>
      <c r="B1416" s="138">
        <f>'Expenditures 15-22'!D237</f>
        <v>203</v>
      </c>
      <c r="D1416" s="2" t="str">
        <f t="shared" si="21"/>
        <v>Error?</v>
      </c>
    </row>
    <row r="1417" spans="1:4" x14ac:dyDescent="0.2">
      <c r="A1417" s="5">
        <v>1356</v>
      </c>
      <c r="B1417" s="138">
        <f>'Expenditures 15-22'!D238</f>
        <v>8507</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12701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12701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8833</v>
      </c>
      <c r="D1423" s="2" t="str">
        <f t="shared" si="21"/>
        <v>Error?</v>
      </c>
    </row>
    <row r="1424" spans="1:4" x14ac:dyDescent="0.2">
      <c r="A1424" s="5">
        <v>1363</v>
      </c>
      <c r="B1424" s="138">
        <f>'Expenditures 15-22'!D257</f>
        <v>8833</v>
      </c>
      <c r="C1424" s="2" t="s">
        <v>573</v>
      </c>
      <c r="D1424" s="2" t="str">
        <f t="shared" si="21"/>
        <v>Error?</v>
      </c>
    </row>
    <row r="1425" spans="1:4" x14ac:dyDescent="0.2">
      <c r="A1425" s="5">
        <v>1364</v>
      </c>
      <c r="B1425" s="138">
        <f>'Expenditures 15-22'!D259</f>
        <v>22330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22330</v>
      </c>
      <c r="C1427" s="2" t="s">
        <v>573</v>
      </c>
      <c r="D1427" s="2" t="str">
        <f t="shared" si="21"/>
        <v>Error?</v>
      </c>
    </row>
    <row r="1428" spans="1:4" x14ac:dyDescent="0.2">
      <c r="A1428" s="5">
        <v>1367</v>
      </c>
      <c r="B1428" s="138">
        <f>'Expenditures 15-22'!D263</f>
        <v>37</v>
      </c>
      <c r="D1428" s="2" t="str">
        <f t="shared" si="21"/>
        <v>Error?</v>
      </c>
    </row>
    <row r="1429" spans="1:4" x14ac:dyDescent="0.2">
      <c r="A1429" s="5">
        <v>1368</v>
      </c>
      <c r="B1429" s="138">
        <f>'Expenditures 15-22'!D264</f>
        <v>8803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45742</v>
      </c>
      <c r="D1431" s="2" t="str">
        <f t="shared" si="21"/>
        <v>Error?</v>
      </c>
    </row>
    <row r="1432" spans="1:4" x14ac:dyDescent="0.2">
      <c r="A1432" s="5">
        <v>1371</v>
      </c>
      <c r="B1432" s="138">
        <f>'Expenditures 15-22'!D267</f>
        <v>34190</v>
      </c>
      <c r="D1432" s="2" t="str">
        <f t="shared" si="21"/>
        <v>Error?</v>
      </c>
    </row>
    <row r="1433" spans="1:4" x14ac:dyDescent="0.2">
      <c r="A1433" s="5">
        <v>1372</v>
      </c>
      <c r="B1433" s="138">
        <f>'Expenditures 15-22'!D268</f>
        <v>15955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104727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1001</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1001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158099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249779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3156</v>
      </c>
      <c r="C1471" s="2" t="s">
        <v>573</v>
      </c>
      <c r="D1471" s="2" t="str">
        <f t="shared" ref="D1471:D1534" si="22">IF(ISBLANK(B1471),"OK",IF(A1471-B1471=0,"OK","Error?"))</f>
        <v>Error?</v>
      </c>
    </row>
    <row r="1472" spans="1:4" x14ac:dyDescent="0.2">
      <c r="A1472" s="5">
        <v>1411</v>
      </c>
      <c r="B1472" s="138">
        <f>'Expenditures 15-22'!K223</f>
        <v>6260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91680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3131</v>
      </c>
      <c r="C1476" s="2" t="s">
        <v>573</v>
      </c>
      <c r="D1476" s="2" t="str">
        <f t="shared" si="22"/>
        <v>Error?</v>
      </c>
    </row>
    <row r="1477" spans="1:4" x14ac:dyDescent="0.2">
      <c r="A1477" s="5">
        <v>1416</v>
      </c>
      <c r="B1477" s="138">
        <f>'Expenditures 15-22'!K234</f>
        <v>4697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476</v>
      </c>
      <c r="C1479" s="2" t="s">
        <v>573</v>
      </c>
      <c r="D1479" s="2" t="str">
        <f t="shared" si="22"/>
        <v>Error?</v>
      </c>
    </row>
    <row r="1480" spans="1:4" x14ac:dyDescent="0.2">
      <c r="A1480" s="5">
        <v>1419</v>
      </c>
      <c r="B1480" s="138">
        <f>'Expenditures 15-22'!K237</f>
        <v>203</v>
      </c>
      <c r="C1480" s="2" t="s">
        <v>573</v>
      </c>
      <c r="D1480" s="2" t="str">
        <f t="shared" si="22"/>
        <v>Error?</v>
      </c>
    </row>
    <row r="1481" spans="1:4" x14ac:dyDescent="0.2">
      <c r="A1481" s="5">
        <v>1420</v>
      </c>
      <c r="B1481" s="138">
        <f>'Expenditures 15-22'!K238</f>
        <v>8507</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12701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12701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8833</v>
      </c>
      <c r="C1487" s="2" t="s">
        <v>573</v>
      </c>
      <c r="D1487" s="2" t="str">
        <f t="shared" si="22"/>
        <v>Error?</v>
      </c>
    </row>
    <row r="1488" spans="1:4" x14ac:dyDescent="0.2">
      <c r="A1488" s="5">
        <v>1427</v>
      </c>
      <c r="B1488" s="138">
        <f>'Expenditures 15-22'!K257</f>
        <v>8833</v>
      </c>
      <c r="C1488" s="2" t="s">
        <v>573</v>
      </c>
      <c r="D1488" s="2" t="str">
        <f t="shared" si="22"/>
        <v>Error?</v>
      </c>
    </row>
    <row r="1489" spans="1:4" x14ac:dyDescent="0.2">
      <c r="A1489" s="5">
        <v>1428</v>
      </c>
      <c r="B1489" s="138">
        <f>'Expenditures 15-22'!K259</f>
        <v>22330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22330</v>
      </c>
      <c r="C1491" s="2" t="s">
        <v>573</v>
      </c>
      <c r="D1491" s="2" t="str">
        <f t="shared" si="22"/>
        <v>Error?</v>
      </c>
    </row>
    <row r="1492" spans="1:4" x14ac:dyDescent="0.2">
      <c r="A1492" s="5">
        <v>1431</v>
      </c>
      <c r="B1492" s="138">
        <f>'Expenditures 15-22'!K263</f>
        <v>37</v>
      </c>
      <c r="C1492" s="2" t="s">
        <v>573</v>
      </c>
      <c r="D1492" s="2" t="str">
        <f t="shared" si="22"/>
        <v>Error?</v>
      </c>
    </row>
    <row r="1493" spans="1:4" x14ac:dyDescent="0.2">
      <c r="A1493" s="5">
        <v>1432</v>
      </c>
      <c r="B1493" s="138">
        <f>'Expenditures 15-22'!K264</f>
        <v>8803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45742</v>
      </c>
      <c r="C1495" s="2" t="s">
        <v>573</v>
      </c>
      <c r="D1495" s="2" t="str">
        <f t="shared" si="22"/>
        <v>Error?</v>
      </c>
    </row>
    <row r="1496" spans="1:4" x14ac:dyDescent="0.2">
      <c r="A1496" s="5">
        <v>1435</v>
      </c>
      <c r="B1496" s="138">
        <f>'Expenditures 15-22'!K267</f>
        <v>34190</v>
      </c>
      <c r="C1496" s="2" t="s">
        <v>573</v>
      </c>
      <c r="D1496" s="2" t="str">
        <f t="shared" si="22"/>
        <v>Error?</v>
      </c>
    </row>
    <row r="1497" spans="1:4" x14ac:dyDescent="0.2">
      <c r="A1497" s="5">
        <v>1436</v>
      </c>
      <c r="B1497" s="138">
        <f>'Expenditures 15-22'!K268</f>
        <v>15955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104727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1001</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1001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158099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249779</v>
      </c>
      <c r="C1517" s="2" t="s">
        <v>573</v>
      </c>
      <c r="D1517" s="2" t="str">
        <f t="shared" si="22"/>
        <v>Error?</v>
      </c>
    </row>
    <row r="1518" spans="1:4" x14ac:dyDescent="0.2">
      <c r="A1518" s="5">
        <v>1457</v>
      </c>
      <c r="B1518" s="138">
        <f>'Expenditures 15-22'!K296</f>
        <v>70888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61810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61810</v>
      </c>
      <c r="C1535" s="2" t="s">
        <v>573</v>
      </c>
      <c r="D1535" s="2" t="str">
        <f t="shared" ref="D1535:D1598" si="23">IF(ISBLANK(B1535),"OK",IF(A1535-B1535=0,"OK","Error?"))</f>
        <v>Error?</v>
      </c>
    </row>
    <row r="1536" spans="1:4" x14ac:dyDescent="0.2">
      <c r="A1536" s="5">
        <v>1475</v>
      </c>
      <c r="B1536" s="138">
        <f>'Expenditures 15-22'!E312</f>
        <v>61810</v>
      </c>
      <c r="C1536" s="2" t="s">
        <v>573</v>
      </c>
      <c r="D1536" s="2" t="str">
        <f t="shared" si="23"/>
        <v>Error?</v>
      </c>
    </row>
    <row r="1537" spans="1:4" x14ac:dyDescent="0.2">
      <c r="A1537" s="5">
        <v>1476</v>
      </c>
      <c r="B1537" s="138">
        <f>'Expenditures 15-22'!F301</f>
        <v>27599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27599</v>
      </c>
      <c r="C1541" s="2" t="s">
        <v>573</v>
      </c>
      <c r="D1541" s="2" t="str">
        <f t="shared" si="23"/>
        <v>Error?</v>
      </c>
    </row>
    <row r="1542" spans="1:4" x14ac:dyDescent="0.2">
      <c r="A1542" s="5">
        <v>1481</v>
      </c>
      <c r="B1542" s="138">
        <f>'Expenditures 15-22'!F312</f>
        <v>27599</v>
      </c>
      <c r="C1542" s="2" t="s">
        <v>573</v>
      </c>
      <c r="D1542" s="2" t="str">
        <f t="shared" si="23"/>
        <v>Error?</v>
      </c>
    </row>
    <row r="1543" spans="1:4" x14ac:dyDescent="0.2">
      <c r="A1543" s="5">
        <v>1482</v>
      </c>
      <c r="B1543" s="138">
        <f>'Expenditures 15-22'!G301</f>
        <v>71269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71269</v>
      </c>
      <c r="C1547" s="2" t="s">
        <v>573</v>
      </c>
      <c r="D1547" s="2" t="str">
        <f t="shared" si="23"/>
        <v>Error?</v>
      </c>
    </row>
    <row r="1548" spans="1:4" x14ac:dyDescent="0.2">
      <c r="A1548" s="5">
        <v>1487</v>
      </c>
      <c r="B1548" s="138">
        <f>'Expenditures 15-22'!G312</f>
        <v>71269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160678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160678</v>
      </c>
      <c r="C1559" s="2" t="s">
        <v>573</v>
      </c>
      <c r="D1559" s="2" t="str">
        <f t="shared" si="23"/>
        <v>Error?</v>
      </c>
    </row>
    <row r="1560" spans="1:4" x14ac:dyDescent="0.2">
      <c r="A1560" s="5">
        <v>1499</v>
      </c>
      <c r="B1560" s="138">
        <f>'Expenditures 15-22'!K312</f>
        <v>160678</v>
      </c>
      <c r="C1560" s="2" t="s">
        <v>573</v>
      </c>
      <c r="D1560" s="2" t="str">
        <f t="shared" si="23"/>
        <v>Error?</v>
      </c>
    </row>
    <row r="1561" spans="1:4" x14ac:dyDescent="0.2">
      <c r="A1561" s="5">
        <v>1500</v>
      </c>
      <c r="B1561" s="138">
        <f>'Expenditures 15-22'!K313</f>
        <v>335301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1740900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2195409</v>
      </c>
      <c r="C1630" s="2" t="s">
        <v>573</v>
      </c>
      <c r="D1630" s="2" t="str">
        <f t="shared" si="24"/>
        <v>Error?</v>
      </c>
    </row>
    <row r="1631" spans="1:4" x14ac:dyDescent="0.2">
      <c r="A1631" s="5">
        <v>1570</v>
      </c>
      <c r="B1631" s="138">
        <f>'Acct Summary 7-8'!D79</f>
        <v>727195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727586</v>
      </c>
      <c r="C1644" s="2" t="s">
        <v>573</v>
      </c>
      <c r="D1644" s="2" t="str">
        <f t="shared" si="24"/>
        <v>Error?</v>
      </c>
    </row>
    <row r="1645" spans="1:4" x14ac:dyDescent="0.2">
      <c r="A1645" s="5">
        <v>1584</v>
      </c>
      <c r="B1645" s="138">
        <f>'Acct Summary 7-8'!E79</f>
        <v>426543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449999</v>
      </c>
      <c r="C1658" s="2" t="s">
        <v>573</v>
      </c>
      <c r="D1658" s="2" t="str">
        <f t="shared" si="24"/>
        <v>Error?</v>
      </c>
    </row>
    <row r="1659" spans="1:4" x14ac:dyDescent="0.2">
      <c r="A1659" s="5">
        <v>1598</v>
      </c>
      <c r="B1659" s="138">
        <f>'Acct Summary 7-8'!F79</f>
        <v>289027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201243</v>
      </c>
      <c r="C1672" s="2" t="s">
        <v>573</v>
      </c>
      <c r="D1672" s="2" t="str">
        <f t="shared" si="25"/>
        <v>Error?</v>
      </c>
    </row>
    <row r="1673" spans="1:4" x14ac:dyDescent="0.2">
      <c r="A1673" s="5">
        <v>1612</v>
      </c>
      <c r="B1673" s="138">
        <f>'Acct Summary 7-8'!G79</f>
        <v>525504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596392</v>
      </c>
      <c r="C1686" s="2" t="s">
        <v>573</v>
      </c>
      <c r="D1686" s="2" t="str">
        <f t="shared" si="25"/>
        <v>Error?</v>
      </c>
    </row>
    <row r="1687" spans="1:4" x14ac:dyDescent="0.2">
      <c r="A1687" s="5">
        <v>1626</v>
      </c>
      <c r="B1687" s="138">
        <f>'Acct Summary 7-8'!H79</f>
        <v>397575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515876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3129077</v>
      </c>
      <c r="C1744" s="2" t="s">
        <v>573</v>
      </c>
      <c r="D1744" s="2" t="str">
        <f t="shared" si="26"/>
        <v>Error?</v>
      </c>
    </row>
    <row r="1745" spans="1:5" x14ac:dyDescent="0.2">
      <c r="A1745" s="5">
        <v>1684</v>
      </c>
      <c r="B1745" s="138">
        <f>'Tax Sched 23'!B5</f>
        <v>601747</v>
      </c>
      <c r="C1745" s="2" t="s">
        <v>573</v>
      </c>
      <c r="D1745" s="2" t="str">
        <f t="shared" si="26"/>
        <v>Error?</v>
      </c>
    </row>
    <row r="1746" spans="1:5" x14ac:dyDescent="0.2">
      <c r="A1746" s="5">
        <v>1685</v>
      </c>
      <c r="B1746" s="138">
        <f>'Tax Sched 23'!B6</f>
        <v>690121</v>
      </c>
      <c r="C1746" s="2" t="s">
        <v>573</v>
      </c>
      <c r="D1746" s="2" t="str">
        <f t="shared" si="26"/>
        <v>Error?</v>
      </c>
    </row>
    <row r="1747" spans="1:5" x14ac:dyDescent="0.2">
      <c r="A1747" s="5">
        <v>1686</v>
      </c>
      <c r="B1747" s="138">
        <f>'Tax Sched 23'!B7</f>
        <v>240697</v>
      </c>
      <c r="C1747" s="2" t="s">
        <v>573</v>
      </c>
      <c r="D1747" s="2" t="str">
        <f t="shared" si="26"/>
        <v>Error?</v>
      </c>
    </row>
    <row r="1748" spans="1:5" x14ac:dyDescent="0.2">
      <c r="A1748" s="5">
        <v>1687</v>
      </c>
      <c r="B1748" s="138">
        <f>'Tax Sched 23'!B8</f>
        <v>132143</v>
      </c>
      <c r="C1748" s="2" t="s">
        <v>573</v>
      </c>
      <c r="D1748" s="2" t="str">
        <f t="shared" si="26"/>
        <v>Error?</v>
      </c>
    </row>
    <row r="1749" spans="1:5" x14ac:dyDescent="0.2">
      <c r="A1749" s="5">
        <v>1688</v>
      </c>
      <c r="B1749" s="138">
        <f>'Tax Sched 23'!B10</f>
        <v>60177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448339</v>
      </c>
      <c r="C1752" s="2" t="s">
        <v>573</v>
      </c>
      <c r="D1752" s="2" t="str">
        <f t="shared" si="26"/>
        <v>Error?</v>
      </c>
    </row>
    <row r="1753" spans="1:5" x14ac:dyDescent="0.2">
      <c r="A1753" s="5">
        <v>1692</v>
      </c>
      <c r="B1753" s="138">
        <f>'Tax Sched 23'!B12</f>
        <v>60177</v>
      </c>
      <c r="C1753" s="2" t="s">
        <v>573</v>
      </c>
      <c r="D1753" s="2" t="str">
        <f t="shared" si="26"/>
        <v>Error?</v>
      </c>
    </row>
    <row r="1754" spans="1:5" x14ac:dyDescent="0.2">
      <c r="A1754" s="5">
        <v>1693</v>
      </c>
      <c r="B1754" s="138">
        <f>'Tax Sched 23'!B14</f>
        <v>48138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5627932</v>
      </c>
      <c r="C1759" s="2" t="s">
        <v>573</v>
      </c>
      <c r="D1759" s="2" t="str">
        <f t="shared" si="26"/>
        <v>Error?</v>
      </c>
    </row>
    <row r="1760" spans="1:5" x14ac:dyDescent="0.2">
      <c r="A1760" s="5">
        <v>1699</v>
      </c>
      <c r="B1760" s="138">
        <f>'Tax Sched 23'!D4</f>
        <v>1368956</v>
      </c>
      <c r="C1760" s="2" t="s">
        <v>573</v>
      </c>
      <c r="D1760" s="2" t="str">
        <f t="shared" si="26"/>
        <v>Error?</v>
      </c>
    </row>
    <row r="1761" spans="1:5" x14ac:dyDescent="0.2">
      <c r="A1761" s="5">
        <v>1700</v>
      </c>
      <c r="B1761" s="138">
        <f>'Tax Sched 23'!D5</f>
        <v>263263</v>
      </c>
      <c r="C1761" s="2" t="s">
        <v>573</v>
      </c>
      <c r="D1761" s="2" t="str">
        <f t="shared" si="26"/>
        <v>Error?</v>
      </c>
    </row>
    <row r="1762" spans="1:5" s="8" customFormat="1" x14ac:dyDescent="0.2">
      <c r="A1762" s="5">
        <v>1701</v>
      </c>
      <c r="B1762" s="138">
        <f>'Tax Sched 23'!D6</f>
        <v>307701</v>
      </c>
      <c r="C1762" s="2" t="s">
        <v>573</v>
      </c>
      <c r="D1762" s="2" t="str">
        <f t="shared" si="26"/>
        <v>Error?</v>
      </c>
      <c r="E1762" s="9"/>
    </row>
    <row r="1763" spans="1:5" x14ac:dyDescent="0.2">
      <c r="A1763" s="5">
        <v>1702</v>
      </c>
      <c r="B1763" s="138">
        <f>'Tax Sched 23'!D7</f>
        <v>105305</v>
      </c>
      <c r="C1763" s="2" t="s">
        <v>573</v>
      </c>
      <c r="D1763" s="2" t="str">
        <f t="shared" si="26"/>
        <v>Error?</v>
      </c>
    </row>
    <row r="1764" spans="1:5" x14ac:dyDescent="0.2">
      <c r="A1764" s="5">
        <v>1703</v>
      </c>
      <c r="B1764" s="138">
        <f>'Tax Sched 23'!D8</f>
        <v>63974</v>
      </c>
      <c r="C1764" s="2" t="s">
        <v>573</v>
      </c>
      <c r="D1764" s="2" t="str">
        <f t="shared" si="26"/>
        <v>Error?</v>
      </c>
    </row>
    <row r="1765" spans="1:5" x14ac:dyDescent="0.2">
      <c r="A1765" s="5">
        <v>1704</v>
      </c>
      <c r="B1765" s="138">
        <f>'Tax Sched 23'!D10</f>
        <v>26327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187233</v>
      </c>
      <c r="C1768" s="2" t="s">
        <v>573</v>
      </c>
      <c r="D1768" s="2" t="str">
        <f t="shared" si="26"/>
        <v>Error?</v>
      </c>
    </row>
    <row r="1769" spans="1:5" x14ac:dyDescent="0.2">
      <c r="A1769" s="5">
        <v>1708</v>
      </c>
      <c r="B1769" s="138">
        <f>'Tax Sched 23'!D12</f>
        <v>26327</v>
      </c>
      <c r="C1769" s="2" t="s">
        <v>573</v>
      </c>
      <c r="D1769" s="2" t="str">
        <f t="shared" si="26"/>
        <v>Error?</v>
      </c>
    </row>
    <row r="1770" spans="1:5" x14ac:dyDescent="0.2">
      <c r="A1770" s="5">
        <v>1709</v>
      </c>
      <c r="B1770" s="138">
        <f>'Tax Sched 23'!D14</f>
        <v>21060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2474136</v>
      </c>
      <c r="C1775" s="2" t="s">
        <v>573</v>
      </c>
      <c r="D1775" s="2" t="str">
        <f t="shared" si="26"/>
        <v>Error?</v>
      </c>
    </row>
    <row r="1776" spans="1:5" x14ac:dyDescent="0.2">
      <c r="A1776" s="5">
        <v>1715</v>
      </c>
      <c r="B1776" s="138">
        <f>'Tax Sched 23'!C4</f>
        <v>1760121</v>
      </c>
      <c r="D1776" s="2" t="str">
        <f t="shared" si="26"/>
        <v>Error?</v>
      </c>
    </row>
    <row r="1777" spans="1:4" x14ac:dyDescent="0.2">
      <c r="A1777" s="5">
        <v>1716</v>
      </c>
      <c r="B1777" s="138">
        <f>'Tax Sched 23'!C5</f>
        <v>338484</v>
      </c>
      <c r="D1777" s="2" t="str">
        <f t="shared" si="26"/>
        <v>Error?</v>
      </c>
    </row>
    <row r="1778" spans="1:4" x14ac:dyDescent="0.2">
      <c r="A1778" s="5">
        <v>1717</v>
      </c>
      <c r="B1778" s="138">
        <f>'Tax Sched 23'!C6</f>
        <v>382420</v>
      </c>
      <c r="D1778" s="2" t="str">
        <f t="shared" si="26"/>
        <v>Error?</v>
      </c>
    </row>
    <row r="1779" spans="1:4" x14ac:dyDescent="0.2">
      <c r="A1779" s="5">
        <v>1718</v>
      </c>
      <c r="B1779" s="138">
        <f>'Tax Sched 23'!C7</f>
        <v>135392</v>
      </c>
      <c r="D1779" s="2" t="str">
        <f t="shared" si="26"/>
        <v>Error?</v>
      </c>
    </row>
    <row r="1780" spans="1:4" x14ac:dyDescent="0.2">
      <c r="A1780" s="5">
        <v>1719</v>
      </c>
      <c r="B1780" s="138">
        <f>'Tax Sched 23'!C8</f>
        <v>68169</v>
      </c>
      <c r="D1780" s="2" t="str">
        <f t="shared" si="26"/>
        <v>Error?</v>
      </c>
    </row>
    <row r="1781" spans="1:4" x14ac:dyDescent="0.2">
      <c r="A1781" s="5">
        <v>1720</v>
      </c>
      <c r="B1781" s="138">
        <f>'Tax Sched 23'!C10</f>
        <v>33850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261106</v>
      </c>
      <c r="D1784" s="2" t="str">
        <f t="shared" si="26"/>
        <v>Error?</v>
      </c>
    </row>
    <row r="1785" spans="1:4" x14ac:dyDescent="0.2">
      <c r="A1785" s="5">
        <v>1724</v>
      </c>
      <c r="B1785" s="138">
        <f>'Tax Sched 23'!C12</f>
        <v>33850</v>
      </c>
      <c r="D1785" s="2" t="str">
        <f t="shared" si="26"/>
        <v>Error?</v>
      </c>
    </row>
    <row r="1786" spans="1:4" x14ac:dyDescent="0.2">
      <c r="A1786" s="5">
        <v>1725</v>
      </c>
      <c r="B1786" s="138">
        <f>'Tax Sched 23'!C14</f>
        <v>27078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3153796</v>
      </c>
      <c r="C1791" s="2" t="s">
        <v>573</v>
      </c>
      <c r="D1791" s="2" t="str">
        <f t="shared" ref="D1791:D1854" si="27">IF(ISBLANK(B1791),"OK",IF(A1791-B1791=0,"OK","Error?"))</f>
        <v>Error?</v>
      </c>
    </row>
    <row r="1792" spans="1:4" x14ac:dyDescent="0.2">
      <c r="A1792" s="5">
        <v>1731</v>
      </c>
      <c r="B1792" s="138">
        <f>'Tax Sched 23'!F4</f>
        <v>1340959</v>
      </c>
      <c r="C1792" s="2" t="s">
        <v>573</v>
      </c>
      <c r="D1792" s="2" t="str">
        <f t="shared" si="27"/>
        <v>Error?</v>
      </c>
    </row>
    <row r="1793" spans="1:4" x14ac:dyDescent="0.2">
      <c r="A1793" s="5">
        <v>1732</v>
      </c>
      <c r="B1793" s="138">
        <f>'Tax Sched 23'!F5</f>
        <v>257878</v>
      </c>
      <c r="C1793" s="2" t="s">
        <v>573</v>
      </c>
      <c r="D1793" s="2" t="str">
        <f t="shared" si="27"/>
        <v>Error?</v>
      </c>
    </row>
    <row r="1794" spans="1:4" x14ac:dyDescent="0.2">
      <c r="A1794" s="5">
        <v>1733</v>
      </c>
      <c r="B1794" s="138">
        <f>'Tax Sched 23'!F6</f>
        <v>291349</v>
      </c>
      <c r="C1794" s="2" t="s">
        <v>573</v>
      </c>
      <c r="D1794" s="2" t="str">
        <f t="shared" si="27"/>
        <v>Error?</v>
      </c>
    </row>
    <row r="1795" spans="1:4" x14ac:dyDescent="0.2">
      <c r="A1795" s="5">
        <v>1734</v>
      </c>
      <c r="B1795" s="138">
        <f>'Tax Sched 23'!F7</f>
        <v>103153</v>
      </c>
      <c r="C1795" s="2" t="s">
        <v>573</v>
      </c>
      <c r="D1795" s="2" t="str">
        <f t="shared" si="27"/>
        <v>Error?</v>
      </c>
    </row>
    <row r="1796" spans="1:4" x14ac:dyDescent="0.2">
      <c r="A1796" s="5">
        <v>1735</v>
      </c>
      <c r="B1796" s="138">
        <f>'Tax Sched 23'!F8</f>
        <v>51938</v>
      </c>
      <c r="C1796" s="2" t="s">
        <v>573</v>
      </c>
      <c r="D1796" s="2" t="str">
        <f t="shared" si="27"/>
        <v>Error?</v>
      </c>
    </row>
    <row r="1797" spans="1:4" x14ac:dyDescent="0.2">
      <c r="A1797" s="5">
        <v>1736</v>
      </c>
      <c r="B1797" s="138">
        <f>'Tax Sched 23'!F10</f>
        <v>25786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198928</v>
      </c>
      <c r="C1800" s="2" t="s">
        <v>573</v>
      </c>
      <c r="D1800" s="2" t="str">
        <f t="shared" si="27"/>
        <v>Error?</v>
      </c>
    </row>
    <row r="1801" spans="1:4" x14ac:dyDescent="0.2">
      <c r="A1801" s="5">
        <v>1740</v>
      </c>
      <c r="B1801" s="138">
        <f>'Tax Sched 23'!F12</f>
        <v>25786</v>
      </c>
      <c r="C1801" s="2" t="s">
        <v>573</v>
      </c>
      <c r="D1801" s="2" t="str">
        <f t="shared" si="27"/>
        <v>Error?</v>
      </c>
    </row>
    <row r="1802" spans="1:4" x14ac:dyDescent="0.2">
      <c r="A1802" s="5">
        <v>1741</v>
      </c>
      <c r="B1802" s="138">
        <f>'Tax Sched 23'!F14</f>
        <v>20631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2402744</v>
      </c>
      <c r="C1807" s="2" t="s">
        <v>573</v>
      </c>
      <c r="D1807" s="2" t="str">
        <f t="shared" si="27"/>
        <v>Error?</v>
      </c>
    </row>
    <row r="1808" spans="1:4" x14ac:dyDescent="0.2">
      <c r="A1808" s="5">
        <v>1747</v>
      </c>
      <c r="B1808" s="138">
        <f>'Tax Sched 23'!E4</f>
        <v>3101080</v>
      </c>
      <c r="D1808" s="2" t="str">
        <f t="shared" si="27"/>
        <v>Error?</v>
      </c>
    </row>
    <row r="1809" spans="1:4" x14ac:dyDescent="0.2">
      <c r="A1809" s="5">
        <v>1748</v>
      </c>
      <c r="B1809" s="138">
        <f>'Tax Sched 23'!E5</f>
        <v>596362</v>
      </c>
      <c r="D1809" s="2" t="str">
        <f t="shared" si="27"/>
        <v>Error?</v>
      </c>
    </row>
    <row r="1810" spans="1:4" x14ac:dyDescent="0.2">
      <c r="A1810" s="5">
        <v>1749</v>
      </c>
      <c r="B1810" s="138">
        <f>'Tax Sched 23'!E6</f>
        <v>673769</v>
      </c>
      <c r="D1810" s="2" t="str">
        <f t="shared" si="27"/>
        <v>Error?</v>
      </c>
    </row>
    <row r="1811" spans="1:4" x14ac:dyDescent="0.2">
      <c r="A1811" s="5">
        <v>1750</v>
      </c>
      <c r="B1811" s="138">
        <f>'Tax Sched 23'!E7</f>
        <v>238545</v>
      </c>
      <c r="D1811" s="2" t="str">
        <f t="shared" si="27"/>
        <v>Error?</v>
      </c>
    </row>
    <row r="1812" spans="1:4" x14ac:dyDescent="0.2">
      <c r="A1812" s="5">
        <v>1751</v>
      </c>
      <c r="B1812" s="138">
        <f>'Tax Sched 23'!E8</f>
        <v>120107</v>
      </c>
      <c r="D1812" s="2" t="str">
        <f t="shared" si="27"/>
        <v>Error?</v>
      </c>
    </row>
    <row r="1813" spans="1:4" x14ac:dyDescent="0.2">
      <c r="A1813" s="5">
        <v>1752</v>
      </c>
      <c r="B1813" s="138">
        <f>'Tax Sched 23'!E10</f>
        <v>59636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460034</v>
      </c>
      <c r="D1816" s="2" t="str">
        <f t="shared" si="27"/>
        <v>Error?</v>
      </c>
    </row>
    <row r="1817" spans="1:4" x14ac:dyDescent="0.2">
      <c r="A1817" s="5">
        <v>1756</v>
      </c>
      <c r="B1817" s="138">
        <f>'Tax Sched 23'!E12</f>
        <v>59636</v>
      </c>
      <c r="D1817" s="2" t="str">
        <f t="shared" si="27"/>
        <v>Error?</v>
      </c>
    </row>
    <row r="1818" spans="1:4" x14ac:dyDescent="0.2">
      <c r="A1818" s="5">
        <v>1757</v>
      </c>
      <c r="B1818" s="138">
        <f>'Tax Sched 23'!E14</f>
        <v>47709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5556540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2395000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48138</v>
      </c>
      <c r="D1972" s="2" t="str">
        <f t="shared" si="29"/>
        <v>Error?</v>
      </c>
    </row>
    <row r="1973" spans="1:5" x14ac:dyDescent="0.2">
      <c r="A1973" s="5">
        <v>1912</v>
      </c>
      <c r="B1973" s="138">
        <f>'Rest Tax Levies-Tort Im 25'!H6</f>
        <v>19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48157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48157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469184</v>
      </c>
      <c r="D2008" s="2" t="str">
        <f t="shared" si="30"/>
        <v>Error?</v>
      </c>
    </row>
    <row r="2009" spans="1:4" x14ac:dyDescent="0.2">
      <c r="A2009" s="5">
        <v>1948</v>
      </c>
      <c r="B2009" s="138">
        <f>'Cap Outlay Deprec 26'!C8</f>
        <v>12270016</v>
      </c>
      <c r="D2009" s="2" t="str">
        <f t="shared" si="30"/>
        <v>Error?</v>
      </c>
    </row>
    <row r="2010" spans="1:4" x14ac:dyDescent="0.2">
      <c r="A2010" s="5">
        <v>1949</v>
      </c>
      <c r="B2010" s="138">
        <f>'Cap Outlay Deprec 26'!C10</f>
        <v>826755</v>
      </c>
      <c r="D2010" s="2" t="str">
        <f t="shared" si="30"/>
        <v>Error?</v>
      </c>
    </row>
    <row r="2011" spans="1:4" x14ac:dyDescent="0.2">
      <c r="A2011" s="5">
        <v>1950</v>
      </c>
      <c r="B2011" s="138">
        <f>'Cap Outlay Deprec 26'!C12</f>
        <v>1703298</v>
      </c>
      <c r="D2011" s="2" t="str">
        <f t="shared" si="30"/>
        <v>Error?</v>
      </c>
    </row>
    <row r="2012" spans="1:4" x14ac:dyDescent="0.2">
      <c r="A2012" s="5">
        <v>1951</v>
      </c>
      <c r="B2012" s="138">
        <f>'Cap Outlay Deprec 26'!C13</f>
        <v>414226</v>
      </c>
      <c r="D2012" s="2" t="str">
        <f t="shared" si="30"/>
        <v>Error?</v>
      </c>
    </row>
    <row r="2013" spans="1:4" x14ac:dyDescent="0.2">
      <c r="A2013" s="5">
        <v>1952</v>
      </c>
      <c r="B2013" s="138">
        <f>'Cap Outlay Deprec 26'!C16</f>
        <v>15683479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75217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186022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261239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275752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275752</v>
      </c>
      <c r="C2025" s="2" t="s">
        <v>573</v>
      </c>
      <c r="D2025" s="2" t="str">
        <f t="shared" si="30"/>
        <v>Error?</v>
      </c>
    </row>
    <row r="2026" spans="1:4" x14ac:dyDescent="0.2">
      <c r="A2026" s="5">
        <v>1965</v>
      </c>
      <c r="B2026" s="138">
        <f>'Cap Outlay Deprec 26'!F5</f>
        <v>469184</v>
      </c>
      <c r="C2026" s="2" t="s">
        <v>573</v>
      </c>
      <c r="D2026" s="2" t="str">
        <f t="shared" si="30"/>
        <v>Error?</v>
      </c>
    </row>
    <row r="2027" spans="1:4" x14ac:dyDescent="0.2">
      <c r="A2027" s="5">
        <v>1966</v>
      </c>
      <c r="B2027" s="138">
        <f>'Cap Outlay Deprec 26'!F8</f>
        <v>12345233</v>
      </c>
      <c r="C2027" s="2" t="s">
        <v>573</v>
      </c>
      <c r="D2027" s="2" t="str">
        <f t="shared" si="30"/>
        <v>Error?</v>
      </c>
    </row>
    <row r="2028" spans="1:4" x14ac:dyDescent="0.2">
      <c r="A2028" s="5">
        <v>1967</v>
      </c>
      <c r="B2028" s="138">
        <f>'Cap Outlay Deprec 26'!F10</f>
        <v>826755</v>
      </c>
      <c r="C2028" s="2" t="s">
        <v>573</v>
      </c>
      <c r="D2028" s="2" t="str">
        <f t="shared" si="30"/>
        <v>Error?</v>
      </c>
    </row>
    <row r="2029" spans="1:4" x14ac:dyDescent="0.2">
      <c r="A2029" s="5">
        <v>1968</v>
      </c>
      <c r="B2029" s="138">
        <f>'Cap Outlay Deprec 26'!F12</f>
        <v>1613568</v>
      </c>
      <c r="C2029" s="2" t="s">
        <v>573</v>
      </c>
      <c r="D2029" s="2" t="str">
        <f t="shared" si="30"/>
        <v>Error?</v>
      </c>
    </row>
    <row r="2030" spans="1:4" x14ac:dyDescent="0.2">
      <c r="A2030" s="5">
        <v>1969</v>
      </c>
      <c r="B2030" s="138">
        <f>'Cap Outlay Deprec 26'!F13</f>
        <v>414226</v>
      </c>
      <c r="C2030" s="2" t="s">
        <v>573</v>
      </c>
      <c r="D2030" s="2" t="str">
        <f t="shared" si="30"/>
        <v>Error?</v>
      </c>
    </row>
    <row r="2031" spans="1:4" x14ac:dyDescent="0.2">
      <c r="A2031" s="5">
        <v>1970</v>
      </c>
      <c r="B2031" s="138">
        <f>'Cap Outlay Deprec 26'!F16</f>
        <v>15668966</v>
      </c>
      <c r="C2031" s="2" t="s">
        <v>573</v>
      </c>
      <c r="D2031" s="2" t="str">
        <f t="shared" si="30"/>
        <v>Error?</v>
      </c>
    </row>
    <row r="2032" spans="1:4" x14ac:dyDescent="0.2">
      <c r="A2032" s="10">
        <v>1971</v>
      </c>
      <c r="D2032" s="2" t="str">
        <f t="shared" si="30"/>
        <v>OK</v>
      </c>
    </row>
    <row r="2033" spans="1:4" x14ac:dyDescent="0.2">
      <c r="A2033" s="5">
        <v>1972</v>
      </c>
      <c r="B2033" s="138">
        <f>'Cap Outlay Deprec 26'!H8</f>
        <v>4280785</v>
      </c>
      <c r="D2033" s="2" t="str">
        <f t="shared" si="30"/>
        <v>Error?</v>
      </c>
    </row>
    <row r="2034" spans="1:4" x14ac:dyDescent="0.2">
      <c r="A2034" s="5">
        <v>1973</v>
      </c>
      <c r="B2034" s="138">
        <f>'Cap Outlay Deprec 26'!H10</f>
        <v>424822</v>
      </c>
      <c r="D2034" s="2" t="str">
        <f t="shared" si="30"/>
        <v>Error?</v>
      </c>
    </row>
    <row r="2035" spans="1:4" x14ac:dyDescent="0.2">
      <c r="A2035" s="5">
        <v>1974</v>
      </c>
      <c r="B2035" s="138">
        <f>'Cap Outlay Deprec 26'!H12</f>
        <v>967587</v>
      </c>
      <c r="D2035" s="2" t="str">
        <f t="shared" si="30"/>
        <v>Error?</v>
      </c>
    </row>
    <row r="2036" spans="1:4" x14ac:dyDescent="0.2">
      <c r="A2036" s="5">
        <v>1975</v>
      </c>
      <c r="B2036" s="138">
        <f>'Cap Outlay Deprec 26'!H13</f>
        <v>294421</v>
      </c>
      <c r="D2036" s="2" t="str">
        <f t="shared" si="30"/>
        <v>Error?</v>
      </c>
    </row>
    <row r="2037" spans="1:4" x14ac:dyDescent="0.2">
      <c r="A2037" s="5">
        <v>1976</v>
      </c>
      <c r="B2037" s="138">
        <f>'Cap Outlay Deprec 26'!H16</f>
        <v>5967615</v>
      </c>
      <c r="C2037" s="2" t="s">
        <v>573</v>
      </c>
      <c r="D2037" s="2" t="str">
        <f t="shared" si="30"/>
        <v>Error?</v>
      </c>
    </row>
    <row r="2038" spans="1:4" x14ac:dyDescent="0.2">
      <c r="A2038" s="10">
        <v>1977</v>
      </c>
      <c r="D2038" s="2" t="str">
        <f t="shared" si="30"/>
        <v>OK</v>
      </c>
    </row>
    <row r="2039" spans="1:4" x14ac:dyDescent="0.2">
      <c r="A2039" s="5">
        <v>1978</v>
      </c>
      <c r="B2039" s="138">
        <f>'Cap Outlay Deprec 26'!I8</f>
        <v>246148</v>
      </c>
      <c r="D2039" s="2" t="str">
        <f t="shared" si="30"/>
        <v>Error?</v>
      </c>
    </row>
    <row r="2040" spans="1:4" x14ac:dyDescent="0.2">
      <c r="A2040" s="5">
        <v>1979</v>
      </c>
      <c r="B2040" s="138">
        <f>'Cap Outlay Deprec 26'!I10</f>
        <v>34897</v>
      </c>
      <c r="D2040" s="2" t="str">
        <f t="shared" si="30"/>
        <v>Error?</v>
      </c>
    </row>
    <row r="2041" spans="1:4" x14ac:dyDescent="0.2">
      <c r="A2041" s="5">
        <v>1980</v>
      </c>
      <c r="B2041" s="138">
        <f>'Cap Outlay Deprec 26'!I12</f>
        <v>157697</v>
      </c>
      <c r="D2041" s="2" t="str">
        <f t="shared" si="30"/>
        <v>Error?</v>
      </c>
    </row>
    <row r="2042" spans="1:4" x14ac:dyDescent="0.2">
      <c r="A2042" s="5">
        <v>1981</v>
      </c>
      <c r="B2042" s="138">
        <f>'Cap Outlay Deprec 26'!I13</f>
        <v>52639</v>
      </c>
      <c r="D2042" s="2" t="str">
        <f t="shared" si="30"/>
        <v>Error?</v>
      </c>
    </row>
    <row r="2043" spans="1:4" x14ac:dyDescent="0.2">
      <c r="A2043" s="5">
        <v>1982</v>
      </c>
      <c r="B2043" s="138">
        <f>'Cap Outlay Deprec 26'!I16</f>
        <v>491381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275752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275752</v>
      </c>
      <c r="C2049" s="2" t="s">
        <v>573</v>
      </c>
      <c r="D2049" s="2" t="str">
        <f t="shared" si="31"/>
        <v>Error?</v>
      </c>
    </row>
    <row r="2050" spans="1:4" x14ac:dyDescent="0.2">
      <c r="A2050" s="10">
        <v>1989</v>
      </c>
      <c r="D2050" s="2" t="str">
        <f t="shared" si="31"/>
        <v>OK</v>
      </c>
    </row>
    <row r="2051" spans="1:4" x14ac:dyDescent="0.2">
      <c r="A2051" s="5">
        <v>1990</v>
      </c>
      <c r="B2051" s="138">
        <f>'Cap Outlay Deprec 26'!K8</f>
        <v>4526933</v>
      </c>
      <c r="C2051" s="2" t="s">
        <v>573</v>
      </c>
      <c r="D2051" s="2" t="str">
        <f t="shared" si="31"/>
        <v>Error?</v>
      </c>
    </row>
    <row r="2052" spans="1:4" x14ac:dyDescent="0.2">
      <c r="A2052" s="5">
        <v>1991</v>
      </c>
      <c r="B2052" s="138">
        <f>'Cap Outlay Deprec 26'!K10</f>
        <v>459719</v>
      </c>
      <c r="C2052" s="2" t="s">
        <v>573</v>
      </c>
      <c r="D2052" s="2" t="str">
        <f t="shared" si="31"/>
        <v>Error?</v>
      </c>
    </row>
    <row r="2053" spans="1:4" x14ac:dyDescent="0.2">
      <c r="A2053" s="5">
        <v>1992</v>
      </c>
      <c r="B2053" s="138">
        <f>'Cap Outlay Deprec 26'!K12</f>
        <v>849532</v>
      </c>
      <c r="C2053" s="2" t="s">
        <v>573</v>
      </c>
      <c r="D2053" s="2" t="str">
        <f t="shared" si="31"/>
        <v>Error?</v>
      </c>
    </row>
    <row r="2054" spans="1:4" x14ac:dyDescent="0.2">
      <c r="A2054" s="5">
        <v>1993</v>
      </c>
      <c r="B2054" s="138">
        <f>'Cap Outlay Deprec 26'!K13</f>
        <v>347060</v>
      </c>
      <c r="C2054" s="2" t="s">
        <v>573</v>
      </c>
      <c r="D2054" s="2" t="str">
        <f t="shared" si="31"/>
        <v>Error?</v>
      </c>
    </row>
    <row r="2055" spans="1:4" x14ac:dyDescent="0.2">
      <c r="A2055" s="5">
        <v>1994</v>
      </c>
      <c r="B2055" s="138">
        <f>'Cap Outlay Deprec 26'!K16</f>
        <v>6183244</v>
      </c>
      <c r="C2055" s="2" t="s">
        <v>573</v>
      </c>
      <c r="D2055" s="2" t="str">
        <f t="shared" si="31"/>
        <v>Error?</v>
      </c>
    </row>
    <row r="2056" spans="1:4" x14ac:dyDescent="0.2">
      <c r="A2056" s="5">
        <v>1995</v>
      </c>
      <c r="B2056" s="138">
        <f>'Cap Outlay Deprec 26'!L5</f>
        <v>469184</v>
      </c>
      <c r="C2056" s="2" t="s">
        <v>573</v>
      </c>
      <c r="D2056" s="2" t="str">
        <f t="shared" si="31"/>
        <v>Error?</v>
      </c>
    </row>
    <row r="2057" spans="1:4" x14ac:dyDescent="0.2">
      <c r="A2057" s="5">
        <v>1996</v>
      </c>
      <c r="B2057" s="138">
        <f>'Cap Outlay Deprec 26'!L8</f>
        <v>7818300</v>
      </c>
      <c r="C2057" s="2" t="s">
        <v>573</v>
      </c>
      <c r="D2057" s="2" t="str">
        <f t="shared" si="31"/>
        <v>Error?</v>
      </c>
    </row>
    <row r="2058" spans="1:4" x14ac:dyDescent="0.2">
      <c r="A2058" s="5">
        <v>1997</v>
      </c>
      <c r="B2058" s="138">
        <f>'Cap Outlay Deprec 26'!L10</f>
        <v>367036</v>
      </c>
      <c r="C2058" s="2" t="s">
        <v>573</v>
      </c>
      <c r="D2058" s="2" t="str">
        <f t="shared" si="31"/>
        <v>Error?</v>
      </c>
    </row>
    <row r="2059" spans="1:4" x14ac:dyDescent="0.2">
      <c r="A2059" s="5">
        <v>1998</v>
      </c>
      <c r="B2059" s="138">
        <f>'Cap Outlay Deprec 26'!L12</f>
        <v>764036</v>
      </c>
      <c r="C2059" s="2" t="s">
        <v>573</v>
      </c>
      <c r="D2059" s="2" t="str">
        <f t="shared" si="31"/>
        <v>Error?</v>
      </c>
    </row>
    <row r="2060" spans="1:4" x14ac:dyDescent="0.2">
      <c r="A2060" s="5">
        <v>1999</v>
      </c>
      <c r="B2060" s="138">
        <f>'Cap Outlay Deprec 26'!L13</f>
        <v>67166</v>
      </c>
      <c r="C2060" s="2" t="s">
        <v>573</v>
      </c>
      <c r="D2060" s="2" t="str">
        <f t="shared" si="31"/>
        <v>Error?</v>
      </c>
    </row>
    <row r="2061" spans="1:4" x14ac:dyDescent="0.2">
      <c r="A2061" s="5">
        <v>2000</v>
      </c>
      <c r="B2061" s="138">
        <f>'Cap Outlay Deprec 26'!L16</f>
        <v>9485722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55759</v>
      </c>
      <c r="C2089" s="2" t="s">
        <v>573</v>
      </c>
      <c r="D2089" s="2" t="str">
        <f t="shared" si="31"/>
        <v>Error?</v>
      </c>
    </row>
    <row r="2090" spans="1:4" x14ac:dyDescent="0.2">
      <c r="A2090" s="10">
        <v>2029</v>
      </c>
      <c r="D2090" s="2" t="str">
        <f t="shared" si="31"/>
        <v>OK</v>
      </c>
    </row>
    <row r="2091" spans="1:4" x14ac:dyDescent="0.2">
      <c r="A2091" s="5">
        <v>2030</v>
      </c>
      <c r="B2091" s="138">
        <f>'Expenditures 15-22'!H137</f>
        <v>10276</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10276</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291776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515876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4045836</v>
      </c>
      <c r="C2551" s="2" t="s">
        <v>573</v>
      </c>
      <c r="D2551" s="2" t="str">
        <f t="shared" si="38"/>
        <v>Error?</v>
      </c>
    </row>
    <row r="2552" spans="1:4" x14ac:dyDescent="0.2">
      <c r="A2552" s="10">
        <v>2491</v>
      </c>
      <c r="D2552" s="2" t="str">
        <f t="shared" si="38"/>
        <v>OK</v>
      </c>
    </row>
    <row r="2553" spans="1:4" x14ac:dyDescent="0.2">
      <c r="A2553" s="5">
        <v>2492</v>
      </c>
      <c r="B2553" s="138">
        <f>'Acct Summary 7-8'!C6</f>
        <v>2752424</v>
      </c>
      <c r="C2553" s="2" t="s">
        <v>573</v>
      </c>
      <c r="D2553" s="2" t="str">
        <f t="shared" si="38"/>
        <v>Error?</v>
      </c>
    </row>
    <row r="2554" spans="1:4" x14ac:dyDescent="0.2">
      <c r="A2554" s="5">
        <v>2493</v>
      </c>
      <c r="B2554" s="138">
        <f>'Acct Summary 7-8'!C7</f>
        <v>452928</v>
      </c>
      <c r="C2554" s="2" t="s">
        <v>573</v>
      </c>
      <c r="D2554" s="2" t="str">
        <f t="shared" si="38"/>
        <v>Error?</v>
      </c>
    </row>
    <row r="2555" spans="1:4" x14ac:dyDescent="0.2">
      <c r="A2555" s="5">
        <v>2494</v>
      </c>
      <c r="B2555" s="138">
        <f>'Acct Summary 7-8'!C8</f>
        <v>7251188</v>
      </c>
      <c r="C2555" s="2" t="s">
        <v>573</v>
      </c>
      <c r="D2555" s="2" t="str">
        <f t="shared" si="38"/>
        <v>Error?</v>
      </c>
    </row>
    <row r="2556" spans="1:4" x14ac:dyDescent="0.2">
      <c r="A2556" s="5">
        <v>2495</v>
      </c>
      <c r="B2556" s="138">
        <f>'Acct Summary 7-8'!C12</f>
        <v>4722876</v>
      </c>
      <c r="C2556" s="2" t="s">
        <v>573</v>
      </c>
      <c r="D2556" s="2" t="str">
        <f t="shared" si="38"/>
        <v>Error?</v>
      </c>
    </row>
    <row r="2557" spans="1:4" x14ac:dyDescent="0.2">
      <c r="A2557" s="5">
        <v>2496</v>
      </c>
      <c r="B2557" s="138">
        <f>'Acct Summary 7-8'!C13</f>
        <v>2098044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55759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6876679</v>
      </c>
      <c r="C2561" s="2" t="s">
        <v>573</v>
      </c>
      <c r="D2561" s="2" t="str">
        <f t="shared" si="39"/>
        <v>Error?</v>
      </c>
    </row>
    <row r="2562" spans="1:4" x14ac:dyDescent="0.2">
      <c r="A2562" s="5">
        <v>2501</v>
      </c>
      <c r="B2562" s="138">
        <f>'Acct Summary 7-8'!C20</f>
        <v>374509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612506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612506</v>
      </c>
      <c r="C2568" s="2" t="s">
        <v>573</v>
      </c>
      <c r="D2568" s="2" t="str">
        <f t="shared" si="39"/>
        <v>Error?</v>
      </c>
    </row>
    <row r="2569" spans="1:4" x14ac:dyDescent="0.2">
      <c r="A2569" s="5">
        <v>2508</v>
      </c>
      <c r="B2569" s="138">
        <f>'Acct Summary 7-8'!D13</f>
        <v>581839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10276</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592115</v>
      </c>
      <c r="C2573" s="2" t="s">
        <v>573</v>
      </c>
      <c r="D2573" s="2" t="str">
        <f t="shared" si="39"/>
        <v>Error?</v>
      </c>
    </row>
    <row r="2574" spans="1:4" x14ac:dyDescent="0.2">
      <c r="A2574" s="5">
        <v>2513</v>
      </c>
      <c r="B2574" s="138">
        <f>'Acct Summary 7-8'!D20</f>
        <v>20391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246010</v>
      </c>
      <c r="C2591" s="2" t="s">
        <v>573</v>
      </c>
      <c r="D2591" s="2" t="str">
        <f t="shared" si="39"/>
        <v>Error?</v>
      </c>
    </row>
    <row r="2592" spans="1:4" x14ac:dyDescent="0.2">
      <c r="A2592" s="10">
        <v>2531</v>
      </c>
      <c r="D2592" s="2" t="str">
        <f t="shared" si="39"/>
        <v>OK</v>
      </c>
    </row>
    <row r="2593" spans="1:4" x14ac:dyDescent="0.2">
      <c r="A2593" s="5">
        <v>2532</v>
      </c>
      <c r="B2593" s="138">
        <f>'Acct Summary 7-8'!F6</f>
        <v>142811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388821</v>
      </c>
      <c r="C2595" s="2" t="s">
        <v>573</v>
      </c>
      <c r="D2595" s="2" t="str">
        <f t="shared" si="39"/>
        <v>Error?</v>
      </c>
    </row>
    <row r="2596" spans="1:4" x14ac:dyDescent="0.2">
      <c r="A2596" s="5">
        <v>2535</v>
      </c>
      <c r="B2596" s="138">
        <f>'Acct Summary 7-8'!F13</f>
        <v>476605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476605</v>
      </c>
      <c r="C2600" s="2" t="s">
        <v>573</v>
      </c>
      <c r="D2600" s="2" t="str">
        <f t="shared" si="39"/>
        <v>Error?</v>
      </c>
    </row>
    <row r="2601" spans="1:4" x14ac:dyDescent="0.2">
      <c r="A2601" s="5">
        <v>2540</v>
      </c>
      <c r="B2601" s="138">
        <f>'Acct Summary 7-8'!F20</f>
        <v>-87784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320667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320667</v>
      </c>
      <c r="C2606" s="2" t="s">
        <v>573</v>
      </c>
      <c r="D2606" s="2" t="str">
        <f t="shared" si="39"/>
        <v>Error?</v>
      </c>
    </row>
    <row r="2607" spans="1:4" x14ac:dyDescent="0.2">
      <c r="A2607" s="5">
        <v>2546</v>
      </c>
      <c r="B2607" s="138">
        <f>'Acct Summary 7-8'!G12</f>
        <v>91680</v>
      </c>
      <c r="C2607" s="2" t="s">
        <v>573</v>
      </c>
      <c r="D2607" s="2" t="str">
        <f t="shared" si="39"/>
        <v>Error?</v>
      </c>
    </row>
    <row r="2608" spans="1:4" x14ac:dyDescent="0.2">
      <c r="A2608" s="5">
        <v>2547</v>
      </c>
      <c r="B2608" s="138">
        <f>'Acct Summary 7-8'!G13</f>
        <v>158099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249779</v>
      </c>
      <c r="C2612" s="2" t="s">
        <v>573</v>
      </c>
      <c r="D2612" s="2" t="str">
        <f t="shared" si="39"/>
        <v>Error?</v>
      </c>
    </row>
    <row r="2613" spans="1:4" x14ac:dyDescent="0.2">
      <c r="A2613" s="5">
        <v>2552</v>
      </c>
      <c r="B2613" s="138">
        <f>'Acct Summary 7-8'!G20</f>
        <v>70888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694802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694802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888346</v>
      </c>
      <c r="C2634" s="2" t="s">
        <v>573</v>
      </c>
      <c r="D2634" s="2" t="str">
        <f t="shared" si="40"/>
        <v>Error?</v>
      </c>
    </row>
    <row r="2635" spans="1:4" x14ac:dyDescent="0.2">
      <c r="A2635" s="5">
        <v>2574</v>
      </c>
      <c r="B2635" s="138">
        <f>'Acct Summary 7-8'!E17</f>
        <v>888346</v>
      </c>
      <c r="C2635" s="2" t="s">
        <v>573</v>
      </c>
      <c r="D2635" s="2" t="str">
        <f t="shared" si="40"/>
        <v>Error?</v>
      </c>
    </row>
    <row r="2636" spans="1:4" x14ac:dyDescent="0.2">
      <c r="A2636" s="5">
        <v>2575</v>
      </c>
      <c r="B2636" s="138">
        <f>'Acct Summary 7-8'!E20</f>
        <v>-193544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495979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495979</v>
      </c>
      <c r="C2658" s="2" t="s">
        <v>573</v>
      </c>
      <c r="D2658" s="2" t="str">
        <f t="shared" si="40"/>
        <v>Error?</v>
      </c>
    </row>
    <row r="2659" spans="1:4" x14ac:dyDescent="0.2">
      <c r="A2659" s="5">
        <v>2598</v>
      </c>
      <c r="B2659" s="138">
        <f>'Acct Summary 7-8'!H13</f>
        <v>160678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160678</v>
      </c>
      <c r="C2661" s="2" t="s">
        <v>573</v>
      </c>
      <c r="D2661" s="2" t="str">
        <f t="shared" si="40"/>
        <v>Error?</v>
      </c>
    </row>
    <row r="2662" spans="1:4" x14ac:dyDescent="0.2">
      <c r="A2662" s="5">
        <v>2601</v>
      </c>
      <c r="B2662" s="138">
        <f>'Acct Summary 7-8'!H20</f>
        <v>335301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734236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192349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734236</v>
      </c>
      <c r="D2912" s="2" t="str">
        <f t="shared" si="44"/>
        <v>Error?</v>
      </c>
    </row>
    <row r="2913" spans="1:4" x14ac:dyDescent="0.2">
      <c r="A2913" s="5">
        <v>2852</v>
      </c>
      <c r="B2913" s="138">
        <f>'Assets-Liab 5-6'!I41</f>
        <v>734236</v>
      </c>
      <c r="C2913" s="2" t="s">
        <v>573</v>
      </c>
      <c r="D2913" s="2" t="str">
        <f t="shared" si="44"/>
        <v>Error?</v>
      </c>
    </row>
    <row r="2914" spans="1:4" x14ac:dyDescent="0.2">
      <c r="A2914" s="5">
        <v>2853</v>
      </c>
      <c r="B2914" s="138">
        <f>'Assets-Liab 5-6'!L33</f>
        <v>192349</v>
      </c>
      <c r="D2914" s="2" t="str">
        <f t="shared" si="44"/>
        <v>Error?</v>
      </c>
    </row>
    <row r="2915" spans="1:4" x14ac:dyDescent="0.2">
      <c r="A2915" s="10">
        <v>2854</v>
      </c>
      <c r="D2915" s="2" t="str">
        <f t="shared" si="44"/>
        <v>OK</v>
      </c>
    </row>
    <row r="2916" spans="1:4" x14ac:dyDescent="0.2">
      <c r="A2916" s="5">
        <v>2855</v>
      </c>
      <c r="B2916" s="138">
        <f>'Assets-Liab 5-6'!L34</f>
        <v>192349</v>
      </c>
      <c r="C2916" s="2" t="s">
        <v>573</v>
      </c>
      <c r="D2916" s="2" t="str">
        <f t="shared" si="44"/>
        <v>Error?</v>
      </c>
    </row>
    <row r="2917" spans="1:4" x14ac:dyDescent="0.2">
      <c r="A2917" s="5">
        <v>2856</v>
      </c>
      <c r="B2917" s="138">
        <f>'Assets-Liab 5-6'!L41</f>
        <v>192349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10276</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10276</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36148</v>
      </c>
      <c r="D3055" s="2" t="str">
        <f t="shared" si="46"/>
        <v>Error?</v>
      </c>
    </row>
    <row r="3056" spans="1:4" x14ac:dyDescent="0.2">
      <c r="A3056" s="5">
        <v>2995</v>
      </c>
      <c r="B3056" s="138">
        <f>'Expenditures 15-22'!D10</f>
        <v>11691</v>
      </c>
      <c r="D3056" s="2" t="str">
        <f t="shared" si="46"/>
        <v>Error?</v>
      </c>
    </row>
    <row r="3057" spans="1:4" x14ac:dyDescent="0.2">
      <c r="A3057" s="5">
        <v>2996</v>
      </c>
      <c r="B3057" s="138">
        <f>'Expenditures 15-22'!E10</f>
        <v>17180</v>
      </c>
      <c r="D3057" s="2" t="str">
        <f t="shared" si="46"/>
        <v>Error?</v>
      </c>
    </row>
    <row r="3058" spans="1:4" x14ac:dyDescent="0.2">
      <c r="A3058" s="5">
        <v>2997</v>
      </c>
      <c r="B3058" s="138">
        <f>'Expenditures 15-22'!F10</f>
        <v>5618</v>
      </c>
      <c r="D3058" s="2" t="str">
        <f t="shared" si="46"/>
        <v>Error?</v>
      </c>
    </row>
    <row r="3059" spans="1:4" x14ac:dyDescent="0.2">
      <c r="A3059" s="5">
        <v>2998</v>
      </c>
      <c r="B3059" s="138">
        <f>'Expenditures 15-22'!G10</f>
        <v>1829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72466</v>
      </c>
      <c r="C3062" s="2" t="s">
        <v>573</v>
      </c>
      <c r="D3062" s="2" t="str">
        <f t="shared" si="46"/>
        <v>Error?</v>
      </c>
    </row>
    <row r="3063" spans="1:4" x14ac:dyDescent="0.2">
      <c r="A3063" s="10">
        <v>3002</v>
      </c>
      <c r="D3063" s="2" t="str">
        <f t="shared" si="46"/>
        <v>OK</v>
      </c>
    </row>
    <row r="3064" spans="1:4" x14ac:dyDescent="0.2">
      <c r="A3064" s="5">
        <v>3003</v>
      </c>
      <c r="B3064" s="138">
        <f>'Expenditures 15-22'!D219</f>
        <v>458</v>
      </c>
      <c r="D3064" s="2" t="str">
        <f t="shared" si="46"/>
        <v>Error?</v>
      </c>
    </row>
    <row r="3065" spans="1:4" x14ac:dyDescent="0.2">
      <c r="A3065" s="5">
        <v>3004</v>
      </c>
      <c r="B3065" s="138">
        <f>'Expenditures 15-22'!K219</f>
        <v>458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69359</v>
      </c>
      <c r="C3225" s="2" t="s">
        <v>573</v>
      </c>
      <c r="D3225" s="2" t="str">
        <f t="shared" si="49"/>
        <v>Error?</v>
      </c>
    </row>
    <row r="3226" spans="1:4" x14ac:dyDescent="0.2">
      <c r="A3226" s="5">
        <v>3165</v>
      </c>
      <c r="B3226" s="138">
        <f>'Acct Summary 7-8'!I8</f>
        <v>69359</v>
      </c>
      <c r="C3226" s="2" t="s">
        <v>573</v>
      </c>
      <c r="D3226" s="2" t="str">
        <f t="shared" si="49"/>
        <v>Error?</v>
      </c>
    </row>
    <row r="3227" spans="1:4" x14ac:dyDescent="0.2">
      <c r="A3227" s="5">
        <v>3166</v>
      </c>
      <c r="B3227" s="138">
        <f>'Acct Summary 7-8'!I20</f>
        <v>69359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80000</v>
      </c>
      <c r="C3232" s="2" t="s">
        <v>573</v>
      </c>
      <c r="D3232" s="2" t="str">
        <f t="shared" si="49"/>
        <v>Error?</v>
      </c>
    </row>
    <row r="3233" spans="1:4" x14ac:dyDescent="0.2">
      <c r="A3233" s="5">
        <v>3172</v>
      </c>
      <c r="B3233" s="138">
        <f>'Acct Summary 7-8'!C78</f>
        <v>454509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20000</v>
      </c>
      <c r="C3237" s="2" t="s">
        <v>573</v>
      </c>
      <c r="D3237" s="2" t="str">
        <f t="shared" si="49"/>
        <v>Error?</v>
      </c>
    </row>
    <row r="3238" spans="1:4" x14ac:dyDescent="0.2">
      <c r="A3238" s="5">
        <v>3177</v>
      </c>
      <c r="B3238" s="138">
        <f>'Acct Summary 7-8'!D77</f>
        <v>-20000</v>
      </c>
      <c r="C3238" s="2" t="s">
        <v>573</v>
      </c>
      <c r="D3238" s="2" t="str">
        <f t="shared" si="49"/>
        <v>Error?</v>
      </c>
    </row>
    <row r="3239" spans="1:4" x14ac:dyDescent="0.2">
      <c r="A3239" s="5">
        <v>3178</v>
      </c>
      <c r="B3239" s="138">
        <f>'Acct Summary 7-8'!D78</f>
        <v>391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-87784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70888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217000</v>
      </c>
      <c r="D3273" s="2" t="str">
        <f t="shared" si="50"/>
        <v>Error?</v>
      </c>
    </row>
    <row r="3274" spans="1:4" x14ac:dyDescent="0.2">
      <c r="A3274" s="5">
        <v>3213</v>
      </c>
      <c r="B3274" s="138">
        <f>'Acct Summary 7-8'!E44</f>
        <v>217000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217000</v>
      </c>
      <c r="C3277" s="2" t="s">
        <v>573</v>
      </c>
      <c r="D3277" s="2" t="str">
        <f t="shared" si="50"/>
        <v>Error?</v>
      </c>
    </row>
    <row r="3278" spans="1:4" x14ac:dyDescent="0.2">
      <c r="A3278" s="5">
        <v>3217</v>
      </c>
      <c r="B3278" s="138">
        <f>'Acct Summary 7-8'!E78</f>
        <v>23456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217000</v>
      </c>
      <c r="D3297" s="2" t="str">
        <f t="shared" si="50"/>
        <v>Error?</v>
      </c>
    </row>
    <row r="3298" spans="1:4" x14ac:dyDescent="0.2">
      <c r="A3298" s="5">
        <v>3237</v>
      </c>
      <c r="B3298" s="138">
        <f>'Acct Summary 7-8'!H76</f>
        <v>217000</v>
      </c>
      <c r="C3298" s="2" t="s">
        <v>573</v>
      </c>
      <c r="D3298" s="2" t="str">
        <f t="shared" si="50"/>
        <v>Error?</v>
      </c>
    </row>
    <row r="3299" spans="1:4" x14ac:dyDescent="0.2">
      <c r="A3299" s="5">
        <v>3238</v>
      </c>
      <c r="B3299" s="138">
        <f>'Acct Summary 7-8'!H77</f>
        <v>-217000</v>
      </c>
      <c r="C3299" s="2" t="s">
        <v>573</v>
      </c>
      <c r="D3299" s="2" t="str">
        <f t="shared" si="50"/>
        <v>Error?</v>
      </c>
    </row>
    <row r="3300" spans="1:4" x14ac:dyDescent="0.2">
      <c r="A3300" s="5">
        <v>3239</v>
      </c>
      <c r="B3300" s="138">
        <f>'Acct Summary 7-8'!H78</f>
        <v>118301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60000</v>
      </c>
      <c r="C3318" s="2" t="s">
        <v>573</v>
      </c>
      <c r="D3318" s="2" t="str">
        <f t="shared" si="50"/>
        <v>Error?</v>
      </c>
    </row>
    <row r="3319" spans="1:4" x14ac:dyDescent="0.2">
      <c r="A3319" s="5">
        <v>3258</v>
      </c>
      <c r="B3319" s="138">
        <f>'Acct Summary 7-8'!I77</f>
        <v>-60000</v>
      </c>
      <c r="C3319" s="2" t="s">
        <v>573</v>
      </c>
      <c r="D3319" s="2" t="str">
        <f t="shared" si="50"/>
        <v>Error?</v>
      </c>
    </row>
    <row r="3320" spans="1:4" x14ac:dyDescent="0.2">
      <c r="A3320" s="5">
        <v>3259</v>
      </c>
      <c r="B3320" s="138">
        <f>'Acct Summary 7-8'!I78</f>
        <v>9359</v>
      </c>
      <c r="C3320" s="2" t="s">
        <v>573</v>
      </c>
      <c r="D3320" s="2" t="str">
        <f t="shared" si="50"/>
        <v>Error?</v>
      </c>
    </row>
    <row r="3321" spans="1:4" x14ac:dyDescent="0.2">
      <c r="A3321" s="5">
        <v>3260</v>
      </c>
      <c r="B3321" s="138">
        <f>'Acct Summary 7-8'!I79</f>
        <v>724877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734236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608369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115965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1526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1268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727128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41989</v>
      </c>
      <c r="D3387" s="2" t="str">
        <f t="shared" si="51"/>
        <v>Error?</v>
      </c>
    </row>
    <row r="3388" spans="1:4" x14ac:dyDescent="0.2">
      <c r="A3388" s="5">
        <v>3327</v>
      </c>
      <c r="B3388" s="138">
        <f>'Expenditures 15-22'!D217</f>
        <v>36364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41989</v>
      </c>
      <c r="C3390" s="2" t="s">
        <v>573</v>
      </c>
      <c r="D3390" s="2" t="str">
        <f t="shared" si="51"/>
        <v>Error?</v>
      </c>
    </row>
    <row r="3391" spans="1:4" x14ac:dyDescent="0.2">
      <c r="A3391" s="5">
        <v>3330</v>
      </c>
      <c r="B3391" s="138">
        <f>'Expenditures 15-22'!K217</f>
        <v>36364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2114649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727586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449999</v>
      </c>
      <c r="D3417" s="2" t="str">
        <f t="shared" si="52"/>
        <v>Error?</v>
      </c>
    </row>
    <row r="3418" spans="1:4" x14ac:dyDescent="0.2">
      <c r="A3418" s="10">
        <v>3357</v>
      </c>
      <c r="D3418" s="2" t="str">
        <f t="shared" si="52"/>
        <v>OK</v>
      </c>
    </row>
    <row r="3419" spans="1:4" x14ac:dyDescent="0.2">
      <c r="A3419" s="5">
        <v>3358</v>
      </c>
      <c r="B3419" s="138">
        <f>'Assets-Liab 5-6'!F4</f>
        <v>201243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596392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515876</v>
      </c>
      <c r="D3425" s="2" t="str">
        <f t="shared" si="52"/>
        <v>Error?</v>
      </c>
    </row>
    <row r="3426" spans="1:4" x14ac:dyDescent="0.2">
      <c r="A3426" s="10">
        <v>3365</v>
      </c>
      <c r="D3426" s="2" t="str">
        <f t="shared" si="52"/>
        <v>OK</v>
      </c>
    </row>
    <row r="3427" spans="1:4" x14ac:dyDescent="0.2">
      <c r="A3427" s="5">
        <v>3366</v>
      </c>
      <c r="B3427" s="138">
        <f>'Assets-Liab 5-6'!I4</f>
        <v>734236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192349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157139</v>
      </c>
      <c r="C3446" s="2" t="s">
        <v>573</v>
      </c>
      <c r="D3446" s="2" t="str">
        <f t="shared" si="52"/>
        <v>Error?</v>
      </c>
    </row>
    <row r="3447" spans="1:4" x14ac:dyDescent="0.2">
      <c r="A3447" s="5">
        <v>3386</v>
      </c>
      <c r="B3447" s="138">
        <f>'Tax Sched 23'!D16</f>
        <v>77663</v>
      </c>
      <c r="C3447" s="2" t="s">
        <v>573</v>
      </c>
      <c r="D3447" s="2" t="str">
        <f t="shared" si="52"/>
        <v>Error?</v>
      </c>
    </row>
    <row r="3448" spans="1:4" x14ac:dyDescent="0.2">
      <c r="A3448" s="5">
        <v>3387</v>
      </c>
      <c r="B3448" s="138">
        <f>'Tax Sched 23'!C16</f>
        <v>79476</v>
      </c>
      <c r="D3448" s="2" t="str">
        <f t="shared" si="52"/>
        <v>Error?</v>
      </c>
    </row>
    <row r="3449" spans="1:4" x14ac:dyDescent="0.2">
      <c r="A3449" s="5">
        <v>3388</v>
      </c>
      <c r="B3449" s="138">
        <f>'Tax Sched 23'!F16</f>
        <v>60550</v>
      </c>
      <c r="C3449" s="2" t="s">
        <v>573</v>
      </c>
      <c r="D3449" s="2" t="str">
        <f t="shared" si="52"/>
        <v>Error?</v>
      </c>
    </row>
    <row r="3450" spans="1:4" x14ac:dyDescent="0.2">
      <c r="A3450" s="5">
        <v>3389</v>
      </c>
      <c r="B3450" s="138">
        <f>'Tax Sched 23'!E16</f>
        <v>140026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390402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390402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390402</v>
      </c>
      <c r="D3567" s="2" t="str">
        <f t="shared" si="54"/>
        <v>Error?</v>
      </c>
    </row>
    <row r="3568" spans="1:4" x14ac:dyDescent="0.2">
      <c r="A3568" s="5">
        <v>3507</v>
      </c>
      <c r="B3568" s="138">
        <f>'Assets-Liab 5-6'!K41</f>
        <v>390402</v>
      </c>
      <c r="C3568" s="2" t="s">
        <v>573</v>
      </c>
      <c r="D3568" s="2" t="str">
        <f t="shared" si="54"/>
        <v>Error?</v>
      </c>
    </row>
    <row r="3569" spans="1:4" x14ac:dyDescent="0.2">
      <c r="A3569" s="5">
        <v>3508</v>
      </c>
      <c r="B3569" s="138">
        <f>'Acct Summary 7-8'!K4</f>
        <v>64888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64888</v>
      </c>
      <c r="C3571" s="2" t="s">
        <v>573</v>
      </c>
      <c r="D3571" s="2" t="str">
        <f t="shared" si="54"/>
        <v>Error?</v>
      </c>
    </row>
    <row r="3572" spans="1:4" x14ac:dyDescent="0.2">
      <c r="A3572" s="5">
        <v>3511</v>
      </c>
      <c r="B3572" s="138">
        <f>'Acct Summary 7-8'!K13</f>
        <v>66910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66910</v>
      </c>
      <c r="C3575" s="2" t="s">
        <v>573</v>
      </c>
      <c r="D3575" s="2" t="str">
        <f t="shared" si="54"/>
        <v>Error?</v>
      </c>
    </row>
    <row r="3576" spans="1:4" x14ac:dyDescent="0.2">
      <c r="A3576" s="5">
        <v>3515</v>
      </c>
      <c r="B3576" s="138">
        <f>'Acct Summary 7-8'!K20</f>
        <v>-2022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-2022</v>
      </c>
      <c r="C3588" s="2" t="s">
        <v>573</v>
      </c>
      <c r="D3588" s="2" t="str">
        <f t="shared" si="55"/>
        <v>Error?</v>
      </c>
    </row>
    <row r="3589" spans="1:4" x14ac:dyDescent="0.2">
      <c r="A3589" s="5">
        <v>3528</v>
      </c>
      <c r="B3589" s="138">
        <f>'Acct Summary 7-8'!K79</f>
        <v>392424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390402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628</v>
      </c>
      <c r="D3632" s="2" t="str">
        <f t="shared" si="55"/>
        <v>Error?</v>
      </c>
    </row>
    <row r="3633" spans="1:4" x14ac:dyDescent="0.2">
      <c r="A3633" s="5">
        <v>3572</v>
      </c>
      <c r="B3633" s="138">
        <f>'Expenditures 15-22'!E350</f>
        <v>628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628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66282</v>
      </c>
      <c r="D3646" s="2" t="str">
        <f t="shared" si="55"/>
        <v>Error?</v>
      </c>
    </row>
    <row r="3647" spans="1:4" x14ac:dyDescent="0.2">
      <c r="A3647" s="5">
        <v>3586</v>
      </c>
      <c r="B3647" s="138">
        <f>'Expenditures 15-22'!G350</f>
        <v>66282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66282</v>
      </c>
      <c r="C3649" s="2" t="s">
        <v>573</v>
      </c>
      <c r="D3649" s="2" t="str">
        <f t="shared" si="56"/>
        <v>Error?</v>
      </c>
    </row>
    <row r="3650" spans="1:4" x14ac:dyDescent="0.2">
      <c r="A3650" s="5">
        <v>3589</v>
      </c>
      <c r="B3650" s="138">
        <f>'Expenditures 15-22'!G367</f>
        <v>66282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66910</v>
      </c>
      <c r="C3669" s="2" t="s">
        <v>573</v>
      </c>
      <c r="D3669" s="2" t="str">
        <f t="shared" si="56"/>
        <v>Error?</v>
      </c>
    </row>
    <row r="3670" spans="1:4" x14ac:dyDescent="0.2">
      <c r="A3670" s="5">
        <v>3609</v>
      </c>
      <c r="B3670" s="138">
        <f>'Expenditures 15-22'!K350</f>
        <v>66910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66910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66910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-2022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60177</v>
      </c>
      <c r="C3725" s="2" t="s">
        <v>573</v>
      </c>
      <c r="D3725" s="2" t="str">
        <f t="shared" si="57"/>
        <v>Error?</v>
      </c>
    </row>
    <row r="3726" spans="1:4" x14ac:dyDescent="0.2">
      <c r="A3726" s="5">
        <v>3665</v>
      </c>
      <c r="B3726" s="138">
        <f>'Tax Sched 23'!D13</f>
        <v>26327</v>
      </c>
      <c r="C3726" s="2" t="s">
        <v>573</v>
      </c>
      <c r="D3726" s="2" t="str">
        <f t="shared" si="57"/>
        <v>Error?</v>
      </c>
    </row>
    <row r="3727" spans="1:4" x14ac:dyDescent="0.2">
      <c r="A3727" s="5">
        <v>3666</v>
      </c>
      <c r="B3727" s="138">
        <f>'Tax Sched 23'!C13</f>
        <v>33850</v>
      </c>
      <c r="D3727" s="2" t="str">
        <f t="shared" si="57"/>
        <v>Error?</v>
      </c>
    </row>
    <row r="3728" spans="1:4" x14ac:dyDescent="0.2">
      <c r="A3728" s="5">
        <v>3667</v>
      </c>
      <c r="B3728" s="138">
        <f>'Tax Sched 23'!F13</f>
        <v>25786</v>
      </c>
      <c r="C3728" s="2" t="s">
        <v>573</v>
      </c>
      <c r="D3728" s="2" t="str">
        <f t="shared" si="57"/>
        <v>Error?</v>
      </c>
    </row>
    <row r="3729" spans="1:4" x14ac:dyDescent="0.2">
      <c r="A3729" s="5">
        <v>3668</v>
      </c>
      <c r="B3729" s="138">
        <f>'Tax Sched 23'!E13</f>
        <v>59636</v>
      </c>
      <c r="D3729" s="2" t="str">
        <f t="shared" si="57"/>
        <v>Error?</v>
      </c>
    </row>
    <row r="3730" spans="1:4" x14ac:dyDescent="0.2">
      <c r="A3730" s="5">
        <v>3669</v>
      </c>
      <c r="B3730" s="138">
        <f>'ICR Computation 30'!E10</f>
        <v>168488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3109463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10360651</v>
      </c>
      <c r="C4122" s="2" t="s">
        <v>573</v>
      </c>
      <c r="D4122" s="2" t="str">
        <f t="shared" si="63"/>
        <v>Error?</v>
      </c>
    </row>
    <row r="4123" spans="1:4" x14ac:dyDescent="0.2">
      <c r="A4123" s="5">
        <v>4062</v>
      </c>
      <c r="B4123" s="138">
        <f>'Acct Summary 7-8'!D10</f>
        <v>612506</v>
      </c>
      <c r="C4123" s="2" t="s">
        <v>573</v>
      </c>
      <c r="D4123" s="2" t="str">
        <f t="shared" si="63"/>
        <v>Error?</v>
      </c>
    </row>
    <row r="4124" spans="1:4" x14ac:dyDescent="0.2">
      <c r="A4124" s="5">
        <v>4063</v>
      </c>
      <c r="B4124" s="138">
        <f>'Acct Summary 7-8'!E10</f>
        <v>694802</v>
      </c>
      <c r="C4124" s="2" t="s">
        <v>573</v>
      </c>
      <c r="D4124" s="2" t="str">
        <f t="shared" si="63"/>
        <v>Error?</v>
      </c>
    </row>
    <row r="4125" spans="1:4" x14ac:dyDescent="0.2">
      <c r="A4125" s="5">
        <v>4064</v>
      </c>
      <c r="B4125" s="138">
        <f>'Acct Summary 7-8'!F10</f>
        <v>388821</v>
      </c>
      <c r="C4125" s="2" t="s">
        <v>573</v>
      </c>
      <c r="D4125" s="2" t="str">
        <f t="shared" si="63"/>
        <v>Error?</v>
      </c>
    </row>
    <row r="4126" spans="1:4" x14ac:dyDescent="0.2">
      <c r="A4126" s="5">
        <v>4065</v>
      </c>
      <c r="B4126" s="138">
        <f>'Acct Summary 7-8'!G10</f>
        <v>320667</v>
      </c>
      <c r="C4126" s="2" t="s">
        <v>573</v>
      </c>
      <c r="D4126" s="2" t="str">
        <f t="shared" si="63"/>
        <v>Error?</v>
      </c>
    </row>
    <row r="4127" spans="1:4" x14ac:dyDescent="0.2">
      <c r="A4127" s="5">
        <v>4066</v>
      </c>
      <c r="B4127" s="138">
        <f>'Acct Summary 7-8'!H10</f>
        <v>495979</v>
      </c>
      <c r="C4127" s="2" t="s">
        <v>573</v>
      </c>
      <c r="D4127" s="2" t="str">
        <f t="shared" si="63"/>
        <v>Error?</v>
      </c>
    </row>
    <row r="4128" spans="1:4" x14ac:dyDescent="0.2">
      <c r="A4128" s="5">
        <v>4067</v>
      </c>
      <c r="B4128" s="138">
        <f>'Acct Summary 7-8'!I10</f>
        <v>69359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64888</v>
      </c>
      <c r="C4130" s="2" t="s">
        <v>573</v>
      </c>
      <c r="D4130" s="2" t="str">
        <f t="shared" si="63"/>
        <v>Error?</v>
      </c>
    </row>
    <row r="4131" spans="1:4" x14ac:dyDescent="0.2">
      <c r="A4131" s="5">
        <v>4070</v>
      </c>
      <c r="B4131" s="138">
        <f>'Acct Summary 7-8'!C18</f>
        <v>3109463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9986142</v>
      </c>
      <c r="C4136" s="2" t="s">
        <v>573</v>
      </c>
      <c r="D4136" s="2" t="str">
        <f t="shared" si="63"/>
        <v>Error?</v>
      </c>
    </row>
    <row r="4137" spans="1:4" x14ac:dyDescent="0.2">
      <c r="A4137" s="5">
        <v>4076</v>
      </c>
      <c r="B4137" s="138">
        <f>'Acct Summary 7-8'!D19</f>
        <v>592115</v>
      </c>
      <c r="C4137" s="2" t="s">
        <v>573</v>
      </c>
      <c r="D4137" s="2" t="str">
        <f t="shared" si="63"/>
        <v>Error?</v>
      </c>
    </row>
    <row r="4138" spans="1:4" x14ac:dyDescent="0.2">
      <c r="A4138" s="5">
        <v>4077</v>
      </c>
      <c r="B4138" s="138">
        <f>'Acct Summary 7-8'!E19</f>
        <v>888346</v>
      </c>
      <c r="C4138" s="2" t="s">
        <v>573</v>
      </c>
      <c r="D4138" s="2" t="str">
        <f t="shared" si="63"/>
        <v>Error?</v>
      </c>
    </row>
    <row r="4139" spans="1:4" x14ac:dyDescent="0.2">
      <c r="A4139" s="5">
        <v>4078</v>
      </c>
      <c r="B4139" s="138">
        <f>'Acct Summary 7-8'!F19</f>
        <v>476605</v>
      </c>
      <c r="C4139" s="2" t="s">
        <v>573</v>
      </c>
      <c r="D4139" s="2" t="str">
        <f t="shared" si="63"/>
        <v>Error?</v>
      </c>
    </row>
    <row r="4140" spans="1:4" x14ac:dyDescent="0.2">
      <c r="A4140" s="5">
        <v>4079</v>
      </c>
      <c r="B4140" s="138">
        <f>'Acct Summary 7-8'!G19</f>
        <v>249779</v>
      </c>
      <c r="C4140" s="2" t="s">
        <v>573</v>
      </c>
      <c r="D4140" s="2" t="str">
        <f t="shared" si="63"/>
        <v>Error?</v>
      </c>
    </row>
    <row r="4141" spans="1:4" x14ac:dyDescent="0.2">
      <c r="A4141" s="5">
        <v>4080</v>
      </c>
      <c r="B4141" s="138">
        <f>'Acct Summary 7-8'!H19</f>
        <v>160678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66910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1630000</v>
      </c>
      <c r="C4171" s="2" t="s">
        <v>573</v>
      </c>
      <c r="D4171" s="2" t="str">
        <f t="shared" si="64"/>
        <v>Error?</v>
      </c>
    </row>
    <row r="4172" spans="1:4" x14ac:dyDescent="0.2">
      <c r="A4172" s="5">
        <v>4111</v>
      </c>
      <c r="B4172" s="138">
        <f>'Short-Term Long-Term Debt 24'!J49</f>
        <v>1180001</v>
      </c>
      <c r="C4172" s="2" t="s">
        <v>573</v>
      </c>
      <c r="D4172" s="2" t="str">
        <f t="shared" si="64"/>
        <v>Error?</v>
      </c>
    </row>
    <row r="4173" spans="1:4" x14ac:dyDescent="0.2">
      <c r="A4173" s="5">
        <v>4112</v>
      </c>
      <c r="B4173" s="138">
        <f>'Short-Term Long-Term Debt 24'!H49</f>
        <v>765000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3300</v>
      </c>
      <c r="C4268" s="2" t="s">
        <v>573</v>
      </c>
      <c r="D4268" s="2" t="str">
        <f t="shared" si="65"/>
        <v>Error?</v>
      </c>
    </row>
    <row r="4269" spans="1:5" x14ac:dyDescent="0.2">
      <c r="A4269" s="12">
        <v>4208</v>
      </c>
      <c r="B4269" s="138">
        <f>'FP Info 3'!J16</f>
        <v>3858474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9712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4422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9977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19242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2297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121606770</v>
      </c>
      <c r="D4995" s="2" t="str">
        <f t="shared" si="77"/>
        <v>Error?</v>
      </c>
    </row>
    <row r="4996" spans="1:4" x14ac:dyDescent="0.2">
      <c r="A4996" s="12">
        <v>4935</v>
      </c>
      <c r="B4996" s="138">
        <f>'FP Info 3'!H31</f>
        <v>16781734.260000002</v>
      </c>
      <c r="D4996" s="2" t="str">
        <f t="shared" si="77"/>
        <v>Error?</v>
      </c>
    </row>
    <row r="4997" spans="1:4" x14ac:dyDescent="0.2">
      <c r="A4997" s="12">
        <v>4936</v>
      </c>
      <c r="B4997" s="138">
        <f>'FP Info 3'!H37</f>
        <v>1630000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20000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20000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60177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3129077</v>
      </c>
      <c r="D5061" s="2" t="str">
        <f t="shared" si="78"/>
        <v>Error?</v>
      </c>
    </row>
    <row r="5062" spans="1:4" x14ac:dyDescent="0.2">
      <c r="A5062" s="10">
        <v>5001</v>
      </c>
      <c r="D5062" s="2" t="str">
        <f t="shared" si="78"/>
        <v>OK</v>
      </c>
    </row>
    <row r="5063" spans="1:4" x14ac:dyDescent="0.2">
      <c r="A5063" s="5">
        <v>5002</v>
      </c>
      <c r="B5063" s="138">
        <f>'Revenues 9-14'!C7</f>
        <v>48138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3237392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229906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229906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19789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19789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1535</v>
      </c>
      <c r="D5094" s="2" t="str">
        <f t="shared" si="78"/>
        <v>Error?</v>
      </c>
    </row>
    <row r="5095" spans="1:4" x14ac:dyDescent="0.2">
      <c r="A5095" s="5">
        <v>5034</v>
      </c>
      <c r="B5095" s="138">
        <f>'Revenues 9-14'!C74</f>
        <v>5584</v>
      </c>
      <c r="D5095" s="2" t="str">
        <f t="shared" si="78"/>
        <v>Error?</v>
      </c>
    </row>
    <row r="5096" spans="1:4" x14ac:dyDescent="0.2">
      <c r="A5096" s="5">
        <v>5035</v>
      </c>
      <c r="B5096" s="138">
        <f>'Revenues 9-14'!C75</f>
        <v>237238</v>
      </c>
      <c r="C5096" s="2" t="s">
        <v>573</v>
      </c>
      <c r="D5096" s="2" t="str">
        <f t="shared" si="78"/>
        <v>Error?</v>
      </c>
    </row>
    <row r="5097" spans="1:4" x14ac:dyDescent="0.2">
      <c r="A5097" s="5">
        <v>5036</v>
      </c>
      <c r="B5097" s="138">
        <f>'Revenues 9-14'!C77</f>
        <v>26157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38660</v>
      </c>
      <c r="D5099" s="2" t="str">
        <f t="shared" si="78"/>
        <v>Error?</v>
      </c>
    </row>
    <row r="5100" spans="1:4" x14ac:dyDescent="0.2">
      <c r="A5100" s="5">
        <v>5039</v>
      </c>
      <c r="B5100" s="138">
        <f>'Revenues 9-14'!C80</f>
        <v>4864</v>
      </c>
      <c r="D5100" s="2" t="str">
        <f t="shared" si="78"/>
        <v>Error?</v>
      </c>
    </row>
    <row r="5101" spans="1:4" x14ac:dyDescent="0.2">
      <c r="A5101" s="5">
        <v>5040</v>
      </c>
      <c r="B5101" s="138">
        <f>'Revenues 9-14'!C81</f>
        <v>35056</v>
      </c>
      <c r="D5101" s="2" t="str">
        <f t="shared" si="78"/>
        <v>Error?</v>
      </c>
    </row>
    <row r="5102" spans="1:4" x14ac:dyDescent="0.2">
      <c r="A5102" s="5">
        <v>5041</v>
      </c>
      <c r="B5102" s="138">
        <f>'Revenues 9-14'!C82</f>
        <v>104737</v>
      </c>
      <c r="C5102" s="2" t="s">
        <v>573</v>
      </c>
      <c r="D5102" s="2" t="str">
        <f t="shared" si="78"/>
        <v>Error?</v>
      </c>
    </row>
    <row r="5103" spans="1:4" x14ac:dyDescent="0.2">
      <c r="A5103" s="5">
        <v>5042</v>
      </c>
      <c r="B5103" s="138">
        <f>'Revenues 9-14'!C84</f>
        <v>30735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30735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130625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48992</v>
      </c>
      <c r="D5119" s="2" t="str">
        <f t="shared" ref="D5119:D5182" si="79">IF(ISBLANK(B5119),"OK",IF(A5119-B5119=0,"OK","Error?"))</f>
        <v>Error?</v>
      </c>
    </row>
    <row r="5120" spans="1:4" x14ac:dyDescent="0.2">
      <c r="A5120" s="5">
        <v>5059</v>
      </c>
      <c r="B5120" s="138">
        <f>'Revenues 9-14'!C108</f>
        <v>186039</v>
      </c>
      <c r="C5120" s="2" t="s">
        <v>573</v>
      </c>
      <c r="D5120" s="2" t="str">
        <f t="shared" si="79"/>
        <v>Error?</v>
      </c>
    </row>
    <row r="5121" spans="1:4" x14ac:dyDescent="0.2">
      <c r="A5121" s="5">
        <v>5060</v>
      </c>
      <c r="B5121" s="138">
        <f>'Revenues 9-14'!C109</f>
        <v>4045836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2631598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2631598</v>
      </c>
      <c r="C5132" s="2" t="s">
        <v>573</v>
      </c>
      <c r="D5132" s="2" t="str">
        <f t="shared" si="79"/>
        <v>Error?</v>
      </c>
    </row>
    <row r="5133" spans="1:4" x14ac:dyDescent="0.2">
      <c r="A5133" s="5">
        <v>5072</v>
      </c>
      <c r="B5133" s="138">
        <f>'Revenues 9-14'!C125</f>
        <v>39393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39393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17898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17898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2590</v>
      </c>
      <c r="D5167" s="2" t="str">
        <f t="shared" si="79"/>
        <v>Error?</v>
      </c>
    </row>
    <row r="5168" spans="1:4" x14ac:dyDescent="0.2">
      <c r="A5168" s="5">
        <v>5107</v>
      </c>
      <c r="B5168" s="138">
        <f>'Revenues 9-14'!C148</f>
        <v>13930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44718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120826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2752424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142407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26081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168488</v>
      </c>
      <c r="C5246" s="2" t="s">
        <v>573</v>
      </c>
      <c r="D5246" s="2" t="str">
        <f t="shared" si="80"/>
        <v>Error?</v>
      </c>
    </row>
    <row r="5247" spans="1:4" x14ac:dyDescent="0.2">
      <c r="A5247" s="5">
        <v>5186</v>
      </c>
      <c r="B5247" s="138">
        <f>'Revenues 9-14'!C200</f>
        <v>94894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9977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94894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146193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146193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452928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452928</v>
      </c>
      <c r="C5326" s="2" t="s">
        <v>573</v>
      </c>
      <c r="D5326" s="2" t="str">
        <f t="shared" si="82"/>
        <v>Error?</v>
      </c>
    </row>
    <row r="5327" spans="1:5" x14ac:dyDescent="0.2">
      <c r="A5327" s="5">
        <v>5266</v>
      </c>
      <c r="B5327" s="138">
        <f>'Revenues 9-14'!C268</f>
        <v>7251188</v>
      </c>
      <c r="C5327" s="2" t="s">
        <v>573</v>
      </c>
      <c r="D5327" s="2" t="str">
        <f t="shared" si="82"/>
        <v>Error?</v>
      </c>
    </row>
    <row r="5328" spans="1:5" x14ac:dyDescent="0.2">
      <c r="A5328" s="5">
        <v>5267</v>
      </c>
      <c r="B5328" s="138">
        <f>'Revenues 9-14'!D5</f>
        <v>601747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601747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8228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8228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1845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686</v>
      </c>
      <c r="D5354" s="2" t="str">
        <f t="shared" si="82"/>
        <v>Error?</v>
      </c>
    </row>
    <row r="5355" spans="1:4" x14ac:dyDescent="0.2">
      <c r="A5355" s="5">
        <v>5294</v>
      </c>
      <c r="B5355" s="138">
        <f>'Revenues 9-14'!D108</f>
        <v>2531</v>
      </c>
      <c r="C5355" s="2" t="s">
        <v>573</v>
      </c>
      <c r="D5355" s="2" t="str">
        <f t="shared" si="82"/>
        <v>Error?</v>
      </c>
    </row>
    <row r="5356" spans="1:4" x14ac:dyDescent="0.2">
      <c r="A5356" s="5">
        <v>5295</v>
      </c>
      <c r="B5356" s="138">
        <f>'Revenues 9-14'!D109</f>
        <v>612506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612506</v>
      </c>
      <c r="C5508" s="2" t="s">
        <v>573</v>
      </c>
      <c r="D5508" s="2" t="str">
        <f t="shared" si="85"/>
        <v>Error?</v>
      </c>
    </row>
    <row r="5509" spans="1:4" x14ac:dyDescent="0.2">
      <c r="A5509" s="5">
        <v>5448</v>
      </c>
      <c r="B5509" s="138">
        <f>'Revenues 9-14'!E5</f>
        <v>690121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690121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4681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4681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694802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694802</v>
      </c>
      <c r="C5552" s="2" t="s">
        <v>573</v>
      </c>
      <c r="D5552" s="2" t="str">
        <f t="shared" si="85"/>
        <v>Error?</v>
      </c>
    </row>
    <row r="5553" spans="1:4" x14ac:dyDescent="0.2">
      <c r="A5553" s="5">
        <v>5492</v>
      </c>
      <c r="B5553" s="138">
        <f>'Revenues 9-14'!F5</f>
        <v>240697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240697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2154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2154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3159</v>
      </c>
      <c r="D5586" s="2" t="str">
        <f t="shared" si="86"/>
        <v>Error?</v>
      </c>
    </row>
    <row r="5587" spans="1:4" x14ac:dyDescent="0.2">
      <c r="A5587" s="5">
        <v>5526</v>
      </c>
      <c r="B5587" s="138">
        <f>'Revenues 9-14'!F108</f>
        <v>3159</v>
      </c>
      <c r="C5587" s="2" t="s">
        <v>573</v>
      </c>
      <c r="D5587" s="2" t="str">
        <f t="shared" si="86"/>
        <v>Error?</v>
      </c>
    </row>
    <row r="5588" spans="1:4" x14ac:dyDescent="0.2">
      <c r="A5588" s="5">
        <v>5527</v>
      </c>
      <c r="B5588" s="138">
        <f>'Revenues 9-14'!F109</f>
        <v>246010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39731</v>
      </c>
      <c r="D5615" s="2" t="str">
        <f t="shared" si="86"/>
        <v>Error?</v>
      </c>
    </row>
    <row r="5616" spans="1:4" x14ac:dyDescent="0.2">
      <c r="A5616" s="10">
        <v>5555</v>
      </c>
      <c r="D5616" s="2" t="str">
        <f t="shared" si="86"/>
        <v>OK</v>
      </c>
    </row>
    <row r="5617" spans="1:5" x14ac:dyDescent="0.2">
      <c r="A5617" s="5">
        <v>5556</v>
      </c>
      <c r="B5617" s="138">
        <f>'Revenues 9-14'!F153</f>
        <v>103080</v>
      </c>
      <c r="D5617" s="2" t="str">
        <f t="shared" si="86"/>
        <v>Error?</v>
      </c>
    </row>
    <row r="5618" spans="1:5" x14ac:dyDescent="0.2">
      <c r="A5618" s="5">
        <v>5557</v>
      </c>
      <c r="B5618" s="138">
        <f>'Revenues 9-14'!F155</f>
        <v>142811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142811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142811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388821</v>
      </c>
      <c r="C5720" s="2" t="s">
        <v>573</v>
      </c>
      <c r="D5720" s="2" t="str">
        <f t="shared" si="88"/>
        <v>Error?</v>
      </c>
    </row>
    <row r="5721" spans="1:4" x14ac:dyDescent="0.2">
      <c r="A5721" s="5">
        <v>5660</v>
      </c>
      <c r="B5721" s="138">
        <f>'Revenues 9-14'!G5</f>
        <v>132143</v>
      </c>
      <c r="D5721" s="2" t="str">
        <f t="shared" si="88"/>
        <v>Error?</v>
      </c>
    </row>
    <row r="5722" spans="1:4" x14ac:dyDescent="0.2">
      <c r="A5722" s="5">
        <v>5661</v>
      </c>
      <c r="B5722" s="138">
        <f>'Revenues 9-14'!G7</f>
        <v>0</v>
      </c>
      <c r="D5722" s="2" t="str">
        <f t="shared" si="88"/>
        <v>Error?</v>
      </c>
    </row>
    <row r="5723" spans="1:4" x14ac:dyDescent="0.2">
      <c r="A5723" s="5">
        <v>5662</v>
      </c>
      <c r="B5723" s="138">
        <f>'Revenues 9-14'!G8</f>
        <v>157139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289282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24456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24456</v>
      </c>
      <c r="C5730" s="2" t="s">
        <v>573</v>
      </c>
      <c r="D5730" s="2" t="str">
        <f t="shared" si="88"/>
        <v>Error?</v>
      </c>
    </row>
    <row r="5731" spans="1:4" x14ac:dyDescent="0.2">
      <c r="A5731" s="5">
        <v>5670</v>
      </c>
      <c r="B5731" s="138">
        <f>'Revenues 9-14'!G65</f>
        <v>6929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6929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320667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4914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4914</v>
      </c>
      <c r="C5881" s="2" t="s">
        <v>573</v>
      </c>
      <c r="D5881" s="2" t="str">
        <f t="shared" si="90"/>
        <v>Error?</v>
      </c>
    </row>
    <row r="5882" spans="1:4" x14ac:dyDescent="0.2">
      <c r="A5882" s="5">
        <v>5821</v>
      </c>
      <c r="B5882" s="138">
        <f>'Revenues 9-14'!H96</f>
        <v>8750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491065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495979</v>
      </c>
      <c r="C5915" s="2" t="s">
        <v>573</v>
      </c>
      <c r="D5915" s="2" t="str">
        <f t="shared" si="91"/>
        <v>Error?</v>
      </c>
    </row>
    <row r="5916" spans="1:4" x14ac:dyDescent="0.2">
      <c r="A5916" s="5">
        <v>5855</v>
      </c>
      <c r="B5916" s="138">
        <f>'Revenues 9-14'!I5</f>
        <v>60177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60177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9182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9182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69359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60177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60177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4711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4711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64888</v>
      </c>
      <c r="C6023" s="2" t="s">
        <v>573</v>
      </c>
      <c r="D6023" s="2" t="str">
        <f t="shared" si="93"/>
        <v>Error?</v>
      </c>
    </row>
    <row r="6024" spans="1:5" x14ac:dyDescent="0.2">
      <c r="A6024" s="5">
        <v>5963</v>
      </c>
      <c r="B6024" s="138">
        <f>'Revenues 9-14'!G109</f>
        <v>320667</v>
      </c>
      <c r="C6024" s="2" t="s">
        <v>573</v>
      </c>
      <c r="D6024" s="2" t="str">
        <f t="shared" si="93"/>
        <v>Error?</v>
      </c>
    </row>
    <row r="6025" spans="1:5" x14ac:dyDescent="0.2">
      <c r="A6025" s="5">
        <v>5964</v>
      </c>
      <c r="B6025" s="138">
        <f>'Revenues 9-14'!H109</f>
        <v>495979</v>
      </c>
      <c r="C6025" s="2" t="s">
        <v>573</v>
      </c>
      <c r="D6025" s="2" t="str">
        <f t="shared" si="93"/>
        <v>Error?</v>
      </c>
    </row>
    <row r="6026" spans="1:5" x14ac:dyDescent="0.2">
      <c r="A6026" s="5">
        <v>5965</v>
      </c>
      <c r="B6026" s="138">
        <f>'Revenues 9-14'!I109</f>
        <v>69359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64888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230119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34919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863.8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371721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371721</v>
      </c>
      <c r="D6215" s="2" t="str">
        <f t="shared" si="96"/>
        <v>Error?</v>
      </c>
      <c r="E6215" s="2" t="s">
        <v>190</v>
      </c>
    </row>
    <row r="6216" spans="1:5" x14ac:dyDescent="0.2">
      <c r="A6216">
        <v>6155</v>
      </c>
      <c r="B6216" s="138">
        <f>'Assets-Liab 5-6'!J41</f>
        <v>371721</v>
      </c>
      <c r="D6216" s="2" t="str">
        <f t="shared" si="96"/>
        <v>Error?</v>
      </c>
      <c r="E6216" s="2" t="s">
        <v>190</v>
      </c>
    </row>
    <row r="6217" spans="1:5" x14ac:dyDescent="0.2">
      <c r="A6217">
        <v>6156</v>
      </c>
      <c r="B6217" s="138">
        <f>'Assets-Liab 5-6'!J4</f>
        <v>371721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453933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453933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453933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421202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421202</v>
      </c>
      <c r="D6229" s="2" t="str">
        <f t="shared" si="96"/>
        <v>Error?</v>
      </c>
      <c r="E6229" s="2" t="s">
        <v>190</v>
      </c>
    </row>
    <row r="6230" spans="1:5" x14ac:dyDescent="0.2">
      <c r="A6230">
        <v>6169</v>
      </c>
      <c r="B6230" s="138">
        <f>'Acct Summary 7-8'!J20</f>
        <v>32731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32731</v>
      </c>
      <c r="D6263" s="2" t="str">
        <f t="shared" si="96"/>
        <v>Error?</v>
      </c>
      <c r="E6263" s="2" t="s">
        <v>190</v>
      </c>
    </row>
    <row r="6264" spans="1:5" x14ac:dyDescent="0.2">
      <c r="A6264">
        <v>6203</v>
      </c>
      <c r="B6264" s="138">
        <f>'Acct Summary 7-8'!J79</f>
        <v>338990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371721</v>
      </c>
      <c r="D6266" s="2" t="str">
        <f t="shared" si="96"/>
        <v>Error?</v>
      </c>
      <c r="E6266" s="2" t="s">
        <v>190</v>
      </c>
    </row>
    <row r="6267" spans="1:5" x14ac:dyDescent="0.2">
      <c r="A6267">
        <v>6206</v>
      </c>
      <c r="B6267" s="138">
        <f>'Acct Summary 7-8'!C82</f>
        <v>454509</v>
      </c>
      <c r="D6267" s="2" t="str">
        <f t="shared" si="96"/>
        <v>Error?</v>
      </c>
      <c r="E6267" s="2" t="s">
        <v>190</v>
      </c>
    </row>
    <row r="6268" spans="1:5" x14ac:dyDescent="0.2">
      <c r="A6268">
        <v>6207</v>
      </c>
      <c r="B6268" s="138">
        <f>'Acct Summary 7-8'!D82</f>
        <v>391</v>
      </c>
      <c r="D6268" s="2" t="str">
        <f t="shared" si="96"/>
        <v>Error?</v>
      </c>
      <c r="E6268" s="2" t="s">
        <v>190</v>
      </c>
    </row>
    <row r="6269" spans="1:5" x14ac:dyDescent="0.2">
      <c r="A6269">
        <v>6208</v>
      </c>
      <c r="B6269" s="138">
        <f>'Acct Summary 7-8'!E82</f>
        <v>23456</v>
      </c>
      <c r="D6269" s="2" t="str">
        <f t="shared" si="96"/>
        <v>Error?</v>
      </c>
      <c r="E6269" s="2" t="s">
        <v>190</v>
      </c>
    </row>
    <row r="6270" spans="1:5" x14ac:dyDescent="0.2">
      <c r="A6270">
        <v>6209</v>
      </c>
      <c r="B6270" s="138">
        <f>'Acct Summary 7-8'!F82</f>
        <v>-87784</v>
      </c>
      <c r="D6270" s="2" t="str">
        <f t="shared" si="96"/>
        <v>Error?</v>
      </c>
      <c r="E6270" s="2" t="s">
        <v>190</v>
      </c>
    </row>
    <row r="6271" spans="1:5" x14ac:dyDescent="0.2">
      <c r="A6271">
        <v>6210</v>
      </c>
      <c r="B6271" s="138">
        <f>'Acct Summary 7-8'!G82</f>
        <v>70888</v>
      </c>
      <c r="D6271" s="2" t="str">
        <f t="shared" ref="D6271:D6334" si="97">IF(ISBLANK(B6271),"OK",IF(A6271-B6271=0,"OK","Error?"))</f>
        <v>Error?</v>
      </c>
      <c r="E6271" s="2" t="s">
        <v>190</v>
      </c>
    </row>
    <row r="6272" spans="1:5" x14ac:dyDescent="0.2">
      <c r="A6272">
        <v>6211</v>
      </c>
      <c r="B6272" s="138">
        <f>'Acct Summary 7-8'!H82</f>
        <v>118301</v>
      </c>
      <c r="D6272" s="2" t="str">
        <f t="shared" si="97"/>
        <v>Error?</v>
      </c>
      <c r="E6272" s="2" t="s">
        <v>190</v>
      </c>
    </row>
    <row r="6273" spans="1:5" x14ac:dyDescent="0.2">
      <c r="A6273">
        <v>6212</v>
      </c>
      <c r="B6273" s="138">
        <f>'Acct Summary 7-8'!I82</f>
        <v>9359</v>
      </c>
      <c r="D6273" s="2" t="str">
        <f t="shared" si="97"/>
        <v>Error?</v>
      </c>
      <c r="E6273" s="2" t="s">
        <v>190</v>
      </c>
    </row>
    <row r="6274" spans="1:5" x14ac:dyDescent="0.2">
      <c r="A6274">
        <v>6213</v>
      </c>
      <c r="B6274" s="138">
        <f>'Acct Summary 7-8'!J82</f>
        <v>32731</v>
      </c>
      <c r="D6274" s="2" t="str">
        <f t="shared" si="97"/>
        <v>Error?</v>
      </c>
      <c r="E6274" s="2" t="s">
        <v>190</v>
      </c>
    </row>
    <row r="6275" spans="1:5" x14ac:dyDescent="0.2">
      <c r="A6275">
        <v>6214</v>
      </c>
      <c r="B6275" s="138">
        <f>'Acct Summary 7-8'!K82</f>
        <v>-2022</v>
      </c>
      <c r="D6275" s="2" t="str">
        <f t="shared" si="97"/>
        <v>Error?</v>
      </c>
      <c r="E6275" s="2" t="s">
        <v>190</v>
      </c>
    </row>
    <row r="6276" spans="1:5" x14ac:dyDescent="0.2">
      <c r="A6276">
        <v>6215</v>
      </c>
      <c r="B6276" s="138">
        <f>'Acct Summary 7-8'!C83</f>
        <v>0.20702702776566917</v>
      </c>
      <c r="D6276" s="2" t="str">
        <f t="shared" si="97"/>
        <v>Error?</v>
      </c>
      <c r="E6276" s="2" t="s">
        <v>190</v>
      </c>
    </row>
    <row r="6277" spans="1:5" x14ac:dyDescent="0.2">
      <c r="A6277">
        <v>6216</v>
      </c>
      <c r="B6277" s="138">
        <f>'Acct Summary 7-8'!D83</f>
        <v>5.3739351774223249E-4</v>
      </c>
      <c r="D6277" s="2" t="str">
        <f t="shared" si="97"/>
        <v>Error?</v>
      </c>
      <c r="E6277" s="2" t="s">
        <v>190</v>
      </c>
    </row>
    <row r="6278" spans="1:5" x14ac:dyDescent="0.2">
      <c r="A6278">
        <v>6217</v>
      </c>
      <c r="B6278" s="138">
        <f>'Acct Summary 7-8'!E83</f>
        <v>5.2124560276800617E-2</v>
      </c>
      <c r="D6278" s="2" t="str">
        <f t="shared" si="97"/>
        <v>Error?</v>
      </c>
      <c r="E6278" s="2" t="s">
        <v>190</v>
      </c>
    </row>
    <row r="6279" spans="1:5" x14ac:dyDescent="0.2">
      <c r="A6279">
        <v>6218</v>
      </c>
      <c r="B6279" s="138">
        <f>'Acct Summary 7-8'!F83</f>
        <v>-0.43620896130548642</v>
      </c>
      <c r="D6279" s="2" t="str">
        <f t="shared" si="97"/>
        <v>Error?</v>
      </c>
      <c r="E6279" s="2" t="s">
        <v>190</v>
      </c>
    </row>
    <row r="6280" spans="1:5" x14ac:dyDescent="0.2">
      <c r="A6280">
        <v>6219</v>
      </c>
      <c r="B6280" s="138">
        <f>'Acct Summary 7-8'!G83</f>
        <v>0.11886142000563388</v>
      </c>
      <c r="D6280" s="2" t="str">
        <f t="shared" si="97"/>
        <v>Error?</v>
      </c>
      <c r="E6280" s="2" t="s">
        <v>190</v>
      </c>
    </row>
    <row r="6281" spans="1:5" x14ac:dyDescent="0.2">
      <c r="A6281">
        <v>6220</v>
      </c>
      <c r="B6281" s="138">
        <f>'Acct Summary 7-8'!H83</f>
        <v>0.22932061192999867</v>
      </c>
      <c r="D6281" s="2" t="str">
        <f t="shared" si="97"/>
        <v>Error?</v>
      </c>
      <c r="E6281" s="2" t="s">
        <v>190</v>
      </c>
    </row>
    <row r="6282" spans="1:5" x14ac:dyDescent="0.2">
      <c r="A6282">
        <v>6221</v>
      </c>
      <c r="B6282" s="138">
        <f>'Acct Summary 7-8'!I83</f>
        <v>1.2746582842573777E-2</v>
      </c>
      <c r="D6282" s="2" t="str">
        <f t="shared" si="97"/>
        <v>Error?</v>
      </c>
      <c r="E6282" s="2" t="s">
        <v>190</v>
      </c>
    </row>
    <row r="6283" spans="1:5" x14ac:dyDescent="0.2">
      <c r="A6283">
        <v>6222</v>
      </c>
      <c r="B6283" s="138">
        <f>'Acct Summary 7-8'!J83</f>
        <v>8.8052598588726494E-2</v>
      </c>
      <c r="D6283" s="2" t="str">
        <f t="shared" si="97"/>
        <v>Error?</v>
      </c>
      <c r="E6283" s="2" t="s">
        <v>190</v>
      </c>
    </row>
    <row r="6284" spans="1:5" x14ac:dyDescent="0.2">
      <c r="A6284">
        <v>6223</v>
      </c>
      <c r="B6284" s="138">
        <f>'Acct Summary 7-8'!K83</f>
        <v>-5.1792767455084762E-3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448339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448339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5594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5594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6422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453933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52237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88090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33767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51836</v>
      </c>
      <c r="D6878" s="2" t="str">
        <f t="shared" si="106"/>
        <v>Error?</v>
      </c>
    </row>
    <row r="6879" spans="1:4" x14ac:dyDescent="0.2">
      <c r="A6879">
        <v>6818</v>
      </c>
      <c r="B6879" s="138">
        <f>'Expenditures 15-22'!K21</f>
        <v>51836</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18136</v>
      </c>
      <c r="D6933" s="2" t="str">
        <f t="shared" si="107"/>
        <v>Error?</v>
      </c>
    </row>
    <row r="6934" spans="1:4" x14ac:dyDescent="0.2">
      <c r="A6934">
        <v>6873</v>
      </c>
      <c r="B6934" s="138">
        <f>'Expenditures 15-22'!E52</f>
        <v>5229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23365</v>
      </c>
      <c r="D6940" s="2" t="str">
        <f t="shared" si="107"/>
        <v>Error?</v>
      </c>
    </row>
    <row r="6941" spans="1:4" x14ac:dyDescent="0.2">
      <c r="A6941">
        <v>6880</v>
      </c>
      <c r="B6941" s="138">
        <f>'Expenditures 15-22'!L52</f>
        <v>20000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750</v>
      </c>
      <c r="D6981" s="2" t="str">
        <f t="shared" si="108"/>
        <v>Error?</v>
      </c>
    </row>
    <row r="6982" spans="1:4" x14ac:dyDescent="0.2">
      <c r="A6982">
        <v>6921</v>
      </c>
      <c r="B6982" s="138">
        <f>'Expenditures 15-22'!K85</f>
        <v>750</v>
      </c>
      <c r="D6982" s="2" t="str">
        <f t="shared" si="108"/>
        <v>Error?</v>
      </c>
    </row>
    <row r="6983" spans="1:4" x14ac:dyDescent="0.2">
      <c r="A6983">
        <v>6922</v>
      </c>
      <c r="B6983" s="138">
        <f>'Expenditures 15-22'!H86</f>
        <v>50439</v>
      </c>
      <c r="D6983" s="2" t="str">
        <f t="shared" si="108"/>
        <v>Error?</v>
      </c>
    </row>
    <row r="6984" spans="1:4" x14ac:dyDescent="0.2">
      <c r="A6984">
        <v>6923</v>
      </c>
      <c r="B6984" s="138">
        <f>'Expenditures 15-22'!K86</f>
        <v>50439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4570</v>
      </c>
      <c r="D6987" s="2" t="str">
        <f t="shared" si="108"/>
        <v>Error?</v>
      </c>
    </row>
    <row r="6988" spans="1:4" x14ac:dyDescent="0.2">
      <c r="A6988">
        <v>6927</v>
      </c>
      <c r="B6988" s="138">
        <f>'Expenditures 15-22'!K88</f>
        <v>4570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55759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421202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453933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2982</v>
      </c>
      <c r="D7073" s="2" t="str">
        <f t="shared" si="109"/>
        <v>Error?</v>
      </c>
    </row>
    <row r="7074" spans="1:4" x14ac:dyDescent="0.2">
      <c r="A7074">
        <v>7013</v>
      </c>
      <c r="B7074" s="138">
        <f>'Expenditures 15-22'!K216</f>
        <v>2982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471</v>
      </c>
      <c r="D7079" s="2" t="str">
        <f t="shared" si="109"/>
        <v>Error?</v>
      </c>
    </row>
    <row r="7080" spans="1:4" x14ac:dyDescent="0.2">
      <c r="A7080">
        <v>7019</v>
      </c>
      <c r="B7080" s="138">
        <f>'Expenditures 15-22'!K226</f>
        <v>471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39330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39330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4832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4832</v>
      </c>
      <c r="D7153" s="2" t="str">
        <f t="shared" si="110"/>
        <v>Error?</v>
      </c>
    </row>
    <row r="7154" spans="1:4" x14ac:dyDescent="0.2">
      <c r="A7154">
        <v>7093</v>
      </c>
      <c r="B7154" s="138">
        <f>'Expenditures 15-22'!C323</f>
        <v>300000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60182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360182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16858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16858</v>
      </c>
      <c r="D7198" s="2" t="str">
        <f t="shared" si="111"/>
        <v>Error?</v>
      </c>
    </row>
    <row r="7199" spans="1:4" x14ac:dyDescent="0.2">
      <c r="A7199">
        <v>7138</v>
      </c>
      <c r="B7199" s="138">
        <f>'Expenditures 15-22'!C330</f>
        <v>300000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121202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421202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121202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421202</v>
      </c>
      <c r="D7224" s="2" t="str">
        <f t="shared" si="111"/>
        <v>Error?</v>
      </c>
    </row>
    <row r="7225" spans="1:4" x14ac:dyDescent="0.2">
      <c r="A7225">
        <v>7164</v>
      </c>
      <c r="B7225" s="138">
        <f>'Expenditures 15-22'!K343</f>
        <v>32731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10922</v>
      </c>
      <c r="D7246" s="2" t="str">
        <f t="shared" si="112"/>
        <v>Error?</v>
      </c>
    </row>
    <row r="7247" spans="1:4" x14ac:dyDescent="0.2">
      <c r="A7247">
        <f t="shared" si="113"/>
        <v>7186</v>
      </c>
      <c r="B7247" s="138">
        <f>'Expenditures 15-22'!E7</f>
        <v>16947</v>
      </c>
      <c r="D7247" s="2" t="str">
        <f t="shared" si="112"/>
        <v>Error?</v>
      </c>
    </row>
    <row r="7248" spans="1:4" x14ac:dyDescent="0.2">
      <c r="A7248">
        <f t="shared" si="113"/>
        <v>7187</v>
      </c>
      <c r="B7248" s="138">
        <f>'Expenditures 15-22'!F7</f>
        <v>15</v>
      </c>
      <c r="D7248" s="2" t="str">
        <f t="shared" si="112"/>
        <v>Error?</v>
      </c>
    </row>
    <row r="7249" spans="1:4" x14ac:dyDescent="0.2">
      <c r="A7249">
        <f t="shared" si="113"/>
        <v>7188</v>
      </c>
      <c r="B7249" s="138">
        <f>'Expenditures 15-22'!G7</f>
        <v>7969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28669</v>
      </c>
      <c r="D7263" s="2" t="str">
        <f t="shared" si="112"/>
        <v>Error?</v>
      </c>
    </row>
    <row r="7264" spans="1:4" x14ac:dyDescent="0.2">
      <c r="A7264">
        <f t="shared" si="113"/>
        <v>7203</v>
      </c>
      <c r="B7264" s="138">
        <f>'Expenditures 15-22'!D17</f>
        <v>4225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873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491381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397575</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4914</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6422</v>
      </c>
      <c r="D7712" s="2" t="str">
        <f t="shared" si="126"/>
        <v>Error?</v>
      </c>
      <c r="E7712" s="2" t="s">
        <v>827</v>
      </c>
    </row>
    <row r="7713" spans="1:6" x14ac:dyDescent="0.2">
      <c r="A7713">
        <v>7652</v>
      </c>
      <c r="B7713" s="138">
        <f>'Rest Tax Levies-Tort Im 25'!J8</f>
        <v>482315</v>
      </c>
      <c r="D7713" s="2" t="str">
        <f t="shared" si="126"/>
        <v>Error?</v>
      </c>
      <c r="E7713" s="2" t="s">
        <v>827</v>
      </c>
    </row>
    <row r="7714" spans="1:6" x14ac:dyDescent="0.2">
      <c r="A7714">
        <v>7653</v>
      </c>
      <c r="B7714" s="138">
        <f>'Rest Tax Levies-Tort Im 25'!K9</f>
        <v>13930</v>
      </c>
      <c r="D7714" s="2" t="str">
        <f t="shared" si="126"/>
        <v>Error?</v>
      </c>
      <c r="E7714" s="2" t="s">
        <v>827</v>
      </c>
    </row>
    <row r="7715" spans="1:6" x14ac:dyDescent="0.2">
      <c r="A7715">
        <v>7654</v>
      </c>
      <c r="B7715" s="138">
        <f>'Rest Tax Levies-Tort Im 25'!J10</f>
        <v>8750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495979</v>
      </c>
      <c r="D7718" s="2" t="str">
        <f t="shared" si="126"/>
        <v>Error?</v>
      </c>
      <c r="E7718" s="2" t="s">
        <v>827</v>
      </c>
    </row>
    <row r="7719" spans="1:6" x14ac:dyDescent="0.2">
      <c r="A7719">
        <v>7658</v>
      </c>
      <c r="B7719" s="138">
        <f>'Rest Tax Levies-Tort Im 25'!K12</f>
        <v>20352</v>
      </c>
      <c r="D7719" s="2" t="str">
        <f t="shared" si="126"/>
        <v>Error?</v>
      </c>
      <c r="E7719" s="2" t="s">
        <v>827</v>
      </c>
    </row>
    <row r="7720" spans="1:6" x14ac:dyDescent="0.2">
      <c r="A7720">
        <v>7659</v>
      </c>
      <c r="B7720" s="138">
        <f>'Rest Tax Levies-Tort Im 25'!H14</f>
        <v>48157</v>
      </c>
      <c r="D7720" s="2" t="str">
        <f t="shared" si="126"/>
        <v>Error?</v>
      </c>
      <c r="E7720" s="2" t="s">
        <v>827</v>
      </c>
    </row>
    <row r="7721" spans="1:6" x14ac:dyDescent="0.2">
      <c r="A7721">
        <v>7660</v>
      </c>
      <c r="B7721" s="138">
        <f>'Rest Tax Levies-Tort Im 25'!K14</f>
        <v>20352</v>
      </c>
      <c r="D7721" s="2" t="str">
        <f t="shared" si="126"/>
        <v>Error?</v>
      </c>
      <c r="E7721" s="2" t="s">
        <v>827</v>
      </c>
    </row>
    <row r="7722" spans="1:6" x14ac:dyDescent="0.2">
      <c r="A7722">
        <v>7661</v>
      </c>
      <c r="B7722" s="138">
        <f>'Rest Tax Levies-Tort Im 25'!J15</f>
        <v>160678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21825</v>
      </c>
      <c r="D7724" s="2" t="str">
        <f t="shared" si="126"/>
        <v>Error?</v>
      </c>
      <c r="E7724" s="2" t="s">
        <v>827</v>
      </c>
      <c r="F7724" s="2"/>
    </row>
    <row r="7725" spans="1:6" x14ac:dyDescent="0.2">
      <c r="A7725">
        <v>7664</v>
      </c>
      <c r="B7725" s="138">
        <f>'Rest Tax Levies-Tort Im 25'!J19</f>
        <v>195000</v>
      </c>
      <c r="D7725" s="2" t="str">
        <f t="shared" si="126"/>
        <v>Error?</v>
      </c>
      <c r="E7725" s="2" t="s">
        <v>827</v>
      </c>
    </row>
    <row r="7726" spans="1:6" x14ac:dyDescent="0.2">
      <c r="A7726">
        <v>7665</v>
      </c>
      <c r="B7726" s="138">
        <f>'Rest Tax Levies-Tort Im 25'!J20</f>
        <v>175</v>
      </c>
      <c r="D7726" s="2" t="str">
        <f t="shared" si="126"/>
        <v>Error?</v>
      </c>
      <c r="E7726" s="2" t="s">
        <v>827</v>
      </c>
    </row>
    <row r="7727" spans="1:6" x14ac:dyDescent="0.2">
      <c r="A7727">
        <v>7666</v>
      </c>
      <c r="B7727" s="138">
        <f>'Rest Tax Levies-Tort Im 25'!J21</f>
        <v>217000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377678</v>
      </c>
      <c r="D7730" s="2" t="str">
        <f t="shared" si="126"/>
        <v>Error?</v>
      </c>
      <c r="E7730" s="2" t="s">
        <v>827</v>
      </c>
    </row>
    <row r="7731" spans="1:6" x14ac:dyDescent="0.2">
      <c r="A7731">
        <v>7670</v>
      </c>
      <c r="B7731" s="138">
        <f>'Revenues 9-14'!H103</f>
        <v>482315</v>
      </c>
      <c r="D7731" s="2" t="str">
        <f t="shared" si="126"/>
        <v>Error?</v>
      </c>
      <c r="E7731" s="2" t="s">
        <v>827</v>
      </c>
    </row>
    <row r="7732" spans="1:6" x14ac:dyDescent="0.2">
      <c r="A7732">
        <v>7671</v>
      </c>
      <c r="B7732" s="138">
        <f>'Rest Tax Levies-Tort Im 25'!J24</f>
        <v>515876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515876</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60000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229535</v>
      </c>
      <c r="D7797" s="2" t="str">
        <f t="shared" si="127"/>
        <v>Error?</v>
      </c>
      <c r="E7797" s="4" t="s">
        <v>1904</v>
      </c>
    </row>
    <row r="7798" spans="1:5" x14ac:dyDescent="0.2">
      <c r="A7798">
        <v>7737</v>
      </c>
      <c r="B7798" s="138">
        <f>'Contracts Paid in CY 29'!F141</f>
        <v>75000</v>
      </c>
      <c r="D7798" s="2" t="str">
        <f t="shared" si="127"/>
        <v>Error?</v>
      </c>
      <c r="E7798" s="4" t="s">
        <v>1904</v>
      </c>
    </row>
    <row r="7799" spans="1:5" x14ac:dyDescent="0.2">
      <c r="A7799">
        <v>7738</v>
      </c>
      <c r="B7799" s="138">
        <f>'Contracts Paid in CY 29'!G141</f>
        <v>154535</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0" t="s">
        <v>1191</v>
      </c>
      <c r="B2" s="2390"/>
      <c r="C2" s="2390"/>
      <c r="D2" s="2390"/>
      <c r="E2" s="2390"/>
      <c r="F2" s="2390"/>
      <c r="G2" s="2390"/>
      <c r="H2" s="2390"/>
      <c r="I2" s="2390"/>
      <c r="J2" s="2390"/>
      <c r="K2" s="2390"/>
      <c r="L2" s="2390"/>
    </row>
    <row r="3" spans="1:29" ht="13.5" customHeight="1" x14ac:dyDescent="0.2">
      <c r="A3" s="2421" t="s">
        <v>1190</v>
      </c>
      <c r="B3" s="2421"/>
      <c r="C3" s="2421"/>
      <c r="D3" s="2421"/>
      <c r="E3" s="2421"/>
      <c r="F3" s="2421"/>
      <c r="G3" s="2421"/>
      <c r="H3" s="2421"/>
      <c r="I3" s="2421"/>
      <c r="J3" s="2421"/>
      <c r="K3" s="2421"/>
      <c r="L3" s="2421"/>
    </row>
    <row r="4" spans="1:29" ht="13.5" customHeight="1" x14ac:dyDescent="0.2">
      <c r="A4" s="2390" t="s">
        <v>1989</v>
      </c>
      <c r="B4" s="2411"/>
      <c r="C4" s="2411"/>
      <c r="D4" s="2411"/>
      <c r="E4" s="2411"/>
      <c r="F4" s="2411"/>
      <c r="G4" s="2411"/>
      <c r="H4" s="2411"/>
      <c r="I4" s="2411"/>
      <c r="J4" s="2411"/>
      <c r="K4" s="2411"/>
      <c r="L4" s="2411"/>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2" t="str">
        <f>COVER!A17</f>
        <v>River Bend CUSD 2</v>
      </c>
      <c r="B7" s="2413"/>
      <c r="C7" s="2413"/>
      <c r="D7" s="2414"/>
      <c r="E7" s="2415">
        <f>COVER!A13</f>
        <v>47098002026</v>
      </c>
      <c r="F7" s="2416"/>
      <c r="G7" s="2422" t="str">
        <f>COVER!T23</f>
        <v>066-004238</v>
      </c>
      <c r="H7" s="2423"/>
      <c r="I7" s="2423"/>
      <c r="J7" s="2423"/>
      <c r="K7" s="2423"/>
      <c r="L7" s="2424"/>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25"/>
      <c r="B9" s="2426"/>
      <c r="C9" s="2426"/>
      <c r="D9" s="2426"/>
      <c r="E9" s="2426"/>
      <c r="F9" s="2427"/>
      <c r="G9" s="2396" t="str">
        <f>COVER!T13</f>
        <v>BENNING GROUP, LLC</v>
      </c>
      <c r="H9" s="2428"/>
      <c r="I9" s="2428"/>
      <c r="J9" s="2428"/>
      <c r="K9" s="2428"/>
      <c r="L9" s="2429"/>
    </row>
    <row r="10" spans="1:29" ht="13.5" customHeight="1" x14ac:dyDescent="0.2">
      <c r="A10" s="2402" t="str">
        <f>COVER!A38</f>
        <v>DR. DARRYL HOGUE</v>
      </c>
      <c r="B10" s="2403"/>
      <c r="C10" s="2403"/>
      <c r="D10" s="2403"/>
      <c r="E10" s="2403"/>
      <c r="F10" s="2404"/>
      <c r="G10" s="2396" t="str">
        <f>COVER!T17</f>
        <v>50 W. DOUGLAS STREET, SUITE 801</v>
      </c>
      <c r="H10" s="2397"/>
      <c r="I10" s="2397"/>
      <c r="J10" s="2397"/>
      <c r="K10" s="2397"/>
      <c r="L10" s="2398"/>
    </row>
    <row r="11" spans="1:29" ht="13.5" customHeight="1" x14ac:dyDescent="0.2">
      <c r="A11" s="1183" t="s">
        <v>1519</v>
      </c>
      <c r="B11" s="1184"/>
      <c r="C11" s="1185"/>
      <c r="D11" s="1190"/>
      <c r="E11" s="1185"/>
      <c r="F11" s="1189"/>
      <c r="G11" s="2396" t="str">
        <f>COVER!T19</f>
        <v>FREEPORT</v>
      </c>
      <c r="H11" s="2397"/>
      <c r="I11" s="2397"/>
      <c r="J11" s="2397"/>
      <c r="K11" s="2397"/>
      <c r="L11" s="2398"/>
    </row>
    <row r="12" spans="1:29" ht="13.5" customHeight="1" x14ac:dyDescent="0.2">
      <c r="A12" s="2405" t="s">
        <v>1518</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1520</v>
      </c>
      <c r="H13" s="2392"/>
      <c r="I13" s="2408" t="str">
        <f>COVER!T25</f>
        <v>jblocker@benninggroup.com</v>
      </c>
      <c r="J13" s="2409"/>
      <c r="K13" s="2409"/>
      <c r="L13" s="2410"/>
    </row>
    <row r="14" spans="1:29" ht="13.5" customHeight="1" x14ac:dyDescent="0.2">
      <c r="A14" s="2396" t="str">
        <f>COVER!A19</f>
        <v>1110 3RD STREET</v>
      </c>
      <c r="B14" s="2397"/>
      <c r="C14" s="2397"/>
      <c r="D14" s="2397"/>
      <c r="E14" s="2397"/>
      <c r="F14" s="2398"/>
      <c r="G14" s="1194" t="s">
        <v>1185</v>
      </c>
      <c r="H14" s="1192"/>
      <c r="I14" s="1192"/>
      <c r="J14" s="1192"/>
      <c r="K14" s="1192"/>
      <c r="L14" s="1193"/>
    </row>
    <row r="15" spans="1:29" ht="13.5" customHeight="1" x14ac:dyDescent="0.2">
      <c r="A15" s="2396" t="str">
        <f>COVER!A21</f>
        <v>FULTON</v>
      </c>
      <c r="B15" s="2397"/>
      <c r="C15" s="2397"/>
      <c r="D15" s="2397"/>
      <c r="E15" s="2397"/>
      <c r="F15" s="2398"/>
      <c r="G15" s="2393" t="str">
        <f>COVER!T15</f>
        <v>JENNY L. BLOCKER</v>
      </c>
      <c r="H15" s="2394"/>
      <c r="I15" s="2394"/>
      <c r="J15" s="2394"/>
      <c r="K15" s="2394"/>
      <c r="L15" s="2395"/>
    </row>
    <row r="16" spans="1:29" ht="12.2" customHeight="1" x14ac:dyDescent="0.2">
      <c r="A16" s="2418">
        <f>COVER!A25</f>
        <v>61252</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94" t="s">
        <v>1184</v>
      </c>
      <c r="H17" s="1192"/>
      <c r="I17" s="1192"/>
      <c r="J17" s="1192"/>
      <c r="K17" s="1196" t="s">
        <v>1183</v>
      </c>
      <c r="L17" s="1189"/>
      <c r="M17" s="1182"/>
    </row>
    <row r="18" spans="1:13" ht="12.2" customHeight="1" x14ac:dyDescent="0.2">
      <c r="A18" s="2402"/>
      <c r="B18" s="2403"/>
      <c r="C18" s="2403"/>
      <c r="D18" s="2403"/>
      <c r="E18" s="2403"/>
      <c r="F18" s="2404"/>
      <c r="G18" s="2412" t="str">
        <f>COVER!T21</f>
        <v>815/235-3157</v>
      </c>
      <c r="H18" s="2413"/>
      <c r="I18" s="2413"/>
      <c r="J18" s="2413"/>
      <c r="K18" s="2412" t="str">
        <f>COVER!X21</f>
        <v>815/235-3158</v>
      </c>
      <c r="L18" s="241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4" t="str">
        <f>'Single Audit Cover'!A7</f>
        <v>River Bend CUSD 2</v>
      </c>
      <c r="B1" s="2411"/>
      <c r="C1" s="2411"/>
      <c r="D1" s="2411"/>
    </row>
    <row r="2" spans="1:11" s="1211" customFormat="1" ht="12.75" x14ac:dyDescent="0.2">
      <c r="A2" s="2435">
        <f>'Single Audit Cover'!E7</f>
        <v>47098002026</v>
      </c>
      <c r="B2" s="2436"/>
      <c r="C2" s="2436"/>
      <c r="D2" s="2436"/>
    </row>
    <row r="3" spans="1:11" s="1211" customFormat="1" ht="12.75" x14ac:dyDescent="0.2">
      <c r="A3" s="2434" t="s">
        <v>1513</v>
      </c>
      <c r="B3" s="2411"/>
      <c r="C3" s="2411"/>
      <c r="D3" s="2411"/>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8" t="str">
        <f>'Single Audit Cover'!A7</f>
        <v>River Bend CUSD 2</v>
      </c>
      <c r="B1" s="2438"/>
      <c r="C1" s="2438"/>
      <c r="D1" s="2438"/>
      <c r="E1" s="2438"/>
    </row>
    <row r="2" spans="1:5" x14ac:dyDescent="0.2">
      <c r="A2" s="2439">
        <f>'Single Audit Cover'!E7</f>
        <v>47098002026</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6" t="s">
        <v>1243</v>
      </c>
    </row>
    <row r="10" spans="1:5" x14ac:dyDescent="0.2">
      <c r="A10" s="1257" t="s">
        <v>1242</v>
      </c>
      <c r="B10" s="1258" t="s">
        <v>1241</v>
      </c>
      <c r="C10" s="1258"/>
      <c r="D10" s="1259">
        <f>SUM('Acct Summary 7-8'!C7:K7)</f>
        <v>452928</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34919</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-4422</v>
      </c>
    </row>
    <row r="19" spans="1:4" ht="13.5" thickBot="1" x14ac:dyDescent="0.25">
      <c r="A19" s="1261" t="s">
        <v>1235</v>
      </c>
      <c r="D19" s="1262">
        <f>SUM(D10:D17)</f>
        <v>483425</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0"/>
      <c r="B24" s="2440"/>
      <c r="D24" s="1264"/>
    </row>
    <row r="25" spans="1:4" x14ac:dyDescent="0.2">
      <c r="A25" s="2437"/>
      <c r="B25" s="2437"/>
      <c r="D25" s="1264"/>
    </row>
    <row r="26" spans="1:4" x14ac:dyDescent="0.2">
      <c r="A26" s="2437"/>
      <c r="B26" s="2437"/>
      <c r="D26" s="1264"/>
    </row>
    <row r="27" spans="1:4" x14ac:dyDescent="0.2">
      <c r="A27" s="2437"/>
      <c r="B27" s="2437"/>
      <c r="D27" s="1264"/>
    </row>
    <row r="28" spans="1:4" x14ac:dyDescent="0.2">
      <c r="A28" s="2437"/>
      <c r="B28" s="2437"/>
      <c r="D28" s="1264"/>
    </row>
    <row r="29" spans="1:4" x14ac:dyDescent="0.2">
      <c r="A29" s="2437"/>
      <c r="B29" s="2437"/>
      <c r="D29" s="1264"/>
    </row>
    <row r="30" spans="1:4" x14ac:dyDescent="0.2">
      <c r="A30" s="2437"/>
      <c r="B30" s="2437"/>
      <c r="D30" s="1264"/>
    </row>
    <row r="32" spans="1:4" x14ac:dyDescent="0.2">
      <c r="A32" s="1256" t="s">
        <v>1233</v>
      </c>
      <c r="D32" s="1259">
        <f>SUM(D19:D30)</f>
        <v>483425</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7"/>
      <c r="B40" s="2437"/>
      <c r="D40" s="1264"/>
    </row>
    <row r="41" spans="1:4" x14ac:dyDescent="0.2">
      <c r="A41" s="2437"/>
      <c r="B41" s="2437"/>
      <c r="D41" s="1267"/>
    </row>
    <row r="42" spans="1:4" x14ac:dyDescent="0.2">
      <c r="A42" s="2437"/>
      <c r="B42" s="2437"/>
      <c r="D42" s="1267"/>
    </row>
    <row r="43" spans="1:4" x14ac:dyDescent="0.2">
      <c r="A43" s="2437"/>
      <c r="B43" s="2437"/>
      <c r="D43" s="1267"/>
    </row>
    <row r="44" spans="1:4" x14ac:dyDescent="0.2">
      <c r="A44" s="2437"/>
      <c r="B44" s="2437"/>
      <c r="D44" s="1267"/>
    </row>
    <row r="45" spans="1:4" x14ac:dyDescent="0.2">
      <c r="A45" s="2437"/>
      <c r="B45" s="2437"/>
      <c r="D45" s="1267"/>
    </row>
    <row r="47" spans="1:4" x14ac:dyDescent="0.2">
      <c r="B47" s="1268" t="s">
        <v>1227</v>
      </c>
      <c r="C47" s="1268"/>
      <c r="D47" s="1269">
        <f>SUM(D35:D45)</f>
        <v>0</v>
      </c>
    </row>
    <row r="49" spans="2:4" x14ac:dyDescent="0.2">
      <c r="B49" s="1268" t="s">
        <v>1226</v>
      </c>
      <c r="C49" s="1268"/>
      <c r="D49" s="1269">
        <f>D32-D47</f>
        <v>483425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1" t="str">
        <f>'Single Audit Cover'!A7</f>
        <v>River Bend CUSD 2</v>
      </c>
      <c r="C1" s="2442"/>
      <c r="D1" s="2442"/>
      <c r="E1" s="2442"/>
      <c r="F1" s="2442"/>
      <c r="G1" s="2442"/>
      <c r="H1" s="2442"/>
      <c r="I1" s="2442"/>
      <c r="J1" s="2442"/>
      <c r="K1" s="2442"/>
      <c r="L1" s="2442"/>
      <c r="M1" s="2442"/>
    </row>
    <row r="2" spans="2:14" ht="15" x14ac:dyDescent="0.2">
      <c r="B2" s="2443">
        <f>'Single Audit Cover'!E7</f>
        <v>47098002026</v>
      </c>
      <c r="C2" s="2443"/>
      <c r="D2" s="2443"/>
      <c r="E2" s="2443"/>
      <c r="F2" s="2443"/>
      <c r="G2" s="2443"/>
      <c r="H2" s="2443"/>
      <c r="I2" s="2443"/>
      <c r="J2" s="2443"/>
      <c r="K2" s="2443"/>
      <c r="L2" s="2443"/>
      <c r="M2" s="2443"/>
      <c r="N2" s="1298"/>
    </row>
    <row r="3" spans="2:14" ht="15" x14ac:dyDescent="0.2">
      <c r="B3" s="2444" t="s">
        <v>1219</v>
      </c>
      <c r="C3" s="2444"/>
      <c r="D3" s="2444"/>
      <c r="E3" s="2444"/>
      <c r="F3" s="2444"/>
      <c r="G3" s="2444"/>
      <c r="H3" s="2444"/>
      <c r="I3" s="2444"/>
      <c r="J3" s="2444"/>
      <c r="K3" s="2444"/>
      <c r="L3" s="2444"/>
      <c r="M3" s="2444"/>
      <c r="N3" s="1298"/>
    </row>
    <row r="4" spans="2:14" ht="15" x14ac:dyDescent="0.2">
      <c r="B4" s="2445" t="str">
        <f>'Single Audit Cover'!A4</f>
        <v>Year Ending June 30, 2019</v>
      </c>
      <c r="C4" s="2445"/>
      <c r="D4" s="2445"/>
      <c r="E4" s="2445"/>
      <c r="F4" s="2445"/>
      <c r="G4" s="2445"/>
      <c r="H4" s="2445"/>
      <c r="I4" s="2445"/>
      <c r="J4" s="2445"/>
      <c r="K4" s="2445"/>
      <c r="L4" s="2445"/>
      <c r="M4" s="2445"/>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River Bend CUSD 2</v>
      </c>
      <c r="B1" s="2455"/>
      <c r="C1" s="2455"/>
      <c r="D1" s="2455"/>
      <c r="E1" s="2455"/>
      <c r="F1" s="2455"/>
    </row>
    <row r="2" spans="1:7" ht="13.5" customHeight="1" x14ac:dyDescent="0.2">
      <c r="A2" s="2443">
        <f>'Single Audit Cover'!E7</f>
        <v>47098002026</v>
      </c>
      <c r="B2" s="2443"/>
      <c r="C2" s="2443"/>
      <c r="D2" s="2443"/>
      <c r="E2" s="2443"/>
      <c r="F2" s="2443"/>
      <c r="G2" s="1271"/>
    </row>
    <row r="3" spans="1:7" ht="15.75" customHeight="1" x14ac:dyDescent="0.2">
      <c r="A3" s="2456" t="s">
        <v>1271</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72" t="s">
        <v>1728</v>
      </c>
      <c r="C6" s="317"/>
      <c r="D6" s="317"/>
    </row>
    <row r="7" spans="1:7" ht="60.95" customHeight="1" x14ac:dyDescent="0.2">
      <c r="A7" s="2454" t="s">
        <v>1729</v>
      </c>
      <c r="B7" s="2454"/>
      <c r="C7" s="2454"/>
      <c r="D7" s="2454"/>
      <c r="E7" s="2454"/>
      <c r="F7" s="2454"/>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54" t="s">
        <v>1731</v>
      </c>
      <c r="B13" s="2454"/>
      <c r="C13" s="2454"/>
      <c r="D13" s="2454"/>
      <c r="E13" s="2454"/>
      <c r="F13" s="2454"/>
    </row>
    <row r="14" spans="1:7" ht="9.75" customHeight="1" x14ac:dyDescent="0.2">
      <c r="C14" s="1256"/>
      <c r="D14" s="1256"/>
    </row>
    <row r="15" spans="1:7" ht="13.5" customHeight="1" x14ac:dyDescent="0.2">
      <c r="C15" s="1845" t="s">
        <v>1270</v>
      </c>
      <c r="D15" s="2452" t="s">
        <v>1269</v>
      </c>
      <c r="E15" s="2452"/>
      <c r="F15" s="2452"/>
    </row>
    <row r="16" spans="1:7" ht="13.5" customHeight="1" x14ac:dyDescent="0.2">
      <c r="A16" s="1278"/>
      <c r="B16" s="1272" t="s">
        <v>1268</v>
      </c>
      <c r="C16" s="1845" t="s">
        <v>1267</v>
      </c>
      <c r="D16" s="2453" t="s">
        <v>1588</v>
      </c>
      <c r="E16" s="2453"/>
      <c r="F16" s="2453"/>
    </row>
    <row r="17" spans="1:6" ht="20.45" customHeight="1" x14ac:dyDescent="0.2">
      <c r="A17" s="1279"/>
      <c r="B17" s="1280"/>
      <c r="C17" s="1281"/>
      <c r="D17" s="2447"/>
      <c r="E17" s="2447"/>
      <c r="F17" s="2447"/>
    </row>
    <row r="18" spans="1:6" ht="20.65" customHeight="1" x14ac:dyDescent="0.2">
      <c r="A18" s="1279"/>
      <c r="B18" s="1280"/>
      <c r="C18" s="1281"/>
      <c r="D18" s="2447"/>
      <c r="E18" s="2447"/>
      <c r="F18" s="2447"/>
    </row>
    <row r="19" spans="1:6" ht="20.65" customHeight="1" x14ac:dyDescent="0.2">
      <c r="A19" s="1279"/>
      <c r="B19" s="1280"/>
      <c r="C19" s="1281"/>
      <c r="D19" s="2447"/>
      <c r="E19" s="2447"/>
      <c r="F19" s="2447"/>
    </row>
    <row r="20" spans="1:6" ht="20.65" customHeight="1" x14ac:dyDescent="0.2">
      <c r="A20" s="1279"/>
      <c r="B20" s="1280"/>
      <c r="C20" s="1281"/>
      <c r="D20" s="2447"/>
      <c r="E20" s="2447"/>
      <c r="F20" s="2447"/>
    </row>
    <row r="21" spans="1:6" ht="20.65" customHeight="1" x14ac:dyDescent="0.2">
      <c r="A21" s="1279"/>
      <c r="B21" s="1280"/>
      <c r="C21" s="1281"/>
      <c r="D21" s="2447"/>
      <c r="E21" s="2447"/>
      <c r="F21" s="2447"/>
    </row>
    <row r="22" spans="1:6" ht="20.65" customHeight="1" x14ac:dyDescent="0.2">
      <c r="A22" s="1279"/>
      <c r="B22" s="1280"/>
      <c r="C22" s="1281"/>
      <c r="D22" s="2447"/>
      <c r="E22" s="2447"/>
      <c r="F22" s="2447"/>
    </row>
    <row r="23" spans="1:6" ht="20.65" customHeight="1" x14ac:dyDescent="0.2">
      <c r="A23" s="1279"/>
      <c r="B23" s="1280"/>
      <c r="C23" s="1281"/>
      <c r="D23" s="2447"/>
      <c r="E23" s="2447"/>
      <c r="F23" s="2447"/>
    </row>
    <row r="24" spans="1:6" ht="20.65" customHeight="1" x14ac:dyDescent="0.2">
      <c r="A24" s="1279"/>
      <c r="B24" s="1280"/>
      <c r="C24" s="1281"/>
      <c r="D24" s="2447"/>
      <c r="E24" s="2447"/>
      <c r="F24" s="2447"/>
    </row>
    <row r="25" spans="1:6" ht="20.65" customHeight="1" x14ac:dyDescent="0.2">
      <c r="A25" s="1279"/>
      <c r="B25" s="1280"/>
      <c r="C25" s="1281"/>
      <c r="D25" s="2447"/>
      <c r="E25" s="2447"/>
      <c r="F25" s="2447"/>
    </row>
    <row r="26" spans="1:6" ht="20.65" customHeight="1" x14ac:dyDescent="0.2">
      <c r="A26" s="1279"/>
      <c r="B26" s="1280"/>
      <c r="C26" s="1281"/>
      <c r="D26" s="2447"/>
      <c r="E26" s="2447"/>
      <c r="F26" s="2447"/>
    </row>
    <row r="27" spans="1:6" ht="20.65" customHeight="1" x14ac:dyDescent="0.2">
      <c r="A27" s="1279"/>
      <c r="B27" s="1280"/>
      <c r="C27" s="1281"/>
      <c r="D27" s="2447"/>
      <c r="E27" s="2447"/>
      <c r="F27" s="2447"/>
    </row>
    <row r="28" spans="1:6" ht="20.65" customHeight="1" x14ac:dyDescent="0.2">
      <c r="A28" s="1279"/>
      <c r="B28" s="1280"/>
      <c r="C28" s="1281"/>
      <c r="D28" s="2447"/>
      <c r="E28" s="2447"/>
      <c r="F28" s="2447"/>
    </row>
    <row r="29" spans="1:6" ht="20.65" customHeight="1" x14ac:dyDescent="0.2">
      <c r="A29" s="1279"/>
      <c r="B29" s="1280"/>
      <c r="C29" s="1281"/>
      <c r="D29" s="2447"/>
      <c r="E29" s="2447"/>
      <c r="F29" s="2447"/>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48" t="s">
        <v>1732</v>
      </c>
      <c r="B32" s="2448"/>
      <c r="C32" s="2448"/>
      <c r="D32" s="2448"/>
      <c r="E32" s="2448"/>
      <c r="F32" s="2448"/>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49">
        <f>+C33+C34</f>
        <v>0</v>
      </c>
      <c r="F34" s="2450"/>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1" t="s">
        <v>1590</v>
      </c>
      <c r="C49" s="2451"/>
      <c r="D49" s="2451"/>
      <c r="E49" s="1395"/>
    </row>
    <row r="50" spans="1:5" s="1296" customFormat="1" ht="3.75" customHeight="1" x14ac:dyDescent="0.2">
      <c r="A50" s="1295"/>
      <c r="B50" s="1844"/>
      <c r="C50" s="1844"/>
      <c r="D50" s="1844"/>
      <c r="E50" s="1395"/>
    </row>
    <row r="51" spans="1:5" s="1296" customFormat="1" ht="20.25" customHeight="1" x14ac:dyDescent="0.2">
      <c r="A51" s="1297">
        <v>6</v>
      </c>
      <c r="B51" s="2446" t="s">
        <v>1551</v>
      </c>
      <c r="C51" s="2446"/>
      <c r="D51" s="2446"/>
    </row>
    <row r="52" spans="1:5" ht="14.25" customHeight="1" x14ac:dyDescent="0.2">
      <c r="A52" s="1297"/>
      <c r="B52" s="2446"/>
      <c r="C52" s="2446"/>
      <c r="D52" s="244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topLeftCell="A101" colorId="8" zoomScale="110" zoomScaleNormal="110" workbookViewId="0">
      <selection activeCell="K122" sqref="K12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1633</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2064</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River Bend CUSD 2</v>
      </c>
      <c r="C1" s="2470"/>
      <c r="D1" s="2470"/>
      <c r="E1" s="2470"/>
      <c r="F1" s="2470"/>
      <c r="G1" s="2470"/>
      <c r="H1" s="2470"/>
      <c r="I1" s="2470"/>
      <c r="J1" s="1405"/>
    </row>
    <row r="2" spans="2:10" s="317" customFormat="1" ht="12.75" customHeight="1" x14ac:dyDescent="0.2">
      <c r="B2" s="2471">
        <f>'Single Audit Cover'!E7</f>
        <v>47098002026</v>
      </c>
      <c r="C2" s="2472"/>
      <c r="D2" s="2472"/>
      <c r="E2" s="2472"/>
      <c r="F2" s="2472"/>
      <c r="G2" s="2472"/>
      <c r="H2" s="2472"/>
      <c r="I2" s="2472"/>
      <c r="J2" s="1405"/>
    </row>
    <row r="3" spans="2:10" s="317" customFormat="1" ht="12.75" customHeight="1" x14ac:dyDescent="0.2">
      <c r="B3" s="2473" t="s">
        <v>1285</v>
      </c>
      <c r="C3" s="2474"/>
      <c r="D3" s="2474"/>
      <c r="E3" s="2474"/>
      <c r="F3" s="2474"/>
      <c r="G3" s="2474"/>
      <c r="H3" s="2474"/>
      <c r="I3" s="2474"/>
      <c r="J3" s="1406"/>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3" t="s">
        <v>1284</v>
      </c>
      <c r="C7" s="2474"/>
      <c r="D7" s="2474"/>
      <c r="E7" s="2474"/>
      <c r="F7" s="2474"/>
      <c r="G7" s="2474"/>
      <c r="H7" s="2474"/>
      <c r="I7" s="2474"/>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75"/>
      <c r="D11" s="2475"/>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76"/>
      <c r="E29" s="2476"/>
      <c r="F29" s="2476"/>
      <c r="G29" s="2476"/>
      <c r="H29" s="2476"/>
      <c r="I29" s="2476"/>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77" t="s">
        <v>1751</v>
      </c>
      <c r="D37" s="2478"/>
      <c r="E37" s="2478"/>
      <c r="F37" s="2479"/>
      <c r="G37" s="2477" t="s">
        <v>1592</v>
      </c>
      <c r="H37" s="2478"/>
      <c r="I37" s="2479"/>
    </row>
    <row r="38" spans="2:9" ht="16.5" customHeight="1" x14ac:dyDescent="0.2">
      <c r="B38" s="1427"/>
      <c r="C38" s="2465"/>
      <c r="D38" s="2466"/>
      <c r="E38" s="2466"/>
      <c r="F38" s="2467"/>
      <c r="G38" s="2480"/>
      <c r="H38" s="2481"/>
      <c r="I38" s="2482"/>
    </row>
    <row r="39" spans="2:9" ht="16.5" customHeight="1" x14ac:dyDescent="0.2">
      <c r="B39" s="1427"/>
      <c r="C39" s="2465"/>
      <c r="D39" s="2466"/>
      <c r="E39" s="2466"/>
      <c r="F39" s="2467"/>
      <c r="G39" s="2468"/>
      <c r="H39" s="2468"/>
      <c r="I39" s="2468"/>
    </row>
    <row r="40" spans="2:9" ht="16.5" customHeight="1" x14ac:dyDescent="0.2">
      <c r="B40" s="1427"/>
      <c r="C40" s="2465"/>
      <c r="D40" s="2466"/>
      <c r="E40" s="2466"/>
      <c r="F40" s="2467"/>
      <c r="G40" s="2468"/>
      <c r="H40" s="2468"/>
      <c r="I40" s="2468"/>
    </row>
    <row r="41" spans="2:9" ht="16.5" customHeight="1" x14ac:dyDescent="0.2">
      <c r="B41" s="1427"/>
      <c r="C41" s="2465"/>
      <c r="D41" s="2466"/>
      <c r="E41" s="2466"/>
      <c r="F41" s="2467"/>
      <c r="G41" s="2468"/>
      <c r="H41" s="2468"/>
      <c r="I41" s="2468"/>
    </row>
    <row r="42" spans="2:9" ht="16.5" customHeight="1" x14ac:dyDescent="0.2">
      <c r="B42" s="1427"/>
      <c r="C42" s="2465"/>
      <c r="D42" s="2466"/>
      <c r="E42" s="2466"/>
      <c r="F42" s="2467"/>
      <c r="G42" s="2468"/>
      <c r="H42" s="2468"/>
      <c r="I42" s="2468"/>
    </row>
    <row r="43" spans="2:9" ht="16.5" customHeight="1" x14ac:dyDescent="0.2">
      <c r="B43" s="1427"/>
      <c r="C43" s="2458" t="s">
        <v>1593</v>
      </c>
      <c r="D43" s="2459"/>
      <c r="E43" s="2459"/>
      <c r="F43" s="2460"/>
      <c r="G43" s="2461">
        <f>SUM(G38:I42)</f>
        <v>0</v>
      </c>
      <c r="H43" s="2461"/>
      <c r="I43" s="2461"/>
    </row>
    <row r="44" spans="2:9" ht="12.75" customHeight="1" x14ac:dyDescent="0.2"/>
    <row r="45" spans="2:9" ht="12.75" customHeight="1" x14ac:dyDescent="0.2">
      <c r="B45" s="1418" t="s">
        <v>1841</v>
      </c>
      <c r="D45" s="2462">
        <v>0</v>
      </c>
      <c r="E45" s="2463"/>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64"/>
      <c r="F49" s="2464"/>
      <c r="G49" s="2464"/>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River Bend CUSD 2</v>
      </c>
      <c r="C1" s="2469"/>
      <c r="D1" s="2469"/>
      <c r="E1" s="2469"/>
      <c r="F1" s="2469"/>
      <c r="G1" s="2469"/>
      <c r="H1" s="2469"/>
      <c r="I1" s="2469"/>
      <c r="J1" s="2469"/>
      <c r="K1" s="2469"/>
      <c r="L1" s="1370"/>
      <c r="M1" s="1370"/>
    </row>
    <row r="2" spans="1:13" ht="12" customHeight="1" x14ac:dyDescent="0.2">
      <c r="B2" s="2471">
        <f>'Single Audit Cover'!E7</f>
        <v>47098002026</v>
      </c>
      <c r="C2" s="2471"/>
      <c r="D2" s="2471"/>
      <c r="E2" s="2471"/>
      <c r="F2" s="2471"/>
      <c r="G2" s="2471"/>
      <c r="H2" s="2471"/>
      <c r="I2" s="2471"/>
      <c r="J2" s="2471"/>
      <c r="K2" s="2471"/>
      <c r="L2" s="1371"/>
      <c r="M2" s="1372"/>
    </row>
    <row r="3" spans="1:13" ht="10.35" customHeight="1" x14ac:dyDescent="0.2">
      <c r="B3" s="2485" t="s">
        <v>1285</v>
      </c>
      <c r="C3" s="2485"/>
      <c r="D3" s="2485"/>
      <c r="E3" s="2485"/>
      <c r="F3" s="2485"/>
      <c r="G3" s="2485"/>
      <c r="H3" s="2485"/>
      <c r="I3" s="2485"/>
      <c r="J3" s="2485"/>
      <c r="K3" s="2485"/>
      <c r="L3" s="1373"/>
      <c r="M3" s="1373"/>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6" t="s">
        <v>1296</v>
      </c>
      <c r="C7" s="2486"/>
      <c r="D7" s="2487"/>
      <c r="E7" s="2487"/>
      <c r="F7" s="2487"/>
      <c r="G7" s="2487"/>
      <c r="H7" s="2487"/>
      <c r="I7" s="2487"/>
      <c r="J7" s="2487"/>
      <c r="K7" s="248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4"/>
      <c r="C14" s="2484"/>
      <c r="D14" s="2484"/>
      <c r="E14" s="2484"/>
      <c r="F14" s="2484"/>
      <c r="G14" s="2484"/>
      <c r="H14" s="2484"/>
      <c r="I14" s="2484"/>
      <c r="J14" s="2484"/>
      <c r="K14" s="248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4"/>
      <c r="C17" s="2484"/>
      <c r="D17" s="2484"/>
      <c r="E17" s="2484"/>
      <c r="F17" s="2484"/>
      <c r="G17" s="2484"/>
      <c r="H17" s="2484"/>
      <c r="I17" s="2484"/>
      <c r="J17" s="2484"/>
      <c r="K17" s="2484"/>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8"/>
      <c r="C20" s="2488"/>
      <c r="D20" s="2484"/>
      <c r="E20" s="2484"/>
      <c r="F20" s="2484"/>
      <c r="G20" s="2484"/>
      <c r="H20" s="2484"/>
      <c r="I20" s="2484"/>
      <c r="J20" s="2484"/>
      <c r="K20" s="248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4"/>
      <c r="C23" s="2484"/>
      <c r="D23" s="2484"/>
      <c r="E23" s="2484"/>
      <c r="F23" s="2484"/>
      <c r="G23" s="2484"/>
      <c r="H23" s="2484"/>
      <c r="I23" s="2484"/>
      <c r="J23" s="2484"/>
      <c r="K23" s="248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4"/>
      <c r="C26" s="2484"/>
      <c r="D26" s="2484"/>
      <c r="E26" s="2484"/>
      <c r="F26" s="2484"/>
      <c r="G26" s="2484"/>
      <c r="H26" s="2484"/>
      <c r="I26" s="2484"/>
      <c r="J26" s="2484"/>
      <c r="K26" s="248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3"/>
      <c r="C29" s="2483"/>
      <c r="D29" s="2484"/>
      <c r="E29" s="2484"/>
      <c r="F29" s="2484"/>
      <c r="G29" s="2484"/>
      <c r="H29" s="2484"/>
      <c r="I29" s="2484"/>
      <c r="J29" s="2484"/>
      <c r="K29" s="248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83"/>
      <c r="C32" s="2483"/>
      <c r="D32" s="2484"/>
      <c r="E32" s="2484"/>
      <c r="F32" s="2484"/>
      <c r="G32" s="2484"/>
      <c r="H32" s="2484"/>
      <c r="I32" s="2484"/>
      <c r="J32" s="2484"/>
      <c r="K32" s="248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River Bend CUSD 2</v>
      </c>
      <c r="C1" s="2492"/>
      <c r="D1" s="2492"/>
      <c r="E1" s="2492"/>
      <c r="F1" s="2492"/>
      <c r="G1" s="2492"/>
      <c r="H1" s="2492"/>
      <c r="I1" s="2492"/>
      <c r="J1" s="2492"/>
      <c r="K1" s="2492"/>
      <c r="L1" s="1448"/>
    </row>
    <row r="2" spans="1:12" ht="12.75" customHeight="1" x14ac:dyDescent="0.2">
      <c r="B2" s="2493">
        <f>'Single Audit Cover'!E7</f>
        <v>47098002026</v>
      </c>
      <c r="C2" s="2493"/>
      <c r="D2" s="2493"/>
      <c r="E2" s="2493"/>
      <c r="F2" s="2493"/>
      <c r="G2" s="2493"/>
      <c r="H2" s="2493"/>
      <c r="I2" s="2493"/>
      <c r="J2" s="2493"/>
      <c r="K2" s="2493"/>
      <c r="L2" s="1449"/>
    </row>
    <row r="3" spans="1:12" ht="12.75" customHeight="1" x14ac:dyDescent="0.2">
      <c r="B3" s="2485" t="s">
        <v>1285</v>
      </c>
      <c r="C3" s="2485"/>
      <c r="D3" s="2485"/>
      <c r="E3" s="2485"/>
      <c r="F3" s="2485"/>
      <c r="G3" s="2485"/>
      <c r="H3" s="2485"/>
      <c r="I3" s="2485"/>
      <c r="J3" s="2485"/>
      <c r="K3" s="2485"/>
      <c r="L3" s="1373"/>
    </row>
    <row r="4" spans="1:12" ht="12.75" customHeight="1" x14ac:dyDescent="0.2">
      <c r="B4" s="2485" t="str">
        <f>'Single Audit Cover'!A4</f>
        <v>Year Ending June 30, 2019</v>
      </c>
      <c r="C4" s="2485"/>
      <c r="D4" s="2485"/>
      <c r="E4" s="2485"/>
      <c r="F4" s="2485"/>
      <c r="G4" s="2485"/>
      <c r="H4" s="2485"/>
      <c r="I4" s="2485"/>
      <c r="J4" s="2485"/>
      <c r="K4" s="2485"/>
      <c r="L4" s="1373"/>
    </row>
    <row r="5" spans="1:12" ht="5.25" customHeight="1" x14ac:dyDescent="0.2">
      <c r="B5" s="1256" t="s">
        <v>1169</v>
      </c>
      <c r="C5" s="1256"/>
      <c r="L5" s="322"/>
    </row>
    <row r="6" spans="1:12" ht="30.75" customHeight="1" x14ac:dyDescent="0.2">
      <c r="A6" s="322"/>
      <c r="B6" s="2494" t="s">
        <v>1308</v>
      </c>
      <c r="C6" s="2494"/>
      <c r="D6" s="2494"/>
      <c r="E6" s="2494"/>
      <c r="F6" s="2494"/>
      <c r="G6" s="2494"/>
      <c r="H6" s="2494"/>
      <c r="I6" s="2494"/>
      <c r="J6" s="2494"/>
      <c r="K6" s="2494"/>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76"/>
      <c r="G12" s="2476"/>
      <c r="H12" s="2476"/>
      <c r="I12" s="2476"/>
      <c r="J12" s="2476"/>
      <c r="K12" s="2476"/>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9"/>
      <c r="E14" s="2489"/>
      <c r="F14" s="2489"/>
      <c r="H14" s="1458" t="s">
        <v>1303</v>
      </c>
      <c r="I14" s="2490"/>
      <c r="J14" s="2490"/>
      <c r="K14" s="2490"/>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0"/>
      <c r="E16" s="2490"/>
      <c r="F16" s="2490"/>
      <c r="G16" s="2490"/>
      <c r="H16" s="2490"/>
      <c r="I16" s="2490"/>
      <c r="J16" s="2490"/>
      <c r="K16" s="2490"/>
      <c r="L16" s="322"/>
    </row>
    <row r="17" spans="2:12" ht="13.5" customHeight="1" x14ac:dyDescent="0.2">
      <c r="B17" s="1383" t="s">
        <v>1301</v>
      </c>
      <c r="C17" s="1383"/>
      <c r="D17" s="2491"/>
      <c r="E17" s="2491"/>
      <c r="F17" s="2491"/>
      <c r="G17" s="2491"/>
      <c r="H17" s="2491"/>
      <c r="I17" s="2491"/>
      <c r="J17" s="2491"/>
      <c r="K17" s="2491"/>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4"/>
      <c r="C20" s="2484"/>
      <c r="D20" s="2484"/>
      <c r="E20" s="2484"/>
      <c r="F20" s="2484"/>
      <c r="G20" s="2484"/>
      <c r="H20" s="2484"/>
      <c r="I20" s="2484"/>
      <c r="J20" s="2484"/>
      <c r="K20" s="2484"/>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9" t="str">
        <f>'Single Audit Cover'!A7</f>
        <v>River Bend CUSD 2</v>
      </c>
      <c r="C1" s="2469"/>
      <c r="D1" s="2469"/>
      <c r="E1" s="1468"/>
    </row>
    <row r="2" spans="2:5" s="1278" customFormat="1" ht="12.75" customHeight="1" x14ac:dyDescent="0.2">
      <c r="B2" s="2471">
        <f>'Single Audit Cover'!E7</f>
        <v>47098002026</v>
      </c>
      <c r="C2" s="2471"/>
      <c r="D2" s="2471"/>
      <c r="E2" s="1469"/>
    </row>
    <row r="3" spans="2:5" ht="12.75" customHeight="1" x14ac:dyDescent="0.2">
      <c r="B3" s="2485" t="s">
        <v>1766</v>
      </c>
      <c r="C3" s="2485"/>
      <c r="D3" s="2485"/>
      <c r="E3" s="1270"/>
    </row>
    <row r="4" spans="2:5" s="1278" customFormat="1" ht="12.75" customHeight="1" x14ac:dyDescent="0.2">
      <c r="B4" s="2495" t="str">
        <f>'Single Audit Cover'!A4</f>
        <v>Year Ending June 30, 2019</v>
      </c>
      <c r="C4" s="2495"/>
      <c r="D4" s="2495"/>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colorId="8" zoomScale="110" zoomScaleNormal="110" workbookViewId="0">
      <selection activeCell="O11" sqref="O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121606770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2.5999999999999999E-2</v>
      </c>
      <c r="E10" s="356" t="s">
        <v>1005</v>
      </c>
      <c r="F10" s="355">
        <v>5.0000000000000001E-3</v>
      </c>
      <c r="G10" s="356" t="s">
        <v>1005</v>
      </c>
      <c r="H10" s="355">
        <v>2E-3</v>
      </c>
      <c r="I10" s="356" t="s">
        <v>1006</v>
      </c>
      <c r="J10" s="1731">
        <f>ROUND(D10+F10+H10,5)</f>
        <v>3.3000000000000002E-2</v>
      </c>
      <c r="K10" s="222"/>
      <c r="L10" s="355">
        <v>5.0000000000000001E-4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8321874</v>
      </c>
      <c r="E16" s="356"/>
      <c r="F16" s="1732">
        <f>SUM('Acct Summary 7-8'!C17,'Acct Summary 7-8'!D17,'Acct Summary 7-8'!F17)</f>
        <v>7945399</v>
      </c>
      <c r="G16" s="356"/>
      <c r="H16" s="1732">
        <f>SUM(D16-F16)</f>
        <v>376475</v>
      </c>
      <c r="I16" s="222"/>
      <c r="J16" s="1732">
        <f>SUM('Acct Summary 7-8'!C81,'Acct Summary 7-8'!D81,'Acct Summary 7-8'!F81,'Acct Summary 7-8'!I81)</f>
        <v>3858474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16781734.260000002</v>
      </c>
      <c r="I31" s="368"/>
      <c r="J31" s="222"/>
      <c r="K31" s="222"/>
      <c r="L31" s="222"/>
      <c r="M31" s="222"/>
    </row>
    <row r="32" spans="1:13" ht="13.35" customHeight="1" x14ac:dyDescent="0.2">
      <c r="B32" s="369" t="s">
        <v>2083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1630000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1554</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River Bend CUSD 2</v>
      </c>
      <c r="E7" s="391"/>
      <c r="G7" s="252"/>
      <c r="H7" s="387"/>
      <c r="I7" s="387"/>
      <c r="J7" s="387"/>
      <c r="K7" s="387"/>
      <c r="L7" s="329"/>
      <c r="M7" s="329"/>
      <c r="N7" s="329"/>
      <c r="O7" s="329"/>
      <c r="P7" s="329"/>
    </row>
    <row r="8" spans="1:18" ht="12.75" x14ac:dyDescent="0.2">
      <c r="A8" s="329"/>
      <c r="B8" s="329"/>
      <c r="C8" s="389" t="s">
        <v>1125</v>
      </c>
      <c r="D8" s="392">
        <f>COVER!A13</f>
        <v>47098002026</v>
      </c>
      <c r="E8" s="393"/>
      <c r="G8" s="329"/>
      <c r="H8" s="329"/>
      <c r="I8" s="329"/>
      <c r="J8" s="329"/>
      <c r="K8" s="329"/>
      <c r="L8" s="329"/>
      <c r="M8" s="329"/>
      <c r="N8" s="329"/>
      <c r="O8" s="329"/>
      <c r="P8" s="329"/>
    </row>
    <row r="9" spans="1:18" ht="12.75" x14ac:dyDescent="0.2">
      <c r="A9" s="329"/>
      <c r="B9" s="329"/>
      <c r="C9" s="389" t="s">
        <v>713</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3858474</v>
      </c>
      <c r="I12" s="404"/>
      <c r="J12" s="404"/>
      <c r="K12" s="405">
        <f>TRUNC((H12/H13*100000),5)/100000</f>
        <v>0.46365446049999998</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8321874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7945399</v>
      </c>
      <c r="I17" s="404"/>
      <c r="J17" s="416"/>
      <c r="K17" s="405">
        <f>TRUNC((H17/H18*100000),5)/100000</f>
        <v>0.95476079060000008</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8321874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3777714</v>
      </c>
      <c r="I24" s="422"/>
      <c r="J24" s="422"/>
      <c r="K24" s="423">
        <f>TRUNC(((H24/H25*100000)/100000),2)</f>
        <v>171.16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22070.552780000002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3411069.8985000001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1630000</v>
      </c>
      <c r="I32" s="420"/>
      <c r="J32" s="420"/>
      <c r="K32" s="423">
        <f>TRUNC(100-((((H32/H33*100))*100)/100),2)</f>
        <v>90.28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16781734.260000002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colorId="8" zoomScale="98" zoomScaleNormal="98" workbookViewId="0">
      <pane ySplit="2" topLeftCell="A12" activePane="bottomLeft" state="frozen"/>
      <selection pane="bottomLeft" activeCell="G26" sqref="G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8"/>
      <c r="D3" s="1559"/>
      <c r="E3" s="1559"/>
      <c r="F3" s="1559"/>
      <c r="G3" s="1559"/>
      <c r="H3" s="1559"/>
      <c r="I3" s="1559"/>
      <c r="J3" s="1559"/>
      <c r="K3" s="1559"/>
      <c r="L3" s="1559"/>
      <c r="M3" s="1560"/>
      <c r="N3" s="1561"/>
    </row>
    <row r="4" spans="1:14" ht="13.5" customHeight="1" x14ac:dyDescent="0.2">
      <c r="A4" s="463" t="s">
        <v>1651</v>
      </c>
      <c r="B4" s="464"/>
      <c r="C4" s="465">
        <v>2114649</v>
      </c>
      <c r="D4" s="466">
        <v>727586</v>
      </c>
      <c r="E4" s="466">
        <v>449999</v>
      </c>
      <c r="F4" s="466">
        <v>201243</v>
      </c>
      <c r="G4" s="466">
        <v>596392</v>
      </c>
      <c r="H4" s="466">
        <v>515876</v>
      </c>
      <c r="I4" s="466">
        <v>734236</v>
      </c>
      <c r="J4" s="467">
        <v>371721</v>
      </c>
      <c r="K4" s="466">
        <v>390402</v>
      </c>
      <c r="L4" s="466">
        <v>192349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2114649</v>
      </c>
      <c r="D13" s="1736">
        <f t="shared" ref="D13:L13" si="0">SUM(D4:D12)</f>
        <v>727586</v>
      </c>
      <c r="E13" s="1736">
        <f t="shared" si="0"/>
        <v>449999</v>
      </c>
      <c r="F13" s="1736">
        <f t="shared" si="0"/>
        <v>201243</v>
      </c>
      <c r="G13" s="1736">
        <f t="shared" si="0"/>
        <v>596392</v>
      </c>
      <c r="H13" s="1736">
        <f t="shared" si="0"/>
        <v>515876</v>
      </c>
      <c r="I13" s="1736">
        <f t="shared" si="0"/>
        <v>734236</v>
      </c>
      <c r="J13" s="1736">
        <f t="shared" si="0"/>
        <v>371721</v>
      </c>
      <c r="K13" s="1736">
        <f t="shared" si="0"/>
        <v>390402</v>
      </c>
      <c r="L13" s="1736">
        <f t="shared" si="0"/>
        <v>192349</v>
      </c>
      <c r="M13" s="468"/>
      <c r="N13" s="469"/>
    </row>
    <row r="14" spans="1:14" ht="18" customHeight="1" thickTop="1" x14ac:dyDescent="0.2">
      <c r="A14" s="2119" t="s">
        <v>147</v>
      </c>
      <c r="B14" s="2120"/>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469184</v>
      </c>
      <c r="N16" s="484"/>
    </row>
    <row r="17" spans="1:14" s="485" customFormat="1" ht="12.75" customHeight="1" x14ac:dyDescent="0.2">
      <c r="A17" s="482" t="s">
        <v>1403</v>
      </c>
      <c r="B17" s="483">
        <v>230</v>
      </c>
      <c r="C17" s="477"/>
      <c r="D17" s="477"/>
      <c r="E17" s="477"/>
      <c r="F17" s="477"/>
      <c r="G17" s="477"/>
      <c r="H17" s="477"/>
      <c r="I17" s="477"/>
      <c r="J17" s="477"/>
      <c r="K17" s="477"/>
      <c r="L17" s="477"/>
      <c r="M17" s="467">
        <v>12345233</v>
      </c>
      <c r="N17" s="484"/>
    </row>
    <row r="18" spans="1:14" s="485" customFormat="1" ht="12.75" customHeight="1" x14ac:dyDescent="0.2">
      <c r="A18" s="482" t="s">
        <v>1404</v>
      </c>
      <c r="B18" s="483">
        <v>240</v>
      </c>
      <c r="C18" s="477"/>
      <c r="D18" s="477"/>
      <c r="E18" s="477"/>
      <c r="F18" s="477"/>
      <c r="G18" s="477"/>
      <c r="H18" s="477"/>
      <c r="I18" s="477"/>
      <c r="J18" s="477"/>
      <c r="K18" s="477"/>
      <c r="L18" s="477"/>
      <c r="M18" s="467">
        <v>826755</v>
      </c>
      <c r="N18" s="484"/>
    </row>
    <row r="19" spans="1:14" s="485" customFormat="1" ht="12.75" customHeight="1" x14ac:dyDescent="0.2">
      <c r="A19" s="482" t="s">
        <v>1405</v>
      </c>
      <c r="B19" s="483">
        <v>250</v>
      </c>
      <c r="C19" s="477"/>
      <c r="D19" s="477"/>
      <c r="E19" s="477"/>
      <c r="F19" s="477"/>
      <c r="G19" s="477"/>
      <c r="H19" s="477"/>
      <c r="I19" s="477"/>
      <c r="J19" s="477"/>
      <c r="K19" s="477"/>
      <c r="L19" s="477"/>
      <c r="M19" s="467">
        <v>2027794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449999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1180001</v>
      </c>
    </row>
    <row r="23" spans="1:14" ht="13.5" customHeight="1" thickBot="1" x14ac:dyDescent="0.25">
      <c r="A23" s="1735" t="s">
        <v>643</v>
      </c>
      <c r="B23" s="1740"/>
      <c r="C23" s="468"/>
      <c r="D23" s="468"/>
      <c r="E23" s="468"/>
      <c r="F23" s="468"/>
      <c r="G23" s="468"/>
      <c r="H23" s="468"/>
      <c r="I23" s="468"/>
      <c r="J23" s="468"/>
      <c r="K23" s="468"/>
      <c r="L23" s="468"/>
      <c r="M23" s="1687">
        <f>SUM(M15:M22)</f>
        <v>15668966</v>
      </c>
      <c r="N23" s="1687">
        <f>SUM(N21:N22)</f>
        <v>1630000</v>
      </c>
    </row>
    <row r="24" spans="1:14" ht="18" customHeight="1" thickTop="1" x14ac:dyDescent="0.2">
      <c r="A24" s="2121" t="s">
        <v>598</v>
      </c>
      <c r="B24" s="2122"/>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-80760</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192349</v>
      </c>
      <c r="M33" s="468"/>
      <c r="N33" s="469"/>
    </row>
    <row r="34" spans="1:14" ht="13.5" customHeight="1" thickBot="1" x14ac:dyDescent="0.25">
      <c r="A34" s="1737" t="s">
        <v>654</v>
      </c>
      <c r="B34" s="1738"/>
      <c r="C34" s="1739">
        <f>SUM(C25:C33)</f>
        <v>-80760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192349</v>
      </c>
      <c r="M34" s="468"/>
      <c r="N34" s="480"/>
    </row>
    <row r="35" spans="1:14" ht="18" customHeight="1" thickTop="1" x14ac:dyDescent="0.2">
      <c r="A35" s="2123" t="s">
        <v>529</v>
      </c>
      <c r="B35" s="2124"/>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1630000</v>
      </c>
    </row>
    <row r="37" spans="1:14" ht="13.5" thickBot="1" x14ac:dyDescent="0.25">
      <c r="A37" s="1735" t="s">
        <v>653</v>
      </c>
      <c r="B37" s="1740"/>
      <c r="C37" s="477"/>
      <c r="D37" s="477"/>
      <c r="E37" s="477"/>
      <c r="F37" s="477"/>
      <c r="G37" s="477"/>
      <c r="H37" s="477"/>
      <c r="I37" s="477"/>
      <c r="J37" s="477"/>
      <c r="K37" s="477"/>
      <c r="L37" s="480"/>
      <c r="M37" s="468"/>
      <c r="N37" s="1687">
        <f>SUM(N36:N36)</f>
        <v>1630000</v>
      </c>
    </row>
    <row r="38" spans="1:14" s="329" customFormat="1" ht="13.5" customHeight="1" thickTop="1" x14ac:dyDescent="0.2">
      <c r="A38" s="496" t="s">
        <v>420</v>
      </c>
      <c r="B38" s="483">
        <v>714</v>
      </c>
      <c r="C38" s="466"/>
      <c r="D38" s="466"/>
      <c r="E38" s="466"/>
      <c r="F38" s="466"/>
      <c r="G38" s="466">
        <v>291776</v>
      </c>
      <c r="H38" s="466">
        <v>515876</v>
      </c>
      <c r="I38" s="466"/>
      <c r="J38" s="467"/>
      <c r="K38" s="466"/>
      <c r="L38" s="481"/>
      <c r="M38" s="497"/>
      <c r="N38" s="497"/>
    </row>
    <row r="39" spans="1:14" s="329" customFormat="1" ht="13.5" customHeight="1" x14ac:dyDescent="0.2">
      <c r="A39" s="496" t="s">
        <v>342</v>
      </c>
      <c r="B39" s="483">
        <v>730</v>
      </c>
      <c r="C39" s="466">
        <v>2195409</v>
      </c>
      <c r="D39" s="466">
        <v>727586</v>
      </c>
      <c r="E39" s="466">
        <v>449999</v>
      </c>
      <c r="F39" s="466">
        <v>201243</v>
      </c>
      <c r="G39" s="466">
        <v>304616</v>
      </c>
      <c r="H39" s="466"/>
      <c r="I39" s="466">
        <v>734236</v>
      </c>
      <c r="J39" s="467">
        <v>371721</v>
      </c>
      <c r="K39" s="466">
        <v>390402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15668966</v>
      </c>
      <c r="N40" s="497"/>
    </row>
    <row r="41" spans="1:14" ht="13.5" customHeight="1" thickBot="1" x14ac:dyDescent="0.25">
      <c r="A41" s="1735" t="s">
        <v>655</v>
      </c>
      <c r="B41" s="1705"/>
      <c r="C41" s="1687">
        <f>(SUM(C34,C37,C38,C39))</f>
        <v>2114649</v>
      </c>
      <c r="D41" s="1687">
        <f t="shared" ref="D41:L41" si="2">SUM(D34,D37,D38:D39)</f>
        <v>727586</v>
      </c>
      <c r="E41" s="1687">
        <f t="shared" si="2"/>
        <v>449999</v>
      </c>
      <c r="F41" s="1687">
        <f t="shared" si="2"/>
        <v>201243</v>
      </c>
      <c r="G41" s="1687">
        <f t="shared" si="2"/>
        <v>596392</v>
      </c>
      <c r="H41" s="1687">
        <f t="shared" si="2"/>
        <v>515876</v>
      </c>
      <c r="I41" s="1687">
        <f t="shared" si="2"/>
        <v>734236</v>
      </c>
      <c r="J41" s="1687">
        <f t="shared" si="2"/>
        <v>371721</v>
      </c>
      <c r="K41" s="1687">
        <f t="shared" si="2"/>
        <v>390402</v>
      </c>
      <c r="L41" s="1687">
        <f t="shared" si="2"/>
        <v>192349</v>
      </c>
      <c r="M41" s="1687">
        <f>SUM(M40)</f>
        <v>15668966</v>
      </c>
      <c r="N41" s="1687">
        <f>SUM(N37)</f>
        <v>1630000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colorId="8" zoomScaleNormal="100" zoomScaleSheetLayoutView="100" workbookViewId="0">
      <pane ySplit="2" topLeftCell="A69" activePane="bottomLeft" state="frozen"/>
      <selection pane="bottomLeft" activeCell="C81" sqref="C81: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2"/>
      <c r="D3" s="1573"/>
      <c r="E3" s="1573"/>
      <c r="F3" s="1573"/>
      <c r="G3" s="1573"/>
      <c r="H3" s="1573"/>
      <c r="I3" s="1573"/>
      <c r="J3" s="1573"/>
      <c r="K3" s="1574"/>
      <c r="L3" s="506"/>
    </row>
    <row r="4" spans="1:13" ht="15.75" customHeight="1" x14ac:dyDescent="0.2">
      <c r="A4" s="1927" t="s">
        <v>1499</v>
      </c>
      <c r="B4" s="1928">
        <v>1000</v>
      </c>
      <c r="C4" s="1741">
        <f>'Revenues 9-14'!C109</f>
        <v>4045836</v>
      </c>
      <c r="D4" s="1741">
        <f>'Revenues 9-14'!D109</f>
        <v>612506</v>
      </c>
      <c r="E4" s="1741">
        <f>'Revenues 9-14'!E109</f>
        <v>694802</v>
      </c>
      <c r="F4" s="1741">
        <f>'Revenues 9-14'!F109</f>
        <v>246010</v>
      </c>
      <c r="G4" s="1741">
        <f>'Revenues 9-14'!G109</f>
        <v>320667</v>
      </c>
      <c r="H4" s="1741">
        <f>'Revenues 9-14'!H109</f>
        <v>495979</v>
      </c>
      <c r="I4" s="1741">
        <f>'Revenues 9-14'!I109</f>
        <v>69359</v>
      </c>
      <c r="J4" s="1741">
        <f>'Revenues 9-14'!J109</f>
        <v>453933</v>
      </c>
      <c r="K4" s="1741">
        <f>'Revenues 9-14'!K109</f>
        <v>64888</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2752424</v>
      </c>
      <c r="D6" s="1742">
        <f>'Revenues 9-14'!D170</f>
        <v>0</v>
      </c>
      <c r="E6" s="1742">
        <f>'Revenues 9-14'!E170</f>
        <v>0</v>
      </c>
      <c r="F6" s="1742">
        <f>'Revenues 9-14'!F170</f>
        <v>142811</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452928</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7251188</v>
      </c>
      <c r="D8" s="1687">
        <f t="shared" ref="D8:K8" si="0">SUM(D4:D7)</f>
        <v>612506</v>
      </c>
      <c r="E8" s="1687">
        <f t="shared" si="0"/>
        <v>694802</v>
      </c>
      <c r="F8" s="1687">
        <f t="shared" si="0"/>
        <v>388821</v>
      </c>
      <c r="G8" s="1687">
        <f t="shared" si="0"/>
        <v>320667</v>
      </c>
      <c r="H8" s="1687">
        <f t="shared" si="0"/>
        <v>495979</v>
      </c>
      <c r="I8" s="1687">
        <f t="shared" si="0"/>
        <v>69359</v>
      </c>
      <c r="J8" s="1687">
        <f t="shared" si="0"/>
        <v>453933</v>
      </c>
      <c r="K8" s="1687">
        <f t="shared" si="0"/>
        <v>64888</v>
      </c>
      <c r="L8" s="347"/>
    </row>
    <row r="9" spans="1:13" ht="15.75" thickTop="1" x14ac:dyDescent="0.2">
      <c r="A9" s="514" t="s">
        <v>1653</v>
      </c>
      <c r="B9" s="515">
        <v>3998</v>
      </c>
      <c r="C9" s="481">
        <v>3109463</v>
      </c>
      <c r="D9" s="516"/>
      <c r="E9" s="481"/>
      <c r="F9" s="481"/>
      <c r="G9" s="517"/>
      <c r="H9" s="481"/>
      <c r="I9" s="509" t="s">
        <v>1169</v>
      </c>
      <c r="J9" s="478"/>
      <c r="K9" s="481"/>
      <c r="L9" s="347"/>
    </row>
    <row r="10" spans="1:13" s="519" customFormat="1" ht="13.5" thickBot="1" x14ac:dyDescent="0.25">
      <c r="A10" s="1735" t="s">
        <v>1173</v>
      </c>
      <c r="B10" s="1708"/>
      <c r="C10" s="1687">
        <f>SUM(C8:C9)</f>
        <v>10360651</v>
      </c>
      <c r="D10" s="1687">
        <f t="shared" ref="D10:K10" si="1">SUM(D8:D9)</f>
        <v>612506</v>
      </c>
      <c r="E10" s="1687">
        <f t="shared" si="1"/>
        <v>694802</v>
      </c>
      <c r="F10" s="1687">
        <f t="shared" si="1"/>
        <v>388821</v>
      </c>
      <c r="G10" s="1687">
        <f t="shared" si="1"/>
        <v>320667</v>
      </c>
      <c r="H10" s="1687">
        <f t="shared" si="1"/>
        <v>495979</v>
      </c>
      <c r="I10" s="1687">
        <f t="shared" si="1"/>
        <v>69359</v>
      </c>
      <c r="J10" s="1687">
        <f t="shared" si="1"/>
        <v>453933</v>
      </c>
      <c r="K10" s="1687">
        <f t="shared" si="1"/>
        <v>64888</v>
      </c>
      <c r="L10" s="518"/>
    </row>
    <row r="11" spans="1:13" s="519" customFormat="1" ht="16.7" customHeight="1" thickTop="1" x14ac:dyDescent="0.2">
      <c r="A11" s="2119" t="s">
        <v>1176</v>
      </c>
      <c r="B11" s="2120"/>
      <c r="C11" s="1569"/>
      <c r="D11" s="1570"/>
      <c r="E11" s="1570"/>
      <c r="F11" s="1570"/>
      <c r="G11" s="1570"/>
      <c r="H11" s="1570"/>
      <c r="I11" s="1570"/>
      <c r="J11" s="1570"/>
      <c r="K11" s="1571"/>
      <c r="L11" s="518"/>
    </row>
    <row r="12" spans="1:13" ht="15.75" customHeight="1" x14ac:dyDescent="0.2">
      <c r="A12" s="1575" t="s">
        <v>456</v>
      </c>
      <c r="B12" s="1577">
        <v>1000</v>
      </c>
      <c r="C12" s="1741">
        <f>'Expenditures 15-22'!K33</f>
        <v>4722876</v>
      </c>
      <c r="D12" s="520" t="s">
        <v>1169</v>
      </c>
      <c r="E12" s="468" t="s">
        <v>1169</v>
      </c>
      <c r="F12" s="468" t="s">
        <v>1169</v>
      </c>
      <c r="G12" s="1741">
        <f>'Expenditures 15-22'!K229</f>
        <v>91680</v>
      </c>
      <c r="H12" s="521"/>
      <c r="I12" s="468" t="s">
        <v>1169</v>
      </c>
      <c r="J12" s="468" t="s">
        <v>1169</v>
      </c>
      <c r="K12" s="521" t="s">
        <v>1169</v>
      </c>
      <c r="L12" s="347"/>
    </row>
    <row r="13" spans="1:13" ht="15.75" customHeight="1" x14ac:dyDescent="0.2">
      <c r="A13" s="1575" t="s">
        <v>457</v>
      </c>
      <c r="B13" s="1577">
        <v>2000</v>
      </c>
      <c r="C13" s="1742">
        <f>'Expenditures 15-22'!K74</f>
        <v>2098044</v>
      </c>
      <c r="D13" s="1742">
        <f>'Expenditures 15-22'!K129</f>
        <v>581839</v>
      </c>
      <c r="E13" s="469" t="s">
        <v>1169</v>
      </c>
      <c r="F13" s="1742">
        <f>'Expenditures 15-22'!K184</f>
        <v>476605</v>
      </c>
      <c r="G13" s="1742">
        <f>'Expenditures 15-22'!K279</f>
        <v>158099</v>
      </c>
      <c r="H13" s="1742">
        <f>'Expenditures 15-22'!K303</f>
        <v>160678</v>
      </c>
      <c r="I13" s="468" t="s">
        <v>1169</v>
      </c>
      <c r="J13" s="1742">
        <f>'Expenditures 15-22'!K330</f>
        <v>421202</v>
      </c>
      <c r="K13" s="1746">
        <f>'Expenditures 15-22'!K352</f>
        <v>66910</v>
      </c>
      <c r="L13" s="347"/>
    </row>
    <row r="14" spans="1:13" ht="15.75" customHeight="1" x14ac:dyDescent="0.2">
      <c r="A14" s="1575" t="s">
        <v>449</v>
      </c>
      <c r="B14" s="1577">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55759</v>
      </c>
      <c r="D15" s="1742">
        <f>'Expenditures 15-22'!K139</f>
        <v>10276</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888346</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6876679</v>
      </c>
      <c r="D17" s="1687">
        <f t="shared" si="2"/>
        <v>592115</v>
      </c>
      <c r="E17" s="1687">
        <f t="shared" si="2"/>
        <v>888346</v>
      </c>
      <c r="F17" s="1687">
        <f t="shared" si="2"/>
        <v>476605</v>
      </c>
      <c r="G17" s="1687">
        <f t="shared" si="2"/>
        <v>249779</v>
      </c>
      <c r="H17" s="1687">
        <f t="shared" si="2"/>
        <v>160678</v>
      </c>
      <c r="I17" s="468"/>
      <c r="J17" s="1687">
        <f>SUM(J12:J16)</f>
        <v>421202</v>
      </c>
      <c r="K17" s="1687">
        <f>SUM(K12:K16)</f>
        <v>66910</v>
      </c>
      <c r="L17" s="347"/>
    </row>
    <row r="18" spans="1:12" ht="15" customHeight="1" thickTop="1" x14ac:dyDescent="0.2">
      <c r="A18" s="1743" t="s">
        <v>1654</v>
      </c>
      <c r="B18" s="1744">
        <v>4180</v>
      </c>
      <c r="C18" s="1741">
        <f t="shared" ref="C18:H18" si="3">C9</f>
        <v>3109463</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9986142</v>
      </c>
      <c r="D19" s="1687">
        <f t="shared" si="4"/>
        <v>592115</v>
      </c>
      <c r="E19" s="1687">
        <f t="shared" si="4"/>
        <v>888346</v>
      </c>
      <c r="F19" s="1687">
        <f t="shared" si="4"/>
        <v>476605</v>
      </c>
      <c r="G19" s="1687">
        <f t="shared" si="4"/>
        <v>249779</v>
      </c>
      <c r="H19" s="1687">
        <f t="shared" si="4"/>
        <v>160678</v>
      </c>
      <c r="I19" s="468"/>
      <c r="J19" s="1687">
        <f>SUM(J17:J18)</f>
        <v>421202</v>
      </c>
      <c r="K19" s="1687">
        <f>SUM(K17:K18)</f>
        <v>66910</v>
      </c>
      <c r="L19" s="347"/>
    </row>
    <row r="20" spans="1:12" ht="16.5" thickTop="1" thickBot="1" x14ac:dyDescent="0.25">
      <c r="A20" s="2135" t="s">
        <v>1655</v>
      </c>
      <c r="B20" s="2136"/>
      <c r="C20" s="1745">
        <f>C8-C17</f>
        <v>374509</v>
      </c>
      <c r="D20" s="1745">
        <f t="shared" ref="D20:K20" si="5">D8-D17</f>
        <v>20391</v>
      </c>
      <c r="E20" s="1745">
        <f t="shared" si="5"/>
        <v>-193544</v>
      </c>
      <c r="F20" s="1745">
        <f t="shared" si="5"/>
        <v>-87784</v>
      </c>
      <c r="G20" s="1745">
        <f t="shared" si="5"/>
        <v>70888</v>
      </c>
      <c r="H20" s="1745">
        <f t="shared" si="5"/>
        <v>335301</v>
      </c>
      <c r="I20" s="1745">
        <f t="shared" si="5"/>
        <v>69359</v>
      </c>
      <c r="J20" s="1745">
        <f t="shared" si="5"/>
        <v>32731</v>
      </c>
      <c r="K20" s="1745">
        <f t="shared" si="5"/>
        <v>-2022</v>
      </c>
      <c r="L20" s="347"/>
    </row>
    <row r="21" spans="1:12" ht="16.7" customHeight="1" thickTop="1" x14ac:dyDescent="0.2">
      <c r="A21" s="2147" t="s">
        <v>595</v>
      </c>
      <c r="B21" s="2148"/>
      <c r="C21" s="1569"/>
      <c r="D21" s="1570"/>
      <c r="E21" s="1570"/>
      <c r="F21" s="1570"/>
      <c r="G21" s="1570"/>
      <c r="H21" s="1570"/>
      <c r="I21" s="1570"/>
      <c r="J21" s="1570"/>
      <c r="K21" s="1571"/>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v>60000</v>
      </c>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v>20000</v>
      </c>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v>217000</v>
      </c>
      <c r="F43" s="467"/>
      <c r="G43" s="467"/>
      <c r="H43" s="467"/>
      <c r="I43" s="467"/>
      <c r="J43" s="467"/>
      <c r="K43" s="467"/>
      <c r="L43" s="524"/>
    </row>
    <row r="44" spans="1:12" s="485" customFormat="1" ht="13.5" customHeight="1" thickBot="1" x14ac:dyDescent="0.25">
      <c r="A44" s="2149" t="s">
        <v>374</v>
      </c>
      <c r="B44" s="2150"/>
      <c r="C44" s="1702">
        <f>SUM(C24:C43)</f>
        <v>80000</v>
      </c>
      <c r="D44" s="1702">
        <f t="shared" ref="D44:K44" si="6">SUM(D24:D43)</f>
        <v>0</v>
      </c>
      <c r="E44" s="1702">
        <f t="shared" si="6"/>
        <v>217000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60000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v>20000</v>
      </c>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v>217000</v>
      </c>
      <c r="I75" s="530"/>
      <c r="J75" s="530"/>
      <c r="K75" s="532"/>
      <c r="L75" s="524"/>
    </row>
    <row r="76" spans="1:12" s="485" customFormat="1" ht="14.25" thickTop="1" thickBot="1" x14ac:dyDescent="0.25">
      <c r="A76" s="2125" t="s">
        <v>440</v>
      </c>
      <c r="B76" s="2126"/>
      <c r="C76" s="1702">
        <f t="shared" ref="C76:K76" si="7">SUM(C47:C75)</f>
        <v>0</v>
      </c>
      <c r="D76" s="1702">
        <f t="shared" si="7"/>
        <v>20000</v>
      </c>
      <c r="E76" s="1702">
        <f t="shared" si="7"/>
        <v>0</v>
      </c>
      <c r="F76" s="1702">
        <f t="shared" si="7"/>
        <v>0</v>
      </c>
      <c r="G76" s="1702">
        <f t="shared" si="7"/>
        <v>0</v>
      </c>
      <c r="H76" s="1702">
        <f t="shared" si="7"/>
        <v>217000</v>
      </c>
      <c r="I76" s="1702">
        <f t="shared" si="7"/>
        <v>60000</v>
      </c>
      <c r="J76" s="1702">
        <f t="shared" si="7"/>
        <v>0</v>
      </c>
      <c r="K76" s="1702">
        <f t="shared" si="7"/>
        <v>0</v>
      </c>
      <c r="L76" s="524"/>
    </row>
    <row r="77" spans="1:12" ht="14.25" thickTop="1" thickBot="1" x14ac:dyDescent="0.25">
      <c r="A77" s="2127" t="s">
        <v>1177</v>
      </c>
      <c r="B77" s="2128"/>
      <c r="C77" s="1702">
        <f t="shared" ref="C77:K77" si="8">C44-C76</f>
        <v>80000</v>
      </c>
      <c r="D77" s="1702">
        <f t="shared" si="8"/>
        <v>-20000</v>
      </c>
      <c r="E77" s="1702">
        <f t="shared" si="8"/>
        <v>217000</v>
      </c>
      <c r="F77" s="1702">
        <f t="shared" si="8"/>
        <v>0</v>
      </c>
      <c r="G77" s="1702">
        <f t="shared" si="8"/>
        <v>0</v>
      </c>
      <c r="H77" s="1702">
        <f t="shared" si="8"/>
        <v>-217000</v>
      </c>
      <c r="I77" s="1702">
        <f t="shared" si="8"/>
        <v>-60000</v>
      </c>
      <c r="J77" s="1702">
        <f t="shared" si="8"/>
        <v>0</v>
      </c>
      <c r="K77" s="1702">
        <f t="shared" si="8"/>
        <v>0</v>
      </c>
      <c r="L77" s="347"/>
    </row>
    <row r="78" spans="1:12" ht="21.75" customHeight="1" thickTop="1" thickBot="1" x14ac:dyDescent="0.25">
      <c r="A78" s="2131" t="s">
        <v>597</v>
      </c>
      <c r="B78" s="2132"/>
      <c r="C78" s="1701">
        <f t="shared" ref="C78:K78" si="9">C20+C77</f>
        <v>454509</v>
      </c>
      <c r="D78" s="1701">
        <f t="shared" si="9"/>
        <v>391</v>
      </c>
      <c r="E78" s="1701">
        <f t="shared" si="9"/>
        <v>23456</v>
      </c>
      <c r="F78" s="1701">
        <f t="shared" si="9"/>
        <v>-87784</v>
      </c>
      <c r="G78" s="1701">
        <f t="shared" si="9"/>
        <v>70888</v>
      </c>
      <c r="H78" s="1701">
        <f t="shared" si="9"/>
        <v>118301</v>
      </c>
      <c r="I78" s="1701">
        <f t="shared" si="9"/>
        <v>9359</v>
      </c>
      <c r="J78" s="1701">
        <f t="shared" si="9"/>
        <v>32731</v>
      </c>
      <c r="K78" s="1701">
        <f t="shared" si="9"/>
        <v>-2022</v>
      </c>
      <c r="L78" s="533"/>
    </row>
    <row r="79" spans="1:12" ht="13.5" thickTop="1" x14ac:dyDescent="0.2">
      <c r="A79" s="1493" t="s">
        <v>1949</v>
      </c>
      <c r="B79" s="534"/>
      <c r="C79" s="478">
        <v>1740900</v>
      </c>
      <c r="D79" s="535">
        <v>727195</v>
      </c>
      <c r="E79" s="535">
        <v>426543</v>
      </c>
      <c r="F79" s="535">
        <v>289027</v>
      </c>
      <c r="G79" s="535">
        <v>525504</v>
      </c>
      <c r="H79" s="535">
        <v>397575</v>
      </c>
      <c r="I79" s="535">
        <v>724877</v>
      </c>
      <c r="J79" s="535">
        <v>338990</v>
      </c>
      <c r="K79" s="535">
        <v>392424</v>
      </c>
      <c r="L79" s="347"/>
    </row>
    <row r="80" spans="1:12" x14ac:dyDescent="0.2">
      <c r="A80" s="2137" t="s">
        <v>1795</v>
      </c>
      <c r="B80" s="2138"/>
      <c r="C80" s="467"/>
      <c r="D80" s="467"/>
      <c r="E80" s="467"/>
      <c r="F80" s="467"/>
      <c r="G80" s="467"/>
      <c r="H80" s="467"/>
      <c r="I80" s="467"/>
      <c r="J80" s="467"/>
      <c r="K80" s="467"/>
      <c r="L80" s="347"/>
    </row>
    <row r="81" spans="1:12" ht="13.5" thickBot="1" x14ac:dyDescent="0.25">
      <c r="A81" s="2129" t="s">
        <v>1950</v>
      </c>
      <c r="B81" s="2130"/>
      <c r="C81" s="1687">
        <f>(SUM(C78:C80))</f>
        <v>2195409</v>
      </c>
      <c r="D81" s="1687">
        <f>SUM(D78:D80)</f>
        <v>727586</v>
      </c>
      <c r="E81" s="1687">
        <f t="shared" ref="E81:K81" si="10">SUM(E78:E80)</f>
        <v>449999</v>
      </c>
      <c r="F81" s="1687">
        <f t="shared" si="10"/>
        <v>201243</v>
      </c>
      <c r="G81" s="1687">
        <f t="shared" si="10"/>
        <v>596392</v>
      </c>
      <c r="H81" s="1687">
        <f t="shared" si="10"/>
        <v>515876</v>
      </c>
      <c r="I81" s="1687">
        <f t="shared" si="10"/>
        <v>734236</v>
      </c>
      <c r="J81" s="1687">
        <f t="shared" si="10"/>
        <v>371721</v>
      </c>
      <c r="K81" s="1687">
        <f t="shared" si="10"/>
        <v>390402</v>
      </c>
      <c r="L81" s="347"/>
    </row>
    <row r="82" spans="1:12" ht="0.75" customHeight="1" thickTop="1" thickBot="1" x14ac:dyDescent="0.25">
      <c r="A82" s="536" t="s">
        <v>343</v>
      </c>
      <c r="B82" s="537"/>
      <c r="C82" s="538">
        <f>(C81-C79)</f>
        <v>454509</v>
      </c>
      <c r="D82" s="538">
        <f t="shared" ref="D82:K82" si="11">(D81-D79)</f>
        <v>391</v>
      </c>
      <c r="E82" s="538">
        <f t="shared" si="11"/>
        <v>23456</v>
      </c>
      <c r="F82" s="538">
        <f t="shared" si="11"/>
        <v>-87784</v>
      </c>
      <c r="G82" s="538">
        <f t="shared" si="11"/>
        <v>70888</v>
      </c>
      <c r="H82" s="538">
        <f t="shared" si="11"/>
        <v>118301</v>
      </c>
      <c r="I82" s="538">
        <f t="shared" si="11"/>
        <v>9359</v>
      </c>
      <c r="J82" s="538">
        <f t="shared" si="11"/>
        <v>32731</v>
      </c>
      <c r="K82" s="538">
        <f t="shared" si="11"/>
        <v>-2022</v>
      </c>
    </row>
    <row r="83" spans="1:12" ht="14.25" hidden="1" thickTop="1" thickBot="1" x14ac:dyDescent="0.25">
      <c r="A83" s="539" t="s">
        <v>344</v>
      </c>
      <c r="B83" s="464"/>
      <c r="C83" s="540">
        <f>C82/C81</f>
        <v>0.20702702776566917</v>
      </c>
      <c r="D83" s="540">
        <f t="shared" ref="D83:K83" si="12">D82/D81</f>
        <v>5.3739351774223249E-4</v>
      </c>
      <c r="E83" s="540">
        <f t="shared" si="12"/>
        <v>5.2124560276800617E-2</v>
      </c>
      <c r="F83" s="540">
        <f t="shared" si="12"/>
        <v>-0.43620896130548642</v>
      </c>
      <c r="G83" s="540">
        <f t="shared" si="12"/>
        <v>0.11886142000563388</v>
      </c>
      <c r="H83" s="540">
        <f t="shared" si="12"/>
        <v>0.22932061192999867</v>
      </c>
      <c r="I83" s="540">
        <f t="shared" si="12"/>
        <v>1.2746582842573777E-2</v>
      </c>
      <c r="J83" s="540">
        <f t="shared" si="12"/>
        <v>8.8052598588726494E-2</v>
      </c>
      <c r="K83" s="540">
        <f t="shared" si="12"/>
        <v>-5.1792767455084762E-3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125" activePane="bottomLeft" state="frozen"/>
      <selection pane="bottomLeft" activeCell="C125" sqref="C12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1802</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3129077</v>
      </c>
      <c r="D5" s="481">
        <v>601747</v>
      </c>
      <c r="E5" s="466">
        <v>690121</v>
      </c>
      <c r="F5" s="548">
        <v>240697</v>
      </c>
      <c r="G5" s="466">
        <v>132143</v>
      </c>
      <c r="H5" s="466"/>
      <c r="I5" s="466">
        <v>60177</v>
      </c>
      <c r="J5" s="467">
        <v>448339</v>
      </c>
      <c r="K5" s="466">
        <v>60177</v>
      </c>
    </row>
    <row r="6" spans="1:12" ht="15" x14ac:dyDescent="0.2">
      <c r="A6" s="463" t="s">
        <v>1662</v>
      </c>
      <c r="B6" s="470">
        <v>1130</v>
      </c>
      <c r="C6" s="466">
        <v>60177</v>
      </c>
      <c r="D6" s="466"/>
      <c r="E6" s="475"/>
      <c r="F6" s="475"/>
      <c r="G6" s="468"/>
      <c r="H6" s="468"/>
      <c r="I6" s="468"/>
      <c r="J6" s="468"/>
      <c r="K6" s="468"/>
    </row>
    <row r="7" spans="1:12" x14ac:dyDescent="0.2">
      <c r="A7" s="463" t="s">
        <v>110</v>
      </c>
      <c r="B7" s="549">
        <v>1140</v>
      </c>
      <c r="C7" s="466">
        <v>48138</v>
      </c>
      <c r="D7" s="466"/>
      <c r="E7" s="468"/>
      <c r="F7" s="467"/>
      <c r="G7" s="467"/>
      <c r="H7" s="467"/>
      <c r="I7" s="468"/>
      <c r="J7" s="468"/>
      <c r="K7" s="468"/>
    </row>
    <row r="8" spans="1:12" x14ac:dyDescent="0.2">
      <c r="A8" s="463" t="s">
        <v>413</v>
      </c>
      <c r="B8" s="470">
        <v>1150</v>
      </c>
      <c r="C8" s="475"/>
      <c r="D8" s="475"/>
      <c r="E8" s="477"/>
      <c r="F8" s="477"/>
      <c r="G8" s="481">
        <v>157139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3237392</v>
      </c>
      <c r="D12" s="1706">
        <f t="shared" si="0"/>
        <v>601747</v>
      </c>
      <c r="E12" s="1706">
        <f t="shared" si="0"/>
        <v>690121</v>
      </c>
      <c r="F12" s="1706">
        <f t="shared" si="0"/>
        <v>240697</v>
      </c>
      <c r="G12" s="1706">
        <f t="shared" si="0"/>
        <v>289282</v>
      </c>
      <c r="H12" s="1706">
        <f t="shared" si="0"/>
        <v>0</v>
      </c>
      <c r="I12" s="1706">
        <f t="shared" si="0"/>
        <v>60177</v>
      </c>
      <c r="J12" s="1706">
        <f t="shared" si="0"/>
        <v>448339</v>
      </c>
      <c r="K12" s="1687">
        <f t="shared" si="0"/>
        <v>60177</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229906</v>
      </c>
      <c r="D16" s="466"/>
      <c r="E16" s="466"/>
      <c r="F16" s="466"/>
      <c r="G16" s="466">
        <v>24456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229906</v>
      </c>
      <c r="D18" s="1709">
        <f t="shared" ref="D18:K18" si="1">SUM(D14:D17)</f>
        <v>0</v>
      </c>
      <c r="E18" s="1709">
        <f t="shared" si="1"/>
        <v>0</v>
      </c>
      <c r="F18" s="1709">
        <f t="shared" si="1"/>
        <v>0</v>
      </c>
      <c r="G18" s="1709">
        <f t="shared" si="1"/>
        <v>24456</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19789</v>
      </c>
      <c r="D65" s="466">
        <v>8228</v>
      </c>
      <c r="E65" s="466">
        <v>4681</v>
      </c>
      <c r="F65" s="467">
        <v>2154</v>
      </c>
      <c r="G65" s="466">
        <v>6929</v>
      </c>
      <c r="H65" s="466">
        <v>4914</v>
      </c>
      <c r="I65" s="466">
        <v>9182</v>
      </c>
      <c r="J65" s="467">
        <v>5594</v>
      </c>
      <c r="K65" s="466">
        <v>4711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19789</v>
      </c>
      <c r="D67" s="1687">
        <f t="shared" ref="D67:K67" si="2">SUM(D65:D66)</f>
        <v>8228</v>
      </c>
      <c r="E67" s="1687">
        <f t="shared" si="2"/>
        <v>4681</v>
      </c>
      <c r="F67" s="1687">
        <f t="shared" si="2"/>
        <v>2154</v>
      </c>
      <c r="G67" s="1687">
        <f t="shared" si="2"/>
        <v>6929</v>
      </c>
      <c r="H67" s="1687">
        <f t="shared" si="2"/>
        <v>4914</v>
      </c>
      <c r="I67" s="1687">
        <f t="shared" si="2"/>
        <v>9182</v>
      </c>
      <c r="J67" s="1687">
        <f t="shared" si="2"/>
        <v>5594</v>
      </c>
      <c r="K67" s="1687">
        <f t="shared" si="2"/>
        <v>4711</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230119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1535</v>
      </c>
      <c r="D73" s="468"/>
      <c r="E73" s="468"/>
      <c r="F73" s="468"/>
      <c r="G73" s="468"/>
      <c r="H73" s="468"/>
      <c r="I73" s="468"/>
      <c r="J73" s="468"/>
      <c r="K73" s="468"/>
    </row>
    <row r="74" spans="1:11" ht="12.75" customHeight="1" x14ac:dyDescent="0.2">
      <c r="A74" s="463" t="s">
        <v>25</v>
      </c>
      <c r="B74" s="470">
        <v>1690</v>
      </c>
      <c r="C74" s="551">
        <v>5584</v>
      </c>
      <c r="D74" s="468"/>
      <c r="E74" s="468"/>
      <c r="F74" s="468"/>
      <c r="G74" s="468"/>
      <c r="H74" s="468"/>
      <c r="I74" s="468"/>
      <c r="J74" s="468"/>
      <c r="K74" s="468"/>
    </row>
    <row r="75" spans="1:11" ht="12.75" customHeight="1" thickBot="1" x14ac:dyDescent="0.25">
      <c r="A75" s="1707" t="s">
        <v>548</v>
      </c>
      <c r="B75" s="1708"/>
      <c r="C75" s="1687">
        <f>SUM(C69:C74)</f>
        <v>237238</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26157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38660</v>
      </c>
      <c r="D79" s="466"/>
      <c r="E79" s="468"/>
      <c r="F79" s="468"/>
      <c r="G79" s="468"/>
      <c r="H79" s="468"/>
      <c r="I79" s="468"/>
      <c r="J79" s="468"/>
      <c r="K79" s="468"/>
    </row>
    <row r="80" spans="1:11" ht="12.75" customHeight="1" x14ac:dyDescent="0.2">
      <c r="A80" s="463" t="s">
        <v>551</v>
      </c>
      <c r="B80" s="470">
        <v>1730</v>
      </c>
      <c r="C80" s="551">
        <v>4864</v>
      </c>
      <c r="D80" s="466"/>
      <c r="E80" s="468"/>
      <c r="F80" s="468"/>
      <c r="G80" s="468"/>
      <c r="H80" s="468"/>
      <c r="I80" s="468"/>
      <c r="J80" s="468"/>
      <c r="K80" s="468"/>
    </row>
    <row r="81" spans="1:11" ht="12.75" customHeight="1" x14ac:dyDescent="0.2">
      <c r="A81" s="463" t="s">
        <v>26</v>
      </c>
      <c r="B81" s="470">
        <v>1790</v>
      </c>
      <c r="C81" s="551">
        <v>35056</v>
      </c>
      <c r="D81" s="466"/>
      <c r="E81" s="468"/>
      <c r="F81" s="468"/>
      <c r="G81" s="468"/>
      <c r="H81" s="468"/>
      <c r="I81" s="468"/>
      <c r="J81" s="468"/>
      <c r="K81" s="468"/>
    </row>
    <row r="82" spans="1:11" ht="12.75" customHeight="1" thickBot="1" x14ac:dyDescent="0.25">
      <c r="A82" s="1707" t="s">
        <v>241</v>
      </c>
      <c r="B82" s="1708"/>
      <c r="C82" s="1706">
        <f>SUM(C77:C81)</f>
        <v>104737</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30735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30735</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1845</v>
      </c>
      <c r="E95" s="521"/>
      <c r="F95" s="521"/>
      <c r="G95" s="521"/>
      <c r="H95" s="521"/>
      <c r="I95" s="521"/>
      <c r="J95" s="521"/>
      <c r="K95" s="521"/>
    </row>
    <row r="96" spans="1:11" ht="12.75" customHeight="1" x14ac:dyDescent="0.2">
      <c r="A96" s="463" t="s">
        <v>391</v>
      </c>
      <c r="B96" s="470">
        <v>1920</v>
      </c>
      <c r="C96" s="551">
        <v>130625</v>
      </c>
      <c r="D96" s="551"/>
      <c r="E96" s="479"/>
      <c r="F96" s="478"/>
      <c r="G96" s="478"/>
      <c r="H96" s="478">
        <v>8750</v>
      </c>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6422</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482315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48992</v>
      </c>
      <c r="D107" s="466">
        <v>686</v>
      </c>
      <c r="E107" s="466"/>
      <c r="F107" s="466">
        <v>3159</v>
      </c>
      <c r="G107" s="466"/>
      <c r="H107" s="466"/>
      <c r="I107" s="466"/>
      <c r="J107" s="467"/>
      <c r="K107" s="466"/>
    </row>
    <row r="108" spans="1:12" ht="12.75" customHeight="1" thickBot="1" x14ac:dyDescent="0.25">
      <c r="A108" s="1707" t="s">
        <v>487</v>
      </c>
      <c r="B108" s="1711"/>
      <c r="C108" s="1706">
        <f>SUM(C95:C107)</f>
        <v>186039</v>
      </c>
      <c r="D108" s="1706">
        <f t="shared" ref="D108:K108" si="3">SUM(D95:D107)</f>
        <v>2531</v>
      </c>
      <c r="E108" s="1706">
        <f t="shared" si="3"/>
        <v>0</v>
      </c>
      <c r="F108" s="1706">
        <f t="shared" si="3"/>
        <v>3159</v>
      </c>
      <c r="G108" s="1706">
        <f t="shared" si="3"/>
        <v>0</v>
      </c>
      <c r="H108" s="1706">
        <f t="shared" si="3"/>
        <v>491065</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4045836</v>
      </c>
      <c r="D109" s="1714">
        <f t="shared" si="4"/>
        <v>612506</v>
      </c>
      <c r="E109" s="1714">
        <f t="shared" si="4"/>
        <v>694802</v>
      </c>
      <c r="F109" s="1714">
        <f t="shared" si="4"/>
        <v>246010</v>
      </c>
      <c r="G109" s="1714">
        <f t="shared" si="4"/>
        <v>320667</v>
      </c>
      <c r="H109" s="1714">
        <f t="shared" si="4"/>
        <v>495979</v>
      </c>
      <c r="I109" s="1714">
        <f t="shared" si="4"/>
        <v>69359</v>
      </c>
      <c r="J109" s="1714">
        <f t="shared" si="4"/>
        <v>453933</v>
      </c>
      <c r="K109" s="1701">
        <f t="shared" si="4"/>
        <v>64888</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2631598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2631598</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39393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39393</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17898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17898</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2590</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13930</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39731</v>
      </c>
      <c r="G152" s="467"/>
      <c r="H152" s="468"/>
      <c r="I152" s="468"/>
      <c r="J152" s="468"/>
      <c r="K152" s="468"/>
    </row>
    <row r="153" spans="1:11" ht="12.75" customHeight="1" x14ac:dyDescent="0.2">
      <c r="A153" s="463" t="s">
        <v>1057</v>
      </c>
      <c r="B153" s="562">
        <v>3510</v>
      </c>
      <c r="C153" s="551"/>
      <c r="D153" s="466"/>
      <c r="E153" s="561"/>
      <c r="F153" s="466">
        <v>103080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142811</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v>44718</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2297</v>
      </c>
      <c r="D168" s="580"/>
      <c r="E168" s="580"/>
      <c r="F168" s="580"/>
      <c r="G168" s="581"/>
      <c r="H168" s="582"/>
      <c r="I168" s="581"/>
      <c r="J168" s="581"/>
      <c r="K168" s="582"/>
    </row>
    <row r="169" spans="1:11" ht="12.75" customHeight="1" thickTop="1" thickBot="1" x14ac:dyDescent="0.25">
      <c r="A169" s="2153" t="s">
        <v>398</v>
      </c>
      <c r="B169" s="2154"/>
      <c r="C169" s="1721">
        <f t="shared" ref="C169:K169" si="6">SUM(C132,C141,C145,C146:C150,C155,C156:C167,C168)</f>
        <v>120826</v>
      </c>
      <c r="D169" s="1721">
        <f t="shared" si="6"/>
        <v>0</v>
      </c>
      <c r="E169" s="1721">
        <f t="shared" si="6"/>
        <v>0</v>
      </c>
      <c r="F169" s="1721">
        <f t="shared" si="6"/>
        <v>142811</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2752424</v>
      </c>
      <c r="D170" s="1714">
        <f t="shared" si="7"/>
        <v>0</v>
      </c>
      <c r="E170" s="1714">
        <f t="shared" si="7"/>
        <v>0</v>
      </c>
      <c r="F170" s="1714">
        <f t="shared" si="7"/>
        <v>142811</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5" t="s">
        <v>1492</v>
      </c>
      <c r="B172" s="215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9" t="s">
        <v>1665</v>
      </c>
      <c r="B175" s="2160"/>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3" t="s">
        <v>1664</v>
      </c>
      <c r="B176" s="216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1" t="s">
        <v>785</v>
      </c>
      <c r="B181" s="2162"/>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7" t="s">
        <v>1803</v>
      </c>
      <c r="B182" s="2158"/>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142407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26081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168488</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94894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94894</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9977</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9977</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146193</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146193</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19242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9712</v>
      </c>
      <c r="D263" s="576"/>
      <c r="E263" s="468"/>
      <c r="F263" s="576"/>
      <c r="G263" s="576"/>
      <c r="H263" s="468"/>
      <c r="I263" s="468"/>
      <c r="J263" s="468"/>
      <c r="K263" s="468"/>
    </row>
    <row r="264" spans="1:11" ht="12.75" customHeight="1" thickTop="1" thickBot="1" x14ac:dyDescent="0.25">
      <c r="A264" s="463" t="s">
        <v>377</v>
      </c>
      <c r="B264" s="470">
        <v>4992</v>
      </c>
      <c r="C264" s="575">
        <v>4422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452928</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452928</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7251188</v>
      </c>
      <c r="D268" s="1714">
        <f t="shared" si="12"/>
        <v>612506</v>
      </c>
      <c r="E268" s="1714">
        <f t="shared" si="12"/>
        <v>694802</v>
      </c>
      <c r="F268" s="1714">
        <f t="shared" si="12"/>
        <v>388821</v>
      </c>
      <c r="G268" s="1714">
        <f t="shared" si="12"/>
        <v>320667</v>
      </c>
      <c r="H268" s="1714">
        <f t="shared" si="12"/>
        <v>495979</v>
      </c>
      <c r="I268" s="1714">
        <f t="shared" si="12"/>
        <v>69359</v>
      </c>
      <c r="J268" s="1714">
        <f t="shared" si="12"/>
        <v>453933</v>
      </c>
      <c r="K268" s="1701">
        <f t="shared" si="12"/>
        <v>64888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colorId="8" zoomScaleNormal="100" workbookViewId="0">
      <pane ySplit="2" topLeftCell="A312" activePane="bottomLeft" state="frozen"/>
      <selection pane="bottomLeft" activeCell="E323" sqref="E32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2467439</v>
      </c>
      <c r="D5" s="466">
        <v>641677</v>
      </c>
      <c r="E5" s="466">
        <v>9146</v>
      </c>
      <c r="F5" s="466">
        <v>102684</v>
      </c>
      <c r="G5" s="466">
        <v>46303</v>
      </c>
      <c r="H5" s="466"/>
      <c r="I5" s="467"/>
      <c r="J5" s="467"/>
      <c r="K5" s="1670">
        <f>SUM(C5:J5)</f>
        <v>3267249</v>
      </c>
      <c r="L5" s="466">
        <v>3257035</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v>52237</v>
      </c>
      <c r="D7" s="467">
        <v>10922</v>
      </c>
      <c r="E7" s="467">
        <v>16947</v>
      </c>
      <c r="F7" s="467">
        <v>15</v>
      </c>
      <c r="G7" s="467">
        <v>7969</v>
      </c>
      <c r="H7" s="467"/>
      <c r="I7" s="467"/>
      <c r="J7" s="467"/>
      <c r="K7" s="1670">
        <f t="shared" ref="K7:K32" si="0">SUM(C7:J7)</f>
        <v>88090</v>
      </c>
      <c r="L7" s="466">
        <v>76527</v>
      </c>
    </row>
    <row r="8" spans="1:14" x14ac:dyDescent="0.2">
      <c r="A8" s="1503" t="s">
        <v>164</v>
      </c>
      <c r="B8" s="614">
        <v>1200</v>
      </c>
      <c r="C8" s="466">
        <v>608369</v>
      </c>
      <c r="D8" s="466">
        <v>115965</v>
      </c>
      <c r="E8" s="466">
        <v>1526</v>
      </c>
      <c r="F8" s="466">
        <v>1268</v>
      </c>
      <c r="G8" s="466"/>
      <c r="H8" s="466"/>
      <c r="I8" s="467"/>
      <c r="J8" s="467"/>
      <c r="K8" s="1670">
        <f t="shared" si="0"/>
        <v>727128</v>
      </c>
      <c r="L8" s="466">
        <v>754740</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v>36148</v>
      </c>
      <c r="D10" s="466">
        <v>11691</v>
      </c>
      <c r="E10" s="466">
        <v>17180</v>
      </c>
      <c r="F10" s="466">
        <v>5618</v>
      </c>
      <c r="G10" s="466">
        <v>1829</v>
      </c>
      <c r="H10" s="466"/>
      <c r="I10" s="467"/>
      <c r="J10" s="467"/>
      <c r="K10" s="1670">
        <f t="shared" si="0"/>
        <v>72466</v>
      </c>
      <c r="L10" s="466">
        <v>40000</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v>211070</v>
      </c>
      <c r="D13" s="466">
        <v>51949</v>
      </c>
      <c r="E13" s="466">
        <v>36</v>
      </c>
      <c r="F13" s="466">
        <v>9394</v>
      </c>
      <c r="G13" s="466"/>
      <c r="H13" s="466"/>
      <c r="I13" s="467"/>
      <c r="J13" s="467"/>
      <c r="K13" s="1670">
        <f t="shared" si="0"/>
        <v>272449</v>
      </c>
      <c r="L13" s="466">
        <v>265988</v>
      </c>
    </row>
    <row r="14" spans="1:14" x14ac:dyDescent="0.2">
      <c r="A14" s="1503" t="s">
        <v>963</v>
      </c>
      <c r="B14" s="614">
        <v>1500</v>
      </c>
      <c r="C14" s="466">
        <v>143728</v>
      </c>
      <c r="D14" s="466">
        <v>10269</v>
      </c>
      <c r="E14" s="466">
        <v>23127</v>
      </c>
      <c r="F14" s="466">
        <v>23328</v>
      </c>
      <c r="G14" s="466"/>
      <c r="H14" s="466">
        <v>9439</v>
      </c>
      <c r="I14" s="467"/>
      <c r="J14" s="467"/>
      <c r="K14" s="1670">
        <f t="shared" si="0"/>
        <v>209891</v>
      </c>
      <c r="L14" s="466">
        <v>210775</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v>28669</v>
      </c>
      <c r="D17" s="467">
        <v>4225</v>
      </c>
      <c r="E17" s="467"/>
      <c r="F17" s="467">
        <v>873</v>
      </c>
      <c r="G17" s="467"/>
      <c r="H17" s="467"/>
      <c r="I17" s="467"/>
      <c r="J17" s="467"/>
      <c r="K17" s="1670">
        <f t="shared" si="0"/>
        <v>33767</v>
      </c>
      <c r="L17" s="466">
        <v>38830</v>
      </c>
    </row>
    <row r="18" spans="1:12" x14ac:dyDescent="0.2">
      <c r="A18" s="1503" t="s">
        <v>1087</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v>51836</v>
      </c>
      <c r="I21" s="616"/>
      <c r="J21" s="477"/>
      <c r="K21" s="1670">
        <f t="shared" si="0"/>
        <v>51836</v>
      </c>
      <c r="L21" s="471"/>
    </row>
    <row r="22" spans="1:12" x14ac:dyDescent="0.2">
      <c r="A22" s="1504" t="s">
        <v>740</v>
      </c>
      <c r="B22" s="602" t="s">
        <v>727</v>
      </c>
      <c r="C22" s="477"/>
      <c r="D22" s="477"/>
      <c r="E22" s="477"/>
      <c r="F22" s="477"/>
      <c r="G22" s="477"/>
      <c r="H22" s="474"/>
      <c r="I22" s="616"/>
      <c r="J22" s="477"/>
      <c r="K22" s="1670">
        <f t="shared" si="0"/>
        <v>0</v>
      </c>
      <c r="L22" s="471">
        <v>100000</v>
      </c>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3547660</v>
      </c>
      <c r="D33" s="1669">
        <f t="shared" ref="D33:L33" si="1">SUM(D5:D32)</f>
        <v>846698</v>
      </c>
      <c r="E33" s="1669">
        <f t="shared" si="1"/>
        <v>67962</v>
      </c>
      <c r="F33" s="1669">
        <f t="shared" si="1"/>
        <v>143180</v>
      </c>
      <c r="G33" s="1669">
        <f t="shared" si="1"/>
        <v>56101</v>
      </c>
      <c r="H33" s="1669">
        <f t="shared" si="1"/>
        <v>61275</v>
      </c>
      <c r="I33" s="1669">
        <f t="shared" si="1"/>
        <v>0</v>
      </c>
      <c r="J33" s="1669">
        <f t="shared" si="1"/>
        <v>0</v>
      </c>
      <c r="K33" s="1669">
        <f t="shared" si="1"/>
        <v>4722876</v>
      </c>
      <c r="L33" s="1669">
        <f t="shared" si="1"/>
        <v>4743895</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70">
        <f t="shared" ref="K36:K41" si="2">SUM(C36:J36)</f>
        <v>0</v>
      </c>
      <c r="L36" s="466"/>
    </row>
    <row r="37" spans="1:14" x14ac:dyDescent="0.2">
      <c r="A37" s="1503" t="s">
        <v>1090</v>
      </c>
      <c r="B37" s="614">
        <v>2120</v>
      </c>
      <c r="C37" s="466">
        <v>125911</v>
      </c>
      <c r="D37" s="466">
        <v>33804</v>
      </c>
      <c r="E37" s="466">
        <v>88</v>
      </c>
      <c r="F37" s="466">
        <v>2194</v>
      </c>
      <c r="G37" s="466"/>
      <c r="H37" s="466"/>
      <c r="I37" s="467"/>
      <c r="J37" s="467"/>
      <c r="K37" s="1670">
        <f t="shared" si="2"/>
        <v>161997</v>
      </c>
      <c r="L37" s="466">
        <v>161920</v>
      </c>
    </row>
    <row r="38" spans="1:14" x14ac:dyDescent="0.2">
      <c r="A38" s="1503" t="s">
        <v>198</v>
      </c>
      <c r="B38" s="614">
        <v>2130</v>
      </c>
      <c r="C38" s="466">
        <v>18789</v>
      </c>
      <c r="D38" s="466">
        <v>20</v>
      </c>
      <c r="E38" s="466">
        <v>4635</v>
      </c>
      <c r="F38" s="466">
        <v>895</v>
      </c>
      <c r="G38" s="466"/>
      <c r="H38" s="466"/>
      <c r="I38" s="467"/>
      <c r="J38" s="467"/>
      <c r="K38" s="1670">
        <f t="shared" si="2"/>
        <v>24339</v>
      </c>
      <c r="L38" s="466">
        <v>25130</v>
      </c>
    </row>
    <row r="39" spans="1:14" x14ac:dyDescent="0.2">
      <c r="A39" s="1503" t="s">
        <v>199</v>
      </c>
      <c r="B39" s="614">
        <v>2140</v>
      </c>
      <c r="C39" s="466"/>
      <c r="D39" s="466"/>
      <c r="E39" s="466"/>
      <c r="F39" s="466"/>
      <c r="G39" s="466"/>
      <c r="H39" s="466"/>
      <c r="I39" s="467"/>
      <c r="J39" s="467"/>
      <c r="K39" s="1670">
        <f t="shared" si="2"/>
        <v>0</v>
      </c>
      <c r="L39" s="466"/>
    </row>
    <row r="40" spans="1:14" x14ac:dyDescent="0.2">
      <c r="A40" s="1503" t="s">
        <v>200</v>
      </c>
      <c r="B40" s="614">
        <v>2150</v>
      </c>
      <c r="C40" s="466">
        <v>33333</v>
      </c>
      <c r="D40" s="466">
        <v>10820</v>
      </c>
      <c r="E40" s="466">
        <v>40</v>
      </c>
      <c r="F40" s="466">
        <v>1224</v>
      </c>
      <c r="G40" s="466"/>
      <c r="H40" s="466"/>
      <c r="I40" s="467"/>
      <c r="J40" s="467"/>
      <c r="K40" s="1670">
        <f t="shared" si="2"/>
        <v>45417</v>
      </c>
      <c r="L40" s="466">
        <v>53660</v>
      </c>
    </row>
    <row r="41" spans="1:14" x14ac:dyDescent="0.2">
      <c r="A41" s="1503" t="s">
        <v>1669</v>
      </c>
      <c r="B41" s="614">
        <v>2190</v>
      </c>
      <c r="C41" s="466">
        <v>7422</v>
      </c>
      <c r="D41" s="466">
        <v>842</v>
      </c>
      <c r="E41" s="466"/>
      <c r="F41" s="466"/>
      <c r="G41" s="466"/>
      <c r="H41" s="466"/>
      <c r="I41" s="467"/>
      <c r="J41" s="467"/>
      <c r="K41" s="1670">
        <f t="shared" si="2"/>
        <v>8264</v>
      </c>
      <c r="L41" s="466">
        <v>7985</v>
      </c>
    </row>
    <row r="42" spans="1:14" ht="12.75" customHeight="1" thickBot="1" x14ac:dyDescent="0.25">
      <c r="A42" s="1667" t="s">
        <v>560</v>
      </c>
      <c r="B42" s="1668" t="s">
        <v>716</v>
      </c>
      <c r="C42" s="1669">
        <f>SUM(C36:C41)</f>
        <v>185455</v>
      </c>
      <c r="D42" s="1669">
        <f t="shared" ref="D42:L42" si="3">SUM(D36:D41)</f>
        <v>45486</v>
      </c>
      <c r="E42" s="1669">
        <f t="shared" si="3"/>
        <v>4763</v>
      </c>
      <c r="F42" s="1669">
        <f t="shared" si="3"/>
        <v>4313</v>
      </c>
      <c r="G42" s="1669">
        <f t="shared" si="3"/>
        <v>0</v>
      </c>
      <c r="H42" s="1669">
        <f t="shared" si="3"/>
        <v>0</v>
      </c>
      <c r="I42" s="1669">
        <f t="shared" si="3"/>
        <v>0</v>
      </c>
      <c r="J42" s="1669">
        <f t="shared" si="3"/>
        <v>0</v>
      </c>
      <c r="K42" s="1669">
        <f t="shared" si="3"/>
        <v>240017</v>
      </c>
      <c r="L42" s="1669">
        <f t="shared" si="3"/>
        <v>248695</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c r="D44" s="481"/>
      <c r="E44" s="481">
        <v>29209</v>
      </c>
      <c r="F44" s="481">
        <v>15571</v>
      </c>
      <c r="G44" s="481"/>
      <c r="H44" s="481"/>
      <c r="I44" s="467"/>
      <c r="J44" s="467"/>
      <c r="K44" s="1671">
        <f>SUM(C44:J44)</f>
        <v>44780</v>
      </c>
      <c r="L44" s="481">
        <v>18849</v>
      </c>
    </row>
    <row r="45" spans="1:14" x14ac:dyDescent="0.2">
      <c r="A45" s="1503" t="s">
        <v>815</v>
      </c>
      <c r="B45" s="614">
        <v>2220</v>
      </c>
      <c r="C45" s="466">
        <v>109464</v>
      </c>
      <c r="D45" s="466">
        <v>31546</v>
      </c>
      <c r="E45" s="466"/>
      <c r="F45" s="466">
        <v>37418</v>
      </c>
      <c r="G45" s="466"/>
      <c r="H45" s="466"/>
      <c r="I45" s="467"/>
      <c r="J45" s="467"/>
      <c r="K45" s="1671">
        <f>SUM(C45:J45)</f>
        <v>178428</v>
      </c>
      <c r="L45" s="466">
        <v>186050</v>
      </c>
    </row>
    <row r="46" spans="1:14" x14ac:dyDescent="0.2">
      <c r="A46" s="1503"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109464</v>
      </c>
      <c r="D47" s="1669">
        <f t="shared" ref="D47:K47" si="4">SUM(D44:D46)</f>
        <v>31546</v>
      </c>
      <c r="E47" s="1669">
        <f t="shared" si="4"/>
        <v>29209</v>
      </c>
      <c r="F47" s="1669">
        <f t="shared" si="4"/>
        <v>52989</v>
      </c>
      <c r="G47" s="1669">
        <f t="shared" si="4"/>
        <v>0</v>
      </c>
      <c r="H47" s="1669">
        <f t="shared" si="4"/>
        <v>0</v>
      </c>
      <c r="I47" s="1669">
        <f t="shared" si="4"/>
        <v>0</v>
      </c>
      <c r="J47" s="1669">
        <f t="shared" si="4"/>
        <v>0</v>
      </c>
      <c r="K47" s="1669">
        <f t="shared" si="4"/>
        <v>223208</v>
      </c>
      <c r="L47" s="1669">
        <f>SUM(L44:L46)</f>
        <v>204899</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c r="D49" s="481"/>
      <c r="E49" s="481">
        <v>37296</v>
      </c>
      <c r="F49" s="481"/>
      <c r="G49" s="481"/>
      <c r="H49" s="481">
        <v>34314</v>
      </c>
      <c r="I49" s="467"/>
      <c r="J49" s="467"/>
      <c r="K49" s="1671">
        <f>SUM(C49:J49)</f>
        <v>71610</v>
      </c>
      <c r="L49" s="481">
        <v>84450</v>
      </c>
    </row>
    <row r="50" spans="1:14" x14ac:dyDescent="0.2">
      <c r="A50" s="1503" t="s">
        <v>818</v>
      </c>
      <c r="B50" s="614">
        <v>2320</v>
      </c>
      <c r="C50" s="466">
        <v>124936</v>
      </c>
      <c r="D50" s="466">
        <v>47782</v>
      </c>
      <c r="E50" s="466">
        <v>4897</v>
      </c>
      <c r="F50" s="466">
        <v>1473</v>
      </c>
      <c r="G50" s="466"/>
      <c r="H50" s="466">
        <v>1423</v>
      </c>
      <c r="I50" s="467"/>
      <c r="J50" s="467"/>
      <c r="K50" s="1671">
        <f>SUM(C50:J50)</f>
        <v>180511</v>
      </c>
      <c r="L50" s="466">
        <v>184300</v>
      </c>
    </row>
    <row r="51" spans="1:14" x14ac:dyDescent="0.2">
      <c r="A51" s="1503" t="s">
        <v>42</v>
      </c>
      <c r="B51" s="614">
        <v>2330</v>
      </c>
      <c r="C51" s="466"/>
      <c r="D51" s="466"/>
      <c r="E51" s="466"/>
      <c r="F51" s="466"/>
      <c r="G51" s="466"/>
      <c r="H51" s="466"/>
      <c r="I51" s="467"/>
      <c r="J51" s="467"/>
      <c r="K51" s="1671">
        <f>SUM(C51:J51)</f>
        <v>0</v>
      </c>
      <c r="L51" s="466">
        <v>723</v>
      </c>
    </row>
    <row r="52" spans="1:14" ht="22.5" x14ac:dyDescent="0.2">
      <c r="A52" s="1504" t="s">
        <v>298</v>
      </c>
      <c r="B52" s="627" t="s">
        <v>366</v>
      </c>
      <c r="C52" s="474"/>
      <c r="D52" s="474">
        <v>18136</v>
      </c>
      <c r="E52" s="474">
        <v>5229</v>
      </c>
      <c r="F52" s="474"/>
      <c r="G52" s="474"/>
      <c r="H52" s="474"/>
      <c r="I52" s="474"/>
      <c r="J52" s="474"/>
      <c r="K52" s="1671">
        <f>SUM(C52:J52)</f>
        <v>23365</v>
      </c>
      <c r="L52" s="474">
        <v>20000</v>
      </c>
    </row>
    <row r="53" spans="1:14" ht="12.75" customHeight="1" thickBot="1" x14ac:dyDescent="0.25">
      <c r="A53" s="1667" t="s">
        <v>717</v>
      </c>
      <c r="B53" s="1668" t="s">
        <v>33</v>
      </c>
      <c r="C53" s="1669">
        <f>SUM(C49:C52)</f>
        <v>124936</v>
      </c>
      <c r="D53" s="1669">
        <f t="shared" ref="D53:L53" si="5">SUM(D49:D52)</f>
        <v>65918</v>
      </c>
      <c r="E53" s="1669">
        <f t="shared" si="5"/>
        <v>47422</v>
      </c>
      <c r="F53" s="1669">
        <f t="shared" si="5"/>
        <v>1473</v>
      </c>
      <c r="G53" s="1669">
        <f t="shared" si="5"/>
        <v>0</v>
      </c>
      <c r="H53" s="1669">
        <f t="shared" si="5"/>
        <v>35737</v>
      </c>
      <c r="I53" s="1669">
        <f t="shared" si="5"/>
        <v>0</v>
      </c>
      <c r="J53" s="1669">
        <f t="shared" si="5"/>
        <v>0</v>
      </c>
      <c r="K53" s="1669">
        <f t="shared" si="5"/>
        <v>275486</v>
      </c>
      <c r="L53" s="1669">
        <f t="shared" si="5"/>
        <v>289473</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391215</v>
      </c>
      <c r="D55" s="481">
        <v>92093</v>
      </c>
      <c r="E55" s="481">
        <v>526</v>
      </c>
      <c r="F55" s="481">
        <v>9424</v>
      </c>
      <c r="G55" s="481"/>
      <c r="H55" s="481">
        <v>1657</v>
      </c>
      <c r="I55" s="467"/>
      <c r="J55" s="467"/>
      <c r="K55" s="1671">
        <f>SUM(C55:J55)</f>
        <v>494915</v>
      </c>
      <c r="L55" s="481">
        <v>495250</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391215</v>
      </c>
      <c r="D57" s="1673">
        <f t="shared" ref="D57:K57" si="6">SUM(D55:D56)</f>
        <v>92093</v>
      </c>
      <c r="E57" s="1673">
        <f t="shared" si="6"/>
        <v>526</v>
      </c>
      <c r="F57" s="1673">
        <f t="shared" si="6"/>
        <v>9424</v>
      </c>
      <c r="G57" s="1673">
        <f t="shared" si="6"/>
        <v>0</v>
      </c>
      <c r="H57" s="1673">
        <f t="shared" si="6"/>
        <v>1657</v>
      </c>
      <c r="I57" s="1673">
        <f t="shared" si="6"/>
        <v>0</v>
      </c>
      <c r="J57" s="1673">
        <f t="shared" si="6"/>
        <v>0</v>
      </c>
      <c r="K57" s="1673">
        <f t="shared" si="6"/>
        <v>494915</v>
      </c>
      <c r="L57" s="1669">
        <f>SUM(L55:L56)</f>
        <v>495250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201</v>
      </c>
      <c r="D59" s="481"/>
      <c r="E59" s="481"/>
      <c r="F59" s="481"/>
      <c r="G59" s="481"/>
      <c r="H59" s="481"/>
      <c r="I59" s="467"/>
      <c r="J59" s="467"/>
      <c r="K59" s="1671">
        <f t="shared" ref="K59:K64" si="7">SUM(C59:J59)</f>
        <v>201</v>
      </c>
      <c r="L59" s="481"/>
      <c r="M59" s="609"/>
      <c r="N59" s="609"/>
    </row>
    <row r="60" spans="1:14" s="343" customFormat="1" x14ac:dyDescent="0.2">
      <c r="A60" s="1503" t="s">
        <v>463</v>
      </c>
      <c r="B60" s="614">
        <v>2520</v>
      </c>
      <c r="C60" s="466">
        <v>50787</v>
      </c>
      <c r="D60" s="466">
        <v>39</v>
      </c>
      <c r="E60" s="466">
        <v>6181</v>
      </c>
      <c r="F60" s="466">
        <v>15594</v>
      </c>
      <c r="G60" s="466"/>
      <c r="H60" s="466"/>
      <c r="I60" s="467"/>
      <c r="J60" s="467"/>
      <c r="K60" s="1671">
        <f t="shared" si="7"/>
        <v>72601</v>
      </c>
      <c r="L60" s="466">
        <v>57060</v>
      </c>
      <c r="M60" s="609"/>
      <c r="N60" s="609"/>
    </row>
    <row r="61" spans="1:14" s="343" customFormat="1" x14ac:dyDescent="0.2">
      <c r="A61" s="1503" t="s">
        <v>197</v>
      </c>
      <c r="B61" s="614">
        <v>2540</v>
      </c>
      <c r="C61" s="466"/>
      <c r="D61" s="466"/>
      <c r="E61" s="466">
        <v>123724</v>
      </c>
      <c r="F61" s="466">
        <v>30379</v>
      </c>
      <c r="G61" s="466">
        <v>38800</v>
      </c>
      <c r="H61" s="466"/>
      <c r="I61" s="467"/>
      <c r="J61" s="467"/>
      <c r="K61" s="1671">
        <f t="shared" si="7"/>
        <v>192903</v>
      </c>
      <c r="L61" s="466">
        <v>157300</v>
      </c>
      <c r="M61" s="609"/>
      <c r="N61" s="609"/>
    </row>
    <row r="62" spans="1:14" s="343" customFormat="1" x14ac:dyDescent="0.2">
      <c r="A62" s="1503" t="s">
        <v>953</v>
      </c>
      <c r="B62" s="614">
        <v>2550</v>
      </c>
      <c r="C62" s="466">
        <v>2</v>
      </c>
      <c r="D62" s="466">
        <v>700</v>
      </c>
      <c r="E62" s="466"/>
      <c r="F62" s="466"/>
      <c r="G62" s="466"/>
      <c r="H62" s="466"/>
      <c r="I62" s="467"/>
      <c r="J62" s="467"/>
      <c r="K62" s="1671">
        <f t="shared" si="7"/>
        <v>702</v>
      </c>
      <c r="L62" s="466"/>
      <c r="M62" s="609"/>
      <c r="N62" s="609"/>
    </row>
    <row r="63" spans="1:14" s="609" customFormat="1" x14ac:dyDescent="0.2">
      <c r="A63" s="1503" t="s">
        <v>100</v>
      </c>
      <c r="B63" s="614">
        <v>2560</v>
      </c>
      <c r="C63" s="466">
        <v>103274</v>
      </c>
      <c r="D63" s="466">
        <v>18133</v>
      </c>
      <c r="E63" s="466">
        <v>6177</v>
      </c>
      <c r="F63" s="466">
        <v>240619</v>
      </c>
      <c r="G63" s="466">
        <v>1296</v>
      </c>
      <c r="H63" s="466"/>
      <c r="I63" s="467"/>
      <c r="J63" s="467"/>
      <c r="K63" s="1671">
        <f t="shared" si="7"/>
        <v>369499</v>
      </c>
      <c r="L63" s="466">
        <v>349350</v>
      </c>
    </row>
    <row r="64" spans="1:14" s="609" customFormat="1" x14ac:dyDescent="0.2">
      <c r="A64" s="1508" t="s">
        <v>101</v>
      </c>
      <c r="B64" s="630">
        <v>2570</v>
      </c>
      <c r="C64" s="481"/>
      <c r="D64" s="481"/>
      <c r="E64" s="481">
        <v>3402</v>
      </c>
      <c r="F64" s="481"/>
      <c r="G64" s="481"/>
      <c r="H64" s="481"/>
      <c r="I64" s="467"/>
      <c r="J64" s="467"/>
      <c r="K64" s="1671">
        <f t="shared" si="7"/>
        <v>3402</v>
      </c>
      <c r="L64" s="481">
        <v>2000</v>
      </c>
    </row>
    <row r="65" spans="1:14" s="343" customFormat="1" ht="12.75" customHeight="1" thickBot="1" x14ac:dyDescent="0.25">
      <c r="A65" s="1667" t="s">
        <v>719</v>
      </c>
      <c r="B65" s="1668" t="s">
        <v>35</v>
      </c>
      <c r="C65" s="1669">
        <f>SUM(C59:C64)</f>
        <v>154264</v>
      </c>
      <c r="D65" s="1669">
        <f t="shared" ref="D65:L65" si="8">SUM(D59:D64)</f>
        <v>18872</v>
      </c>
      <c r="E65" s="1669">
        <f t="shared" si="8"/>
        <v>139484</v>
      </c>
      <c r="F65" s="1669">
        <f t="shared" si="8"/>
        <v>286592</v>
      </c>
      <c r="G65" s="1669">
        <f t="shared" si="8"/>
        <v>40096</v>
      </c>
      <c r="H65" s="1669">
        <f t="shared" si="8"/>
        <v>0</v>
      </c>
      <c r="I65" s="1669">
        <f t="shared" si="8"/>
        <v>0</v>
      </c>
      <c r="J65" s="1669">
        <f t="shared" si="8"/>
        <v>0</v>
      </c>
      <c r="K65" s="1669">
        <f t="shared" si="8"/>
        <v>639308</v>
      </c>
      <c r="L65" s="1669">
        <f t="shared" si="8"/>
        <v>565710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v>63024</v>
      </c>
      <c r="D69" s="466">
        <v>14597</v>
      </c>
      <c r="E69" s="466">
        <v>201</v>
      </c>
      <c r="F69" s="466"/>
      <c r="G69" s="466"/>
      <c r="H69" s="466"/>
      <c r="I69" s="467"/>
      <c r="J69" s="467"/>
      <c r="K69" s="1671">
        <f>SUM(C69:J69)</f>
        <v>77822</v>
      </c>
      <c r="L69" s="466">
        <v>75760</v>
      </c>
      <c r="M69" s="609"/>
      <c r="N69" s="609"/>
    </row>
    <row r="70" spans="1:14" s="343" customFormat="1" x14ac:dyDescent="0.2">
      <c r="A70" s="1503" t="s">
        <v>403</v>
      </c>
      <c r="B70" s="614">
        <v>2640</v>
      </c>
      <c r="C70" s="466"/>
      <c r="D70" s="466"/>
      <c r="E70" s="466">
        <v>1095</v>
      </c>
      <c r="F70" s="466"/>
      <c r="G70" s="466"/>
      <c r="H70" s="466"/>
      <c r="I70" s="467"/>
      <c r="J70" s="467"/>
      <c r="K70" s="1671">
        <f>SUM(C70:J70)</f>
        <v>1095</v>
      </c>
      <c r="L70" s="466">
        <v>1500</v>
      </c>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63024</v>
      </c>
      <c r="D72" s="1669">
        <f t="shared" ref="D72:K72" si="9">SUM(D67:D71)</f>
        <v>14597</v>
      </c>
      <c r="E72" s="1669">
        <f t="shared" si="9"/>
        <v>1296</v>
      </c>
      <c r="F72" s="1669">
        <f t="shared" si="9"/>
        <v>0</v>
      </c>
      <c r="G72" s="1669">
        <f t="shared" si="9"/>
        <v>0</v>
      </c>
      <c r="H72" s="1669">
        <f t="shared" si="9"/>
        <v>0</v>
      </c>
      <c r="I72" s="1669">
        <f t="shared" si="9"/>
        <v>0</v>
      </c>
      <c r="J72" s="1669">
        <f t="shared" si="9"/>
        <v>0</v>
      </c>
      <c r="K72" s="1669">
        <f t="shared" si="9"/>
        <v>78917</v>
      </c>
      <c r="L72" s="1669">
        <f>SUM(L67:L71)</f>
        <v>77260</v>
      </c>
      <c r="M72" s="609"/>
      <c r="N72" s="609"/>
    </row>
    <row r="73" spans="1:14" s="343" customFormat="1" ht="14.25" thickTop="1" thickBot="1" x14ac:dyDescent="0.25">
      <c r="A73" s="1509" t="s">
        <v>980</v>
      </c>
      <c r="B73" s="632" t="s">
        <v>574</v>
      </c>
      <c r="C73" s="573"/>
      <c r="D73" s="573"/>
      <c r="E73" s="573"/>
      <c r="F73" s="573"/>
      <c r="G73" s="573"/>
      <c r="H73" s="573">
        <v>146193</v>
      </c>
      <c r="I73" s="531"/>
      <c r="J73" s="531"/>
      <c r="K73" s="1669">
        <f>SUM(C73:J73)</f>
        <v>146193</v>
      </c>
      <c r="L73" s="576">
        <v>120000</v>
      </c>
      <c r="M73" s="609"/>
      <c r="N73" s="609"/>
    </row>
    <row r="74" spans="1:14" ht="12.75" customHeight="1" thickTop="1" thickBot="1" x14ac:dyDescent="0.25">
      <c r="A74" s="1667" t="s">
        <v>811</v>
      </c>
      <c r="B74" s="1675">
        <v>2000</v>
      </c>
      <c r="C74" s="1676">
        <f>SUM(C42,C47,C53,C57,C65,C72,C73)</f>
        <v>1028358</v>
      </c>
      <c r="D74" s="1676">
        <f t="shared" ref="D74:K74" si="10">SUM(D42,D47,D53,D57,D65,D72,D73)</f>
        <v>268512</v>
      </c>
      <c r="E74" s="1676">
        <f t="shared" si="10"/>
        <v>222700</v>
      </c>
      <c r="F74" s="1676">
        <f t="shared" si="10"/>
        <v>354791</v>
      </c>
      <c r="G74" s="1676">
        <f t="shared" si="10"/>
        <v>40096</v>
      </c>
      <c r="H74" s="1676">
        <f t="shared" si="10"/>
        <v>183587</v>
      </c>
      <c r="I74" s="1676">
        <f t="shared" si="10"/>
        <v>0</v>
      </c>
      <c r="J74" s="1676">
        <f t="shared" si="10"/>
        <v>0</v>
      </c>
      <c r="K74" s="1676">
        <f t="shared" si="10"/>
        <v>2098044</v>
      </c>
      <c r="L74" s="1676">
        <f>SUM(L42,L47,L53,L57,L65,L72,L73)</f>
        <v>2001287</v>
      </c>
    </row>
    <row r="75" spans="1:14" s="259" customFormat="1" ht="15.75" customHeight="1" thickTop="1" thickBot="1" x14ac:dyDescent="0.25">
      <c r="A75" s="1609" t="s">
        <v>47</v>
      </c>
      <c r="B75" s="1610" t="s">
        <v>575</v>
      </c>
      <c r="C75" s="573"/>
      <c r="D75" s="573"/>
      <c r="E75" s="573"/>
      <c r="F75" s="573"/>
      <c r="G75" s="573"/>
      <c r="H75" s="573"/>
      <c r="I75" s="531"/>
      <c r="J75" s="531"/>
      <c r="K75" s="1669">
        <f>SUM(C75:J75)</f>
        <v>0</v>
      </c>
      <c r="L75" s="576">
        <v>3414</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c r="F79" s="616"/>
      <c r="G79" s="616"/>
      <c r="H79" s="466"/>
      <c r="I79" s="477"/>
      <c r="J79" s="477"/>
      <c r="K79" s="1670">
        <f t="shared" si="11"/>
        <v>0</v>
      </c>
      <c r="L79" s="466"/>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0</v>
      </c>
      <c r="F84" s="616"/>
      <c r="G84" s="616"/>
      <c r="H84" s="1669">
        <f>SUM(H78:H83)</f>
        <v>0</v>
      </c>
      <c r="I84" s="477"/>
      <c r="J84" s="477"/>
      <c r="K84" s="1669">
        <f>SUM(K78:K83)</f>
        <v>0</v>
      </c>
      <c r="L84" s="1669">
        <f>SUM(L78:L83)</f>
        <v>0</v>
      </c>
    </row>
    <row r="85" spans="1:12" ht="12.75" customHeight="1" thickTop="1" thickBot="1" x14ac:dyDescent="0.25">
      <c r="A85" s="1510" t="s">
        <v>255</v>
      </c>
      <c r="B85" s="635">
        <v>4210</v>
      </c>
      <c r="C85" s="616"/>
      <c r="D85" s="616"/>
      <c r="E85" s="636"/>
      <c r="F85" s="616"/>
      <c r="G85" s="616"/>
      <c r="H85" s="535">
        <v>750</v>
      </c>
      <c r="I85" s="477"/>
      <c r="J85" s="477"/>
      <c r="K85" s="1676">
        <f>H85</f>
        <v>750</v>
      </c>
      <c r="L85" s="530"/>
    </row>
    <row r="86" spans="1:12" ht="12.75" customHeight="1" thickTop="1" thickBot="1" x14ac:dyDescent="0.25">
      <c r="A86" s="1511" t="s">
        <v>699</v>
      </c>
      <c r="B86" s="637">
        <v>4220</v>
      </c>
      <c r="C86" s="616"/>
      <c r="D86" s="616"/>
      <c r="E86" s="638"/>
      <c r="F86" s="616"/>
      <c r="G86" s="616"/>
      <c r="H86" s="467">
        <v>50439</v>
      </c>
      <c r="I86" s="477"/>
      <c r="J86" s="477"/>
      <c r="K86" s="1676">
        <f t="shared" ref="K86:K98" si="12">H86</f>
        <v>50439</v>
      </c>
      <c r="L86" s="530">
        <v>70000</v>
      </c>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v>4570</v>
      </c>
      <c r="I88" s="477"/>
      <c r="J88" s="477"/>
      <c r="K88" s="1676">
        <f t="shared" si="12"/>
        <v>4570</v>
      </c>
      <c r="L88" s="530">
        <v>12000</v>
      </c>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55759</v>
      </c>
      <c r="I92" s="477"/>
      <c r="J92" s="477"/>
      <c r="K92" s="1676">
        <f t="shared" si="12"/>
        <v>55759</v>
      </c>
      <c r="L92" s="1669">
        <f>SUM(L85:L91)</f>
        <v>82000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0</v>
      </c>
      <c r="F102" s="616"/>
      <c r="G102" s="616"/>
      <c r="H102" s="1676">
        <f>SUM(H84,H92,H100,H101)</f>
        <v>55759</v>
      </c>
      <c r="I102" s="477"/>
      <c r="J102" s="477"/>
      <c r="K102" s="1676">
        <f>SUM(K84,K92,K100,K101)</f>
        <v>55759</v>
      </c>
      <c r="L102" s="1676">
        <f>SUM(L84,L92,L100,L101)</f>
        <v>82000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4576018</v>
      </c>
      <c r="D114" s="1669">
        <f t="shared" ref="D114:K114" si="13">SUM(D33,D74,D75,D102,D112,D113)</f>
        <v>1115210</v>
      </c>
      <c r="E114" s="1669">
        <f t="shared" si="13"/>
        <v>290662</v>
      </c>
      <c r="F114" s="1669">
        <f t="shared" si="13"/>
        <v>497971</v>
      </c>
      <c r="G114" s="1669">
        <f t="shared" si="13"/>
        <v>96197</v>
      </c>
      <c r="H114" s="1669">
        <f>SUM(H33,H74,H75,H102,H112,H113)</f>
        <v>300621</v>
      </c>
      <c r="I114" s="1669">
        <f t="shared" si="13"/>
        <v>0</v>
      </c>
      <c r="J114" s="1669">
        <f t="shared" si="13"/>
        <v>0</v>
      </c>
      <c r="K114" s="1669">
        <f t="shared" si="13"/>
        <v>6876679</v>
      </c>
      <c r="L114" s="1669">
        <f>SUM(L33,L74,L75,L102,L112,L113)</f>
        <v>6830596</v>
      </c>
    </row>
    <row r="115" spans="1:14" ht="13.5" thickTop="1" x14ac:dyDescent="0.2">
      <c r="A115" s="2190" t="s">
        <v>996</v>
      </c>
      <c r="B115" s="2191"/>
      <c r="C115" s="618"/>
      <c r="D115" s="618"/>
      <c r="E115" s="618"/>
      <c r="F115" s="618"/>
      <c r="G115" s="618"/>
      <c r="H115" s="618"/>
      <c r="I115" s="618"/>
      <c r="J115" s="618"/>
      <c r="K115" s="1683">
        <f>'Revenues 9-14'!C268-'Expenditures 15-22'!K114</f>
        <v>374509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221446</v>
      </c>
      <c r="D124" s="466">
        <v>47413</v>
      </c>
      <c r="E124" s="466">
        <v>71046</v>
      </c>
      <c r="F124" s="466">
        <v>214444</v>
      </c>
      <c r="G124" s="466">
        <v>27490</v>
      </c>
      <c r="H124" s="466"/>
      <c r="I124" s="467"/>
      <c r="J124" s="467"/>
      <c r="K124" s="1669">
        <f>SUM(C124:J124)</f>
        <v>581839</v>
      </c>
      <c r="L124" s="466">
        <v>592350</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221446</v>
      </c>
      <c r="D127" s="1669">
        <f t="shared" ref="D127:L127" si="14">SUM(D122:D126)</f>
        <v>47413</v>
      </c>
      <c r="E127" s="1669">
        <f t="shared" si="14"/>
        <v>71046</v>
      </c>
      <c r="F127" s="1669">
        <f t="shared" si="14"/>
        <v>214444</v>
      </c>
      <c r="G127" s="1669">
        <f t="shared" si="14"/>
        <v>27490</v>
      </c>
      <c r="H127" s="1669">
        <f t="shared" si="14"/>
        <v>0</v>
      </c>
      <c r="I127" s="1669">
        <f t="shared" si="14"/>
        <v>0</v>
      </c>
      <c r="J127" s="1669">
        <f t="shared" si="14"/>
        <v>0</v>
      </c>
      <c r="K127" s="1669">
        <f t="shared" si="14"/>
        <v>581839</v>
      </c>
      <c r="L127" s="1669">
        <f t="shared" si="14"/>
        <v>592350</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221446</v>
      </c>
      <c r="D129" s="1676">
        <f t="shared" ref="D129:L129" si="15">SUM(D120,D127,D128)</f>
        <v>47413</v>
      </c>
      <c r="E129" s="1676">
        <f t="shared" si="15"/>
        <v>71046</v>
      </c>
      <c r="F129" s="1676">
        <f t="shared" si="15"/>
        <v>214444</v>
      </c>
      <c r="G129" s="1676">
        <f t="shared" si="15"/>
        <v>27490</v>
      </c>
      <c r="H129" s="1676">
        <f t="shared" si="15"/>
        <v>0</v>
      </c>
      <c r="I129" s="1676">
        <f t="shared" si="15"/>
        <v>0</v>
      </c>
      <c r="J129" s="1676">
        <f t="shared" si="15"/>
        <v>0</v>
      </c>
      <c r="K129" s="1676">
        <f t="shared" si="15"/>
        <v>581839</v>
      </c>
      <c r="L129" s="1676">
        <f t="shared" si="15"/>
        <v>592350</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v>10276</v>
      </c>
      <c r="I135" s="477"/>
      <c r="J135" s="616"/>
      <c r="K135" s="1671">
        <f>SUM(E135,H135)</f>
        <v>10276</v>
      </c>
      <c r="L135" s="466">
        <v>9000</v>
      </c>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10276</v>
      </c>
      <c r="I137" s="477"/>
      <c r="J137" s="616"/>
      <c r="K137" s="1669">
        <f>SUM(K133:K136)</f>
        <v>10276</v>
      </c>
      <c r="L137" s="1669">
        <f>SUM(L133:L136)</f>
        <v>9000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10276</v>
      </c>
      <c r="I139" s="477"/>
      <c r="J139" s="616"/>
      <c r="K139" s="1671">
        <f>SUM(K137,K138)</f>
        <v>10276</v>
      </c>
      <c r="L139" s="1678">
        <f>SUM(L137,L138)</f>
        <v>9000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80" t="s">
        <v>620</v>
      </c>
      <c r="B151" s="2162"/>
      <c r="C151" s="1669">
        <f>SUM(C129,C130,C139,C149,C150)</f>
        <v>221446</v>
      </c>
      <c r="D151" s="1669">
        <f t="shared" ref="D151:K151" si="16">SUM(D129,D130,D139,D149,D150)</f>
        <v>47413</v>
      </c>
      <c r="E151" s="1669">
        <f t="shared" si="16"/>
        <v>71046</v>
      </c>
      <c r="F151" s="1669">
        <f t="shared" si="16"/>
        <v>214444</v>
      </c>
      <c r="G151" s="1669">
        <f t="shared" si="16"/>
        <v>27490</v>
      </c>
      <c r="H151" s="1669">
        <f t="shared" si="16"/>
        <v>10276</v>
      </c>
      <c r="I151" s="1669">
        <f t="shared" si="16"/>
        <v>0</v>
      </c>
      <c r="J151" s="1669">
        <f t="shared" si="16"/>
        <v>0</v>
      </c>
      <c r="K151" s="1669">
        <f t="shared" si="16"/>
        <v>592115</v>
      </c>
      <c r="L151" s="1669">
        <f>SUM(L129,L130,L139,L149,L150)</f>
        <v>601350</v>
      </c>
    </row>
    <row r="152" spans="1:14" ht="12.75" customHeight="1" thickTop="1" x14ac:dyDescent="0.2">
      <c r="A152" s="2183" t="s">
        <v>1178</v>
      </c>
      <c r="B152" s="2184"/>
      <c r="C152" s="618"/>
      <c r="D152" s="618"/>
      <c r="E152" s="618"/>
      <c r="F152" s="618"/>
      <c r="G152" s="618"/>
      <c r="H152" s="618"/>
      <c r="I152" s="618"/>
      <c r="J152" s="616"/>
      <c r="K152" s="1683">
        <f>'Revenues 9-14'!D268-'Expenditures 15-22'!K151</f>
        <v>20391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122346</v>
      </c>
      <c r="I169" s="616"/>
      <c r="J169" s="616"/>
      <c r="K169" s="1670">
        <f>SUM(C169:H169)</f>
        <v>122346</v>
      </c>
      <c r="L169" s="656">
        <v>122346</v>
      </c>
    </row>
    <row r="170" spans="1:14" ht="33.75" customHeight="1" x14ac:dyDescent="0.2">
      <c r="A170" s="669" t="s">
        <v>1670</v>
      </c>
      <c r="B170" s="671" t="s">
        <v>31</v>
      </c>
      <c r="C170" s="616"/>
      <c r="D170" s="616"/>
      <c r="E170" s="616"/>
      <c r="F170" s="616"/>
      <c r="G170" s="616"/>
      <c r="H170" s="569">
        <v>765000</v>
      </c>
      <c r="I170" s="616"/>
      <c r="J170" s="616"/>
      <c r="K170" s="1670">
        <f>SUM(C170:J170)</f>
        <v>765000</v>
      </c>
      <c r="L170" s="569">
        <v>765000</v>
      </c>
    </row>
    <row r="171" spans="1:14" ht="15.75" customHeight="1" x14ac:dyDescent="0.2">
      <c r="A171" s="621" t="s">
        <v>766</v>
      </c>
      <c r="B171" s="672" t="s">
        <v>84</v>
      </c>
      <c r="C171" s="616"/>
      <c r="D171" s="616"/>
      <c r="E171" s="466"/>
      <c r="F171" s="616"/>
      <c r="G171" s="616"/>
      <c r="H171" s="569">
        <v>1000</v>
      </c>
      <c r="I171" s="477"/>
      <c r="J171" s="616"/>
      <c r="K171" s="1670">
        <f>SUM(C171:J171)</f>
        <v>1000</v>
      </c>
      <c r="L171" s="569"/>
    </row>
    <row r="172" spans="1:14" ht="12.75" customHeight="1" thickBot="1" x14ac:dyDescent="0.25">
      <c r="A172" s="1667" t="s">
        <v>638</v>
      </c>
      <c r="B172" s="1668" t="s">
        <v>492</v>
      </c>
      <c r="C172" s="616"/>
      <c r="D172" s="616"/>
      <c r="E172" s="1676">
        <f>SUM(E168,E169,E170,E171)</f>
        <v>0</v>
      </c>
      <c r="F172" s="616"/>
      <c r="G172" s="616"/>
      <c r="H172" s="1676">
        <f>SUM(H168,H169,H170,H171)</f>
        <v>888346</v>
      </c>
      <c r="I172" s="638"/>
      <c r="J172" s="616"/>
      <c r="K172" s="1676">
        <f>SUM(K168,K169,K170,K171)</f>
        <v>888346</v>
      </c>
      <c r="L172" s="1676">
        <f>SUM(L168,L169,L170,L171)</f>
        <v>887346</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888346</v>
      </c>
      <c r="I174" s="638"/>
      <c r="J174" s="616"/>
      <c r="K174" s="1676">
        <f>SUM(K160,K172,K173)</f>
        <v>888346</v>
      </c>
      <c r="L174" s="1676">
        <f>SUM(L160,L172,L173)</f>
        <v>887346</v>
      </c>
    </row>
    <row r="175" spans="1:14" ht="13.5" thickTop="1" x14ac:dyDescent="0.2">
      <c r="A175" s="2190" t="s">
        <v>996</v>
      </c>
      <c r="B175" s="2191"/>
      <c r="C175" s="616"/>
      <c r="D175" s="616"/>
      <c r="E175" s="616"/>
      <c r="F175" s="616"/>
      <c r="G175" s="616"/>
      <c r="H175" s="618"/>
      <c r="I175" s="616"/>
      <c r="J175" s="616"/>
      <c r="K175" s="1683">
        <f>'Revenues 9-14'!E268-'Expenditures 15-22'!K174</f>
        <v>-193544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200424</v>
      </c>
      <c r="D182" s="466">
        <v>27223</v>
      </c>
      <c r="E182" s="466">
        <v>193576</v>
      </c>
      <c r="F182" s="466">
        <v>55382</v>
      </c>
      <c r="G182" s="466"/>
      <c r="H182" s="466"/>
      <c r="I182" s="467"/>
      <c r="J182" s="467"/>
      <c r="K182" s="1670">
        <f>SUM(C182:J182)</f>
        <v>476605</v>
      </c>
      <c r="L182" s="466">
        <v>468931</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200424</v>
      </c>
      <c r="D184" s="1676">
        <f t="shared" ref="D184:J184" si="17">SUM(D180,D182,D183)</f>
        <v>27223</v>
      </c>
      <c r="E184" s="1676">
        <f t="shared" si="17"/>
        <v>193576</v>
      </c>
      <c r="F184" s="1676">
        <f t="shared" si="17"/>
        <v>55382</v>
      </c>
      <c r="G184" s="1676">
        <f t="shared" si="17"/>
        <v>0</v>
      </c>
      <c r="H184" s="1676">
        <f t="shared" si="17"/>
        <v>0</v>
      </c>
      <c r="I184" s="1676">
        <f t="shared" si="17"/>
        <v>0</v>
      </c>
      <c r="J184" s="1676">
        <f t="shared" si="17"/>
        <v>0</v>
      </c>
      <c r="K184" s="1676">
        <f>SUM(K180,K182,K183)</f>
        <v>476605</v>
      </c>
      <c r="L184" s="1676">
        <f>SUM(L180, L182:L183)</f>
        <v>468931</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200424</v>
      </c>
      <c r="D210" s="1669">
        <f>SUM(D184,D185)</f>
        <v>27223</v>
      </c>
      <c r="E210" s="1669">
        <f>SUM(E184,E185,E196)</f>
        <v>193576</v>
      </c>
      <c r="F210" s="1669">
        <f>SUM(F184,F185)</f>
        <v>55382</v>
      </c>
      <c r="G210" s="1669">
        <f>SUM(G184,G185)</f>
        <v>0</v>
      </c>
      <c r="H210" s="1669">
        <f>SUM(H184,H185,H196,H208,H209)</f>
        <v>0</v>
      </c>
      <c r="I210" s="1669">
        <f>SUM(I184,I185)</f>
        <v>0</v>
      </c>
      <c r="J210" s="1669">
        <f>SUM(J184,J185)</f>
        <v>0</v>
      </c>
      <c r="K210" s="1670">
        <f>SUM(K184,K185,K196,K208,K209)</f>
        <v>476605</v>
      </c>
      <c r="L210" s="1669">
        <f>SUM(L184,L185,L196,L208,L209)</f>
        <v>468931</v>
      </c>
    </row>
    <row r="211" spans="1:14" ht="13.5" thickTop="1" x14ac:dyDescent="0.2">
      <c r="A211" s="2190" t="s">
        <v>996</v>
      </c>
      <c r="B211" s="2191"/>
      <c r="C211" s="618"/>
      <c r="D211" s="618"/>
      <c r="E211" s="618"/>
      <c r="F211" s="618"/>
      <c r="G211" s="618"/>
      <c r="H211" s="618"/>
      <c r="I211" s="616"/>
      <c r="J211" s="616"/>
      <c r="K211" s="1683">
        <f>'Revenues 9-14'!F268-'Expenditures 15-22'!K210</f>
        <v>-87784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41989</v>
      </c>
      <c r="E215" s="616"/>
      <c r="F215" s="616"/>
      <c r="G215" s="616"/>
      <c r="H215" s="616"/>
      <c r="I215" s="616"/>
      <c r="J215" s="616"/>
      <c r="K215" s="1670">
        <f>D215</f>
        <v>41989</v>
      </c>
      <c r="L215" s="466">
        <v>44300</v>
      </c>
    </row>
    <row r="216" spans="1:14" x14ac:dyDescent="0.2">
      <c r="A216" s="1503" t="s">
        <v>163</v>
      </c>
      <c r="B216" s="614" t="s">
        <v>967</v>
      </c>
      <c r="C216" s="616"/>
      <c r="D216" s="467">
        <v>2982</v>
      </c>
      <c r="E216" s="616"/>
      <c r="F216" s="616"/>
      <c r="G216" s="616"/>
      <c r="H216" s="616"/>
      <c r="I216" s="616"/>
      <c r="J216" s="616"/>
      <c r="K216" s="1670">
        <f t="shared" ref="K216:K228" si="19">D216</f>
        <v>2982</v>
      </c>
      <c r="L216" s="466">
        <v>5710</v>
      </c>
    </row>
    <row r="217" spans="1:14" x14ac:dyDescent="0.2">
      <c r="A217" s="1503" t="s">
        <v>164</v>
      </c>
      <c r="B217" s="614">
        <v>1200</v>
      </c>
      <c r="C217" s="616"/>
      <c r="D217" s="466">
        <v>36364</v>
      </c>
      <c r="E217" s="616"/>
      <c r="F217" s="616"/>
      <c r="G217" s="616"/>
      <c r="H217" s="616"/>
      <c r="I217" s="616"/>
      <c r="J217" s="616"/>
      <c r="K217" s="1670">
        <f t="shared" si="19"/>
        <v>36364</v>
      </c>
      <c r="L217" s="466">
        <v>38410</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v>458</v>
      </c>
      <c r="E219" s="616"/>
      <c r="F219" s="616"/>
      <c r="G219" s="616"/>
      <c r="H219" s="616"/>
      <c r="I219" s="616"/>
      <c r="J219" s="616"/>
      <c r="K219" s="1670">
        <f t="shared" si="19"/>
        <v>458</v>
      </c>
      <c r="L219" s="466">
        <v>800</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v>3156</v>
      </c>
      <c r="E222" s="616"/>
      <c r="F222" s="616"/>
      <c r="G222" s="616"/>
      <c r="H222" s="616"/>
      <c r="I222" s="616"/>
      <c r="J222" s="616"/>
      <c r="K222" s="1670">
        <f t="shared" si="19"/>
        <v>3156</v>
      </c>
      <c r="L222" s="466">
        <v>3000</v>
      </c>
    </row>
    <row r="223" spans="1:14" x14ac:dyDescent="0.2">
      <c r="A223" s="1503" t="s">
        <v>963</v>
      </c>
      <c r="B223" s="614">
        <v>1500</v>
      </c>
      <c r="C223" s="616"/>
      <c r="D223" s="466">
        <v>6260</v>
      </c>
      <c r="E223" s="616"/>
      <c r="F223" s="616"/>
      <c r="G223" s="616"/>
      <c r="H223" s="616"/>
      <c r="I223" s="616"/>
      <c r="J223" s="616"/>
      <c r="K223" s="1670">
        <f t="shared" si="19"/>
        <v>6260</v>
      </c>
      <c r="L223" s="466">
        <v>8175</v>
      </c>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v>471</v>
      </c>
      <c r="E226" s="616"/>
      <c r="F226" s="616"/>
      <c r="G226" s="616"/>
      <c r="H226" s="616"/>
      <c r="I226" s="616"/>
      <c r="J226" s="616"/>
      <c r="K226" s="1670">
        <f t="shared" si="19"/>
        <v>471</v>
      </c>
      <c r="L226" s="466"/>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91680</v>
      </c>
      <c r="E229" s="616"/>
      <c r="F229" s="616"/>
      <c r="G229" s="616"/>
      <c r="H229" s="616"/>
      <c r="I229" s="616"/>
      <c r="J229" s="616"/>
      <c r="K229" s="1669">
        <f>SUM(K215:K228)</f>
        <v>91680</v>
      </c>
      <c r="L229" s="1669">
        <f>SUM(L215:L228)</f>
        <v>100395</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70">
        <f t="shared" ref="K232:K237" si="20">D232</f>
        <v>0</v>
      </c>
      <c r="L232" s="466"/>
    </row>
    <row r="233" spans="1:12" x14ac:dyDescent="0.2">
      <c r="A233" s="1503" t="s">
        <v>1090</v>
      </c>
      <c r="B233" s="614">
        <v>2120</v>
      </c>
      <c r="C233" s="616"/>
      <c r="D233" s="466">
        <v>3131</v>
      </c>
      <c r="E233" s="616"/>
      <c r="F233" s="616"/>
      <c r="G233" s="616"/>
      <c r="H233" s="616"/>
      <c r="I233" s="616"/>
      <c r="J233" s="616"/>
      <c r="K233" s="1670">
        <f t="shared" si="20"/>
        <v>3131</v>
      </c>
      <c r="L233" s="466">
        <v>3450</v>
      </c>
    </row>
    <row r="234" spans="1:12" x14ac:dyDescent="0.2">
      <c r="A234" s="1503" t="s">
        <v>198</v>
      </c>
      <c r="B234" s="614">
        <v>2130</v>
      </c>
      <c r="C234" s="616"/>
      <c r="D234" s="466">
        <v>4697</v>
      </c>
      <c r="E234" s="616"/>
      <c r="F234" s="616"/>
      <c r="G234" s="616"/>
      <c r="H234" s="616"/>
      <c r="I234" s="616"/>
      <c r="J234" s="616"/>
      <c r="K234" s="1670">
        <f t="shared" si="20"/>
        <v>4697</v>
      </c>
      <c r="L234" s="466">
        <v>4600</v>
      </c>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v>476</v>
      </c>
      <c r="E236" s="616"/>
      <c r="F236" s="616"/>
      <c r="G236" s="616"/>
      <c r="H236" s="616"/>
      <c r="I236" s="616"/>
      <c r="J236" s="616"/>
      <c r="K236" s="1670">
        <f t="shared" si="20"/>
        <v>476</v>
      </c>
      <c r="L236" s="466">
        <v>600</v>
      </c>
    </row>
    <row r="237" spans="1:12" x14ac:dyDescent="0.2">
      <c r="A237" s="1503" t="s">
        <v>165</v>
      </c>
      <c r="B237" s="614">
        <v>2190</v>
      </c>
      <c r="C237" s="616"/>
      <c r="D237" s="466">
        <v>203</v>
      </c>
      <c r="E237" s="616"/>
      <c r="F237" s="616"/>
      <c r="G237" s="616"/>
      <c r="H237" s="616"/>
      <c r="I237" s="616"/>
      <c r="J237" s="616"/>
      <c r="K237" s="1670">
        <f t="shared" si="20"/>
        <v>203</v>
      </c>
      <c r="L237" s="466">
        <v>110</v>
      </c>
    </row>
    <row r="238" spans="1:12" ht="12.75" customHeight="1" thickBot="1" x14ac:dyDescent="0.25">
      <c r="A238" s="1667" t="s">
        <v>560</v>
      </c>
      <c r="B238" s="1674" t="s">
        <v>716</v>
      </c>
      <c r="C238" s="616"/>
      <c r="D238" s="1669">
        <f>SUM(D232:D237)</f>
        <v>8507</v>
      </c>
      <c r="E238" s="616"/>
      <c r="F238" s="616"/>
      <c r="G238" s="616"/>
      <c r="H238" s="616"/>
      <c r="I238" s="616"/>
      <c r="J238" s="616"/>
      <c r="K238" s="1669">
        <f>SUM(K232:K237)</f>
        <v>8507</v>
      </c>
      <c r="L238" s="1669">
        <f>SUM(L232:L237)</f>
        <v>8760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c r="E240" s="616"/>
      <c r="F240" s="616"/>
      <c r="G240" s="616"/>
      <c r="H240" s="616"/>
      <c r="I240" s="616"/>
      <c r="J240" s="616"/>
      <c r="K240" s="1671">
        <f>D240</f>
        <v>0</v>
      </c>
      <c r="L240" s="481"/>
    </row>
    <row r="241" spans="1:12" x14ac:dyDescent="0.2">
      <c r="A241" s="1503" t="s">
        <v>815</v>
      </c>
      <c r="B241" s="614">
        <v>2220</v>
      </c>
      <c r="C241" s="616"/>
      <c r="D241" s="466">
        <v>12701</v>
      </c>
      <c r="E241" s="616"/>
      <c r="F241" s="616"/>
      <c r="G241" s="616"/>
      <c r="H241" s="616"/>
      <c r="I241" s="616"/>
      <c r="J241" s="616"/>
      <c r="K241" s="1671">
        <f>D241</f>
        <v>12701</v>
      </c>
      <c r="L241" s="466">
        <v>14400</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12701</v>
      </c>
      <c r="E243" s="616"/>
      <c r="F243" s="616"/>
      <c r="G243" s="616"/>
      <c r="H243" s="616"/>
      <c r="I243" s="616"/>
      <c r="J243" s="616"/>
      <c r="K243" s="1669">
        <f>SUM(K240:K242)</f>
        <v>12701</v>
      </c>
      <c r="L243" s="1669">
        <f>SUM(L240:L242)</f>
        <v>14400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71">
        <f>D245</f>
        <v>0</v>
      </c>
      <c r="L245" s="481"/>
    </row>
    <row r="246" spans="1:12" x14ac:dyDescent="0.2">
      <c r="A246" s="1503" t="s">
        <v>818</v>
      </c>
      <c r="B246" s="614">
        <v>2320</v>
      </c>
      <c r="C246" s="616"/>
      <c r="D246" s="466">
        <v>8833</v>
      </c>
      <c r="E246" s="616"/>
      <c r="F246" s="616"/>
      <c r="G246" s="616"/>
      <c r="H246" s="616"/>
      <c r="I246" s="616"/>
      <c r="J246" s="616"/>
      <c r="K246" s="1671">
        <f t="shared" ref="K246:K256" si="21">D246</f>
        <v>8833</v>
      </c>
      <c r="L246" s="466">
        <v>9700</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8833</v>
      </c>
      <c r="E257" s="616"/>
      <c r="F257" s="616"/>
      <c r="G257" s="616"/>
      <c r="H257" s="616"/>
      <c r="I257" s="616"/>
      <c r="J257" s="616"/>
      <c r="K257" s="1669">
        <f>SUM(K245:K256)</f>
        <v>8833</v>
      </c>
      <c r="L257" s="1669">
        <f>SUM(L245:L256)</f>
        <v>9700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22330</v>
      </c>
      <c r="E259" s="616"/>
      <c r="F259" s="616"/>
      <c r="G259" s="616"/>
      <c r="H259" s="616"/>
      <c r="I259" s="616"/>
      <c r="J259" s="616"/>
      <c r="K259" s="1671">
        <f>D259</f>
        <v>22330</v>
      </c>
      <c r="L259" s="481">
        <v>22000</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22330</v>
      </c>
      <c r="E261" s="616"/>
      <c r="F261" s="616"/>
      <c r="G261" s="616"/>
      <c r="H261" s="616"/>
      <c r="I261" s="616"/>
      <c r="J261" s="616"/>
      <c r="K261" s="1669">
        <f>SUM(K259:K260)</f>
        <v>22330</v>
      </c>
      <c r="L261" s="1669">
        <f>SUM(L259:L260)</f>
        <v>22000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37</v>
      </c>
      <c r="E263" s="616"/>
      <c r="F263" s="616"/>
      <c r="G263" s="616"/>
      <c r="H263" s="616"/>
      <c r="I263" s="616"/>
      <c r="J263" s="616"/>
      <c r="K263" s="1671">
        <f>D263</f>
        <v>37</v>
      </c>
      <c r="L263" s="481"/>
    </row>
    <row r="264" spans="1:14" x14ac:dyDescent="0.2">
      <c r="A264" s="1503" t="s">
        <v>463</v>
      </c>
      <c r="B264" s="685">
        <v>2520</v>
      </c>
      <c r="C264" s="616"/>
      <c r="D264" s="466">
        <v>8803</v>
      </c>
      <c r="E264" s="616"/>
      <c r="F264" s="616"/>
      <c r="G264" s="616"/>
      <c r="H264" s="616"/>
      <c r="I264" s="616"/>
      <c r="J264" s="616"/>
      <c r="K264" s="1671">
        <f t="shared" ref="K264:K269" si="22">D264</f>
        <v>8803</v>
      </c>
      <c r="L264" s="466">
        <v>8700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45742</v>
      </c>
      <c r="E266" s="616"/>
      <c r="F266" s="616"/>
      <c r="G266" s="616"/>
      <c r="H266" s="616"/>
      <c r="I266" s="616"/>
      <c r="J266" s="616"/>
      <c r="K266" s="1671">
        <f t="shared" si="22"/>
        <v>45742</v>
      </c>
      <c r="L266" s="466">
        <v>50000</v>
      </c>
    </row>
    <row r="267" spans="1:14" x14ac:dyDescent="0.2">
      <c r="A267" s="1503" t="s">
        <v>953</v>
      </c>
      <c r="B267" s="614">
        <v>2550</v>
      </c>
      <c r="C267" s="616"/>
      <c r="D267" s="466">
        <v>34190</v>
      </c>
      <c r="E267" s="616"/>
      <c r="F267" s="616"/>
      <c r="G267" s="616"/>
      <c r="H267" s="616"/>
      <c r="I267" s="616"/>
      <c r="J267" s="616"/>
      <c r="K267" s="1671">
        <f t="shared" si="22"/>
        <v>34190</v>
      </c>
      <c r="L267" s="466">
        <v>37800</v>
      </c>
    </row>
    <row r="268" spans="1:14" x14ac:dyDescent="0.2">
      <c r="A268" s="1503" t="s">
        <v>100</v>
      </c>
      <c r="B268" s="614">
        <v>2560</v>
      </c>
      <c r="C268" s="616"/>
      <c r="D268" s="466">
        <v>15955</v>
      </c>
      <c r="E268" s="616"/>
      <c r="F268" s="616"/>
      <c r="G268" s="616"/>
      <c r="H268" s="616"/>
      <c r="I268" s="616"/>
      <c r="J268" s="616"/>
      <c r="K268" s="1671">
        <f t="shared" si="22"/>
        <v>15955</v>
      </c>
      <c r="L268" s="466">
        <v>19000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104727</v>
      </c>
      <c r="E270" s="616"/>
      <c r="F270" s="616"/>
      <c r="G270" s="616"/>
      <c r="H270" s="616"/>
      <c r="I270" s="616"/>
      <c r="J270" s="616"/>
      <c r="K270" s="1669">
        <f>SUM(K263:K269)</f>
        <v>104727</v>
      </c>
      <c r="L270" s="1669">
        <f>SUM(L263:L269)</f>
        <v>115500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v>1001</v>
      </c>
      <c r="E274" s="616"/>
      <c r="F274" s="616"/>
      <c r="G274" s="616"/>
      <c r="H274" s="616"/>
      <c r="I274" s="616"/>
      <c r="J274" s="616"/>
      <c r="K274" s="1671">
        <f>D274</f>
        <v>1001</v>
      </c>
      <c r="L274" s="466">
        <v>900</v>
      </c>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1001</v>
      </c>
      <c r="E277" s="616"/>
      <c r="F277" s="616"/>
      <c r="G277" s="616"/>
      <c r="H277" s="616"/>
      <c r="I277" s="616"/>
      <c r="J277" s="616"/>
      <c r="K277" s="1669">
        <f>SUM(K272:K276)</f>
        <v>1001</v>
      </c>
      <c r="L277" s="1669">
        <f>SUM(L272:L276)</f>
        <v>900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158099</v>
      </c>
      <c r="E279" s="616"/>
      <c r="F279" s="616"/>
      <c r="G279" s="616"/>
      <c r="H279" s="616"/>
      <c r="I279" s="616"/>
      <c r="J279" s="616"/>
      <c r="K279" s="1676">
        <f>SUM(K238,K243,K257,K261,K270,K277,K278)</f>
        <v>158099</v>
      </c>
      <c r="L279" s="1676">
        <f>SUM(L238,L243,L257,L261,L270,L277,L278)</f>
        <v>171260</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81" t="s">
        <v>505</v>
      </c>
      <c r="B295" s="2182"/>
      <c r="C295" s="616"/>
      <c r="D295" s="1669">
        <f>SUM(D229,D279,D280,D285)</f>
        <v>249779</v>
      </c>
      <c r="E295" s="616"/>
      <c r="F295" s="616"/>
      <c r="G295" s="616"/>
      <c r="H295" s="1669">
        <f>H293</f>
        <v>0</v>
      </c>
      <c r="I295" s="616"/>
      <c r="J295" s="616"/>
      <c r="K295" s="1669">
        <f>SUM(K229,K279,K280,K285,K293,K294)</f>
        <v>249779</v>
      </c>
      <c r="L295" s="1669">
        <f>SUM(L229,L279,L280,L285,L293,L294)</f>
        <v>271655</v>
      </c>
    </row>
    <row r="296" spans="1:14" ht="13.5" thickTop="1" x14ac:dyDescent="0.2">
      <c r="A296" s="2190" t="s">
        <v>996</v>
      </c>
      <c r="B296" s="2191"/>
      <c r="C296" s="616"/>
      <c r="D296" s="618"/>
      <c r="E296" s="616"/>
      <c r="F296" s="616"/>
      <c r="G296" s="616"/>
      <c r="H296" s="687"/>
      <c r="I296" s="616"/>
      <c r="J296" s="616"/>
      <c r="K296" s="1683">
        <f>'Revenues 9-14'!G268-'Expenditures 15-22'!K295</f>
        <v>70888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v>61810</v>
      </c>
      <c r="F301" s="466">
        <v>27599</v>
      </c>
      <c r="G301" s="466">
        <v>71269</v>
      </c>
      <c r="H301" s="466"/>
      <c r="I301" s="467"/>
      <c r="J301" s="467"/>
      <c r="K301" s="1670">
        <f>SUM(C301:J301)</f>
        <v>160678</v>
      </c>
      <c r="L301" s="467">
        <v>160000</v>
      </c>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61810</v>
      </c>
      <c r="F303" s="1676">
        <f t="shared" si="23"/>
        <v>27599</v>
      </c>
      <c r="G303" s="1676">
        <f t="shared" si="23"/>
        <v>71269</v>
      </c>
      <c r="H303" s="1676">
        <f t="shared" si="23"/>
        <v>0</v>
      </c>
      <c r="I303" s="1676">
        <f t="shared" si="23"/>
        <v>0</v>
      </c>
      <c r="J303" s="1676">
        <f t="shared" si="23"/>
        <v>0</v>
      </c>
      <c r="K303" s="1676">
        <f t="shared" si="23"/>
        <v>160678</v>
      </c>
      <c r="L303" s="1676">
        <f t="shared" si="23"/>
        <v>160000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8" t="s">
        <v>277</v>
      </c>
      <c r="B312" s="2179"/>
      <c r="C312" s="1669">
        <f>SUM(C303)</f>
        <v>0</v>
      </c>
      <c r="D312" s="1669">
        <f>SUM(D303)</f>
        <v>0</v>
      </c>
      <c r="E312" s="1669">
        <f>SUM(E303,E310)</f>
        <v>61810</v>
      </c>
      <c r="F312" s="1669">
        <f>SUM(F303)</f>
        <v>27599</v>
      </c>
      <c r="G312" s="1669">
        <f>SUM(G303)</f>
        <v>71269</v>
      </c>
      <c r="H312" s="1669">
        <f>SUM(H303,H310)</f>
        <v>0</v>
      </c>
      <c r="I312" s="1669">
        <f>SUM(I303)</f>
        <v>0</v>
      </c>
      <c r="J312" s="1669">
        <f>SUM(J303)</f>
        <v>0</v>
      </c>
      <c r="K312" s="1669">
        <f>SUM(K303,K310,K311)</f>
        <v>160678</v>
      </c>
      <c r="L312" s="1669">
        <f>SUM(L303,L310,L311)</f>
        <v>160000</v>
      </c>
      <c r="M312" s="665"/>
      <c r="N312" s="665"/>
    </row>
    <row r="313" spans="1:14" ht="13.5" thickTop="1" x14ac:dyDescent="0.2">
      <c r="A313" s="2174" t="s">
        <v>996</v>
      </c>
      <c r="B313" s="2175"/>
      <c r="C313" s="626"/>
      <c r="D313" s="626"/>
      <c r="E313" s="626"/>
      <c r="F313" s="626"/>
      <c r="G313" s="626"/>
      <c r="H313" s="626"/>
      <c r="I313" s="626"/>
      <c r="J313" s="626"/>
      <c r="K313" s="1684">
        <f>'Revenues 9-14'!H268-'Expenditures 15-22'!K312</f>
        <v>335301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v>39330</v>
      </c>
      <c r="F320" s="467"/>
      <c r="G320" s="467"/>
      <c r="H320" s="467"/>
      <c r="I320" s="467"/>
      <c r="J320" s="467"/>
      <c r="K320" s="1670">
        <f t="shared" ref="K320:K327" si="24">SUM(C320:J320)</f>
        <v>39330</v>
      </c>
      <c r="L320" s="467">
        <v>45000</v>
      </c>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284</v>
      </c>
      <c r="C322" s="467"/>
      <c r="D322" s="467"/>
      <c r="E322" s="467">
        <v>4832</v>
      </c>
      <c r="F322" s="467"/>
      <c r="G322" s="467"/>
      <c r="H322" s="467"/>
      <c r="I322" s="467"/>
      <c r="J322" s="467"/>
      <c r="K322" s="1670">
        <f t="shared" si="24"/>
        <v>4832</v>
      </c>
      <c r="L322" s="467">
        <v>6200</v>
      </c>
      <c r="M322" s="665"/>
      <c r="N322" s="665"/>
    </row>
    <row r="323" spans="1:14" s="674" customFormat="1" x14ac:dyDescent="0.2">
      <c r="A323" s="1518" t="s">
        <v>702</v>
      </c>
      <c r="B323" s="697" t="s">
        <v>285</v>
      </c>
      <c r="C323" s="467">
        <v>300000</v>
      </c>
      <c r="D323" s="467"/>
      <c r="E323" s="467">
        <v>60182</v>
      </c>
      <c r="F323" s="467"/>
      <c r="G323" s="467"/>
      <c r="H323" s="467"/>
      <c r="I323" s="467"/>
      <c r="J323" s="467"/>
      <c r="K323" s="1670">
        <f t="shared" si="24"/>
        <v>360182</v>
      </c>
      <c r="L323" s="467">
        <v>340000</v>
      </c>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c r="D325" s="467"/>
      <c r="E325" s="467"/>
      <c r="F325" s="467"/>
      <c r="G325" s="467"/>
      <c r="H325" s="467"/>
      <c r="I325" s="467"/>
      <c r="J325" s="467"/>
      <c r="K325" s="1670">
        <f t="shared" si="24"/>
        <v>0</v>
      </c>
      <c r="L325" s="467">
        <v>500</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v>16858</v>
      </c>
      <c r="F327" s="467"/>
      <c r="G327" s="467"/>
      <c r="H327" s="467"/>
      <c r="I327" s="467"/>
      <c r="J327" s="467"/>
      <c r="K327" s="1670">
        <f t="shared" si="24"/>
        <v>16858</v>
      </c>
      <c r="L327" s="467">
        <v>53000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300000</v>
      </c>
      <c r="D330" s="1669">
        <f t="shared" ref="D330:J330" si="25">SUM(D319:D329)</f>
        <v>0</v>
      </c>
      <c r="E330" s="1669">
        <f t="shared" si="25"/>
        <v>121202</v>
      </c>
      <c r="F330" s="1669">
        <f t="shared" si="25"/>
        <v>0</v>
      </c>
      <c r="G330" s="1669">
        <f t="shared" si="25"/>
        <v>0</v>
      </c>
      <c r="H330" s="1669">
        <f t="shared" si="25"/>
        <v>0</v>
      </c>
      <c r="I330" s="1669">
        <f t="shared" si="25"/>
        <v>0</v>
      </c>
      <c r="J330" s="1669">
        <f t="shared" si="25"/>
        <v>0</v>
      </c>
      <c r="K330" s="1669">
        <f>SUM(K319:K329)</f>
        <v>421202</v>
      </c>
      <c r="L330" s="1669">
        <f>SUM(L319:L329)</f>
        <v>444700</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300000</v>
      </c>
      <c r="D342" s="1669">
        <f>SUM(D330)</f>
        <v>0</v>
      </c>
      <c r="E342" s="1669">
        <f>SUM(E330)</f>
        <v>121202</v>
      </c>
      <c r="F342" s="1669">
        <f>SUM(F330)</f>
        <v>0</v>
      </c>
      <c r="G342" s="1669">
        <f>SUM(G330)</f>
        <v>0</v>
      </c>
      <c r="H342" s="1669">
        <f>SUM(H330,H334,H340)</f>
        <v>0</v>
      </c>
      <c r="I342" s="1669">
        <f>SUM(I330)</f>
        <v>0</v>
      </c>
      <c r="J342" s="1669">
        <f>SUM(J330)</f>
        <v>0</v>
      </c>
      <c r="K342" s="1669">
        <f>SUM(K330,K334,K340)</f>
        <v>421202</v>
      </c>
      <c r="L342" s="1676">
        <f>SUM(L330,L340,L341)</f>
        <v>444700</v>
      </c>
    </row>
    <row r="343" spans="1:14" ht="12.75" customHeight="1" thickTop="1" x14ac:dyDescent="0.2">
      <c r="A343" s="2176" t="s">
        <v>996</v>
      </c>
      <c r="B343" s="2177"/>
      <c r="C343" s="616"/>
      <c r="D343" s="616"/>
      <c r="E343" s="616"/>
      <c r="F343" s="616"/>
      <c r="G343" s="616"/>
      <c r="H343" s="616"/>
      <c r="I343" s="616"/>
      <c r="J343" s="616"/>
      <c r="K343" s="1683">
        <f>'Revenues 9-14'!J268-'Expenditures 15-22'!K342</f>
        <v>32731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v>628</v>
      </c>
      <c r="F349" s="466"/>
      <c r="G349" s="466">
        <v>66282</v>
      </c>
      <c r="H349" s="466"/>
      <c r="I349" s="467"/>
      <c r="J349" s="467"/>
      <c r="K349" s="1670">
        <f>SUM(C349:J349)</f>
        <v>66910</v>
      </c>
      <c r="L349" s="466">
        <v>65000</v>
      </c>
    </row>
    <row r="350" spans="1:14" ht="12.75" customHeight="1" thickBot="1" x14ac:dyDescent="0.25">
      <c r="A350" s="1667" t="s">
        <v>719</v>
      </c>
      <c r="B350" s="1668" t="s">
        <v>35</v>
      </c>
      <c r="C350" s="1669">
        <f>SUM(C348:C349)</f>
        <v>0</v>
      </c>
      <c r="D350" s="1669">
        <f t="shared" ref="D350:L350" si="26">SUM(D348:D349)</f>
        <v>0</v>
      </c>
      <c r="E350" s="1669">
        <f t="shared" si="26"/>
        <v>628</v>
      </c>
      <c r="F350" s="1669">
        <f t="shared" si="26"/>
        <v>0</v>
      </c>
      <c r="G350" s="1669">
        <f t="shared" si="26"/>
        <v>66282</v>
      </c>
      <c r="H350" s="1669">
        <f t="shared" si="26"/>
        <v>0</v>
      </c>
      <c r="I350" s="1669">
        <f t="shared" si="26"/>
        <v>0</v>
      </c>
      <c r="J350" s="1669">
        <f t="shared" si="26"/>
        <v>0</v>
      </c>
      <c r="K350" s="1669">
        <f t="shared" si="26"/>
        <v>66910</v>
      </c>
      <c r="L350" s="1669">
        <f t="shared" si="26"/>
        <v>65000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628</v>
      </c>
      <c r="F352" s="1669">
        <f t="shared" si="27"/>
        <v>0</v>
      </c>
      <c r="G352" s="1669">
        <f t="shared" si="27"/>
        <v>66282</v>
      </c>
      <c r="H352" s="1669">
        <f t="shared" si="27"/>
        <v>0</v>
      </c>
      <c r="I352" s="1669">
        <f t="shared" si="27"/>
        <v>0</v>
      </c>
      <c r="J352" s="1669">
        <f t="shared" si="27"/>
        <v>0</v>
      </c>
      <c r="K352" s="1669">
        <f t="shared" si="27"/>
        <v>66910</v>
      </c>
      <c r="L352" s="1669">
        <f t="shared" si="27"/>
        <v>65000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628</v>
      </c>
      <c r="F367" s="1669">
        <f t="shared" si="28"/>
        <v>0</v>
      </c>
      <c r="G367" s="1669">
        <f t="shared" si="28"/>
        <v>66282</v>
      </c>
      <c r="H367" s="1669">
        <f t="shared" si="28"/>
        <v>0</v>
      </c>
      <c r="I367" s="1669">
        <f t="shared" si="28"/>
        <v>0</v>
      </c>
      <c r="J367" s="1669">
        <f t="shared" si="28"/>
        <v>0</v>
      </c>
      <c r="K367" s="1669">
        <f t="shared" si="28"/>
        <v>66910</v>
      </c>
      <c r="L367" s="1669">
        <f t="shared" si="28"/>
        <v>65000</v>
      </c>
    </row>
    <row r="368" spans="1:14" ht="13.5" thickTop="1" x14ac:dyDescent="0.2">
      <c r="A368" s="2190" t="s">
        <v>996</v>
      </c>
      <c r="B368" s="2191"/>
      <c r="C368" s="654"/>
      <c r="D368" s="654"/>
      <c r="E368" s="626"/>
      <c r="F368" s="626"/>
      <c r="G368" s="626"/>
      <c r="H368" s="626"/>
      <c r="I368" s="626"/>
      <c r="J368" s="623"/>
      <c r="K368" s="1670">
        <f>'Revenues 9-14'!K268-'Expenditures 15-22'!K367</f>
        <v>-2022</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purl.org/dc/dcmitype/"/>
    <ds:schemaRef ds:uri="http://purl.org/dc/elements/1.1/"/>
    <ds:schemaRef ds:uri="http://schemas.microsoft.com/office/2006/documentManagement/types"/>
    <ds:schemaRef ds:uri="4d435f69-8686-490b-bd6d-b153bf22ab50"/>
    <ds:schemaRef ds:uri="http://schemas.microsoft.com/office/infopath/2007/PartnerControls"/>
    <ds:schemaRef ds:uri="http://schemas.openxmlformats.org/package/2006/metadata/core-properties"/>
    <ds:schemaRef ds:uri="d21dc803-237d-4c68-8692-8d731fd29118"/>
    <ds:schemaRef ds:uri="6ce3111e-7420-4802-b50a-75d4e9a0b98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2019-10-11T14:15:04Z</cp:lastPrinted>
  <dcterms:created xsi:type="dcterms:W3CDTF">2003-10-29T19:06:34Z</dcterms:created>
  <dcterms:modified xsi:type="dcterms:W3CDTF">2019-11-15T21:45:00Z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