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86BF38-DAAC-48A3-8676-88943E01193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4" r:id="rId32"/>
    <sheet name="Finding 2019-002" sheetId="183" r:id="rId33"/>
    <sheet name="Finding 2019-003" sheetId="187" r:id="rId34"/>
    <sheet name="Finding 2019-004" sheetId="188" r:id="rId35"/>
    <sheet name="SF&amp;QC Sec-3" sheetId="176" r:id="rId36"/>
    <sheet name="CAP Finding 001" sheetId="186" r:id="rId37"/>
    <sheet name="CAP Finding 002" sheetId="185" r:id="rId38"/>
    <sheet name="CAP Finding 003" sheetId="189" r:id="rId39"/>
    <sheet name="CAP Finding 004" sheetId="190" r:id="rId40"/>
    <sheet name="SSPAF" sheetId="177" r:id="rId41"/>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38">#REF!</definedName>
    <definedName name="SCHADDRS" localSheetId="39">#REF!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28">#REF!</definedName>
    <definedName name="SCHADDRS" localSheetId="26">#REF!</definedName>
    <definedName name="SCHADDRS" localSheetId="29">#REF!</definedName>
    <definedName name="SCHADDRS" localSheetId="30">#REF!</definedName>
    <definedName name="SCHADDRS" localSheetId="35">#REF!</definedName>
    <definedName name="SCHADDRS" localSheetId="25">#REF!</definedName>
    <definedName name="SCHADDRS" localSheetId="24">#REF!</definedName>
    <definedName name="SCHADDRS" localSheetId="40">#REF!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38">#REF!</definedName>
    <definedName name="SCHCTY" localSheetId="39">#REF!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28">#REF!</definedName>
    <definedName name="SCHCTY" localSheetId="26">#REF!</definedName>
    <definedName name="SCHCTY" localSheetId="29">#REF!</definedName>
    <definedName name="SCHCTY" localSheetId="30">#REF!</definedName>
    <definedName name="SCHCTY" localSheetId="35">#REF!</definedName>
    <definedName name="SCHCTY" localSheetId="25">#REF!</definedName>
    <definedName name="SCHCTY" localSheetId="24">#REF!</definedName>
    <definedName name="SCHCTY" localSheetId="40">#REF!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38">#REF!</definedName>
    <definedName name="SCHNMBR" localSheetId="39">#REF!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28">#REF!</definedName>
    <definedName name="SCHNMBR" localSheetId="26">#REF!</definedName>
    <definedName name="SCHNMBR" localSheetId="29">#REF!</definedName>
    <definedName name="SCHNMBR" localSheetId="30">#REF!</definedName>
    <definedName name="SCHNMBR" localSheetId="35">#REF!</definedName>
    <definedName name="SCHNMBR" localSheetId="25">#REF!</definedName>
    <definedName name="SCHNMBR" localSheetId="24">#REF!</definedName>
    <definedName name="SCHNMBR" localSheetId="40">#REF!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38">#REF!</definedName>
    <definedName name="SCHNME" localSheetId="39">#REF!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28">#REF!</definedName>
    <definedName name="SCHNME" localSheetId="26">#REF!</definedName>
    <definedName name="SCHNME" localSheetId="29">#REF!</definedName>
    <definedName name="SCHNME" localSheetId="30">#REF!</definedName>
    <definedName name="SCHNME" localSheetId="35">#REF!</definedName>
    <definedName name="SCHNME" localSheetId="25">#REF!</definedName>
    <definedName name="SCHNME" localSheetId="24">#REF!</definedName>
    <definedName name="SCHNME" localSheetId="40">#REF!</definedName>
    <definedName name="SCHNME">#REF!</definedName>
    <definedName name="SUPT" localSheetId="27">#REF!</definedName>
    <definedName name="SUPT" localSheetId="17">#REF!</definedName>
    <definedName name="SUPT" localSheetId="36">#REF!</definedName>
    <definedName name="SUPT" localSheetId="37">#REF!</definedName>
    <definedName name="SUPT" localSheetId="38">#REF!</definedName>
    <definedName name="SUPT" localSheetId="39">#REF!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28">#REF!</definedName>
    <definedName name="SUPT" localSheetId="26">#REF!</definedName>
    <definedName name="SUPT" localSheetId="29">#REF!</definedName>
    <definedName name="SUPT" localSheetId="30">#REF!</definedName>
    <definedName name="SUPT" localSheetId="35">#REF!</definedName>
    <definedName name="SUPT" localSheetId="25">#REF!</definedName>
    <definedName name="SUPT" localSheetId="24">#REF!</definedName>
    <definedName name="SUPT" localSheetId="4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90" l="1"/>
  <c r="B11" i="189"/>
  <c r="E18" i="189"/>
  <c r="E18" i="185"/>
  <c r="B11" i="186"/>
  <c r="B2" i="184"/>
  <c r="B2" i="186" s="1"/>
  <c r="B2" i="185" s="1"/>
  <c r="B2" i="189" s="1"/>
  <c r="B2" i="190" s="1"/>
  <c r="B2" i="183"/>
  <c r="B2" i="187" s="1"/>
  <c r="B2" i="188" s="1"/>
  <c r="E18" i="190"/>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c r="D167" i="34"/>
  <c r="D166" i="34"/>
  <c r="C167" i="34"/>
  <c r="C166" i="34"/>
  <c r="F167" i="34"/>
  <c r="F166" i="34"/>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D7802" i="106"/>
  <c r="B7801" i="106"/>
  <c r="D7801" i="106"/>
  <c r="D7806"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K5" i="29"/>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6" i="29"/>
  <c r="K37" i="29"/>
  <c r="K38" i="29"/>
  <c r="K39" i="29"/>
  <c r="K40" i="29"/>
  <c r="K41" i="29"/>
  <c r="K42" i="29"/>
  <c r="K44" i="29"/>
  <c r="K45" i="29"/>
  <c r="K46" i="29"/>
  <c r="K47" i="29"/>
  <c r="K49" i="29"/>
  <c r="K50" i="29"/>
  <c r="K51" i="29"/>
  <c r="K52" i="29"/>
  <c r="K53" i="29"/>
  <c r="K55" i="29"/>
  <c r="K56" i="29"/>
  <c r="K57" i="29"/>
  <c r="K59" i="29"/>
  <c r="K60" i="29"/>
  <c r="K61" i="29"/>
  <c r="K62" i="29"/>
  <c r="K63" i="29"/>
  <c r="K64" i="29"/>
  <c r="K65" i="29"/>
  <c r="K67" i="29"/>
  <c r="K68" i="29"/>
  <c r="K69" i="29"/>
  <c r="K70" i="29"/>
  <c r="K71" i="29"/>
  <c r="K72" i="29"/>
  <c r="K73" i="29"/>
  <c r="K74" i="29"/>
  <c r="K75" i="29"/>
  <c r="K78" i="29"/>
  <c r="K79" i="29"/>
  <c r="K80" i="29"/>
  <c r="K81" i="29"/>
  <c r="K82" i="29"/>
  <c r="K83" i="29"/>
  <c r="K84" i="29"/>
  <c r="H92" i="29"/>
  <c r="K92" i="29"/>
  <c r="K93" i="29"/>
  <c r="K94" i="29"/>
  <c r="K95" i="29"/>
  <c r="K96" i="29"/>
  <c r="K97" i="29"/>
  <c r="K98" i="29"/>
  <c r="K99" i="29"/>
  <c r="K100" i="29"/>
  <c r="K101" i="29"/>
  <c r="K102" i="29"/>
  <c r="K105" i="29"/>
  <c r="K106" i="29"/>
  <c r="K107" i="29"/>
  <c r="K108" i="29"/>
  <c r="K109" i="29"/>
  <c r="K110" i="29"/>
  <c r="K111" i="29"/>
  <c r="K112" i="29"/>
  <c r="K114" i="29"/>
  <c r="F8" i="34"/>
  <c r="K120" i="29"/>
  <c r="K122" i="29"/>
  <c r="K123" i="29"/>
  <c r="K124" i="29"/>
  <c r="K125" i="29"/>
  <c r="K126" i="29"/>
  <c r="K127" i="29"/>
  <c r="K128" i="29"/>
  <c r="K129" i="29"/>
  <c r="K130" i="29"/>
  <c r="K133" i="29"/>
  <c r="K134" i="29"/>
  <c r="K135" i="29"/>
  <c r="K136" i="29"/>
  <c r="K137" i="29"/>
  <c r="K138" i="29"/>
  <c r="K139" i="29"/>
  <c r="K142" i="29"/>
  <c r="K143" i="29"/>
  <c r="K144" i="29"/>
  <c r="K145" i="29"/>
  <c r="K146" i="29"/>
  <c r="K147" i="29"/>
  <c r="K148" i="29"/>
  <c r="K149" i="29"/>
  <c r="K151" i="29"/>
  <c r="F9" i="34"/>
  <c r="K157" i="29"/>
  <c r="K158" i="29"/>
  <c r="K159" i="29"/>
  <c r="K160" i="29"/>
  <c r="K163" i="29"/>
  <c r="K164" i="29"/>
  <c r="K165" i="29"/>
  <c r="K166" i="29"/>
  <c r="K167" i="29"/>
  <c r="K168" i="29"/>
  <c r="K169" i="29"/>
  <c r="K170" i="29"/>
  <c r="K171" i="29"/>
  <c r="K172" i="29"/>
  <c r="K174" i="29"/>
  <c r="F10" i="34"/>
  <c r="K180" i="29"/>
  <c r="K182" i="29"/>
  <c r="K183" i="29"/>
  <c r="K184" i="29"/>
  <c r="K185" i="29"/>
  <c r="K188" i="29"/>
  <c r="K189" i="29"/>
  <c r="K190" i="29"/>
  <c r="K191" i="29"/>
  <c r="K192" i="29"/>
  <c r="K193" i="29"/>
  <c r="K194" i="29"/>
  <c r="K195" i="29"/>
  <c r="K196" i="29"/>
  <c r="K199" i="29"/>
  <c r="K200" i="29"/>
  <c r="K201" i="29"/>
  <c r="K202" i="29"/>
  <c r="K203" i="29"/>
  <c r="K204" i="29"/>
  <c r="K205" i="29"/>
  <c r="K206" i="29"/>
  <c r="K207" i="29"/>
  <c r="K208" i="29"/>
  <c r="K210" i="29"/>
  <c r="F11" i="34"/>
  <c r="K215" i="29"/>
  <c r="K216" i="29"/>
  <c r="K217" i="29"/>
  <c r="K218" i="29"/>
  <c r="K219" i="29"/>
  <c r="K220" i="29"/>
  <c r="K221" i="29"/>
  <c r="K222" i="29"/>
  <c r="K223" i="29"/>
  <c r="K224"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0" i="29"/>
  <c r="K282" i="29"/>
  <c r="K283" i="29"/>
  <c r="K284" i="29"/>
  <c r="K285" i="29"/>
  <c r="K288" i="29"/>
  <c r="K289" i="29"/>
  <c r="K290" i="29"/>
  <c r="K291" i="29"/>
  <c r="K292" i="29"/>
  <c r="K293" i="29"/>
  <c r="K295" i="29"/>
  <c r="F12" i="34"/>
  <c r="K319" i="29"/>
  <c r="K320" i="29"/>
  <c r="K321" i="29"/>
  <c r="K322" i="29"/>
  <c r="K323" i="29"/>
  <c r="K324" i="29"/>
  <c r="K325" i="29"/>
  <c r="K326" i="29"/>
  <c r="K327" i="29"/>
  <c r="K328" i="29"/>
  <c r="K329" i="29"/>
  <c r="K330" i="29"/>
  <c r="K332" i="29"/>
  <c r="K333" i="29"/>
  <c r="K334" i="29"/>
  <c r="K337" i="29"/>
  <c r="K338" i="29"/>
  <c r="K339" i="29"/>
  <c r="K340" i="29"/>
  <c r="K342" i="29"/>
  <c r="F13" i="34"/>
  <c r="F14" i="34"/>
  <c r="F18" i="34"/>
  <c r="F19" i="34"/>
  <c r="F20" i="34"/>
  <c r="F21" i="34"/>
  <c r="F22" i="34"/>
  <c r="F23" i="34"/>
  <c r="F24" i="34"/>
  <c r="F25" i="34"/>
  <c r="F26" i="34"/>
  <c r="F27" i="34"/>
  <c r="F28" i="34"/>
  <c r="F30" i="34"/>
  <c r="F31" i="34"/>
  <c r="F32" i="34"/>
  <c r="F33" i="34"/>
  <c r="F34" i="34"/>
  <c r="F35" i="34"/>
  <c r="F36" i="34"/>
  <c r="F37" i="34"/>
  <c r="F38" i="34"/>
  <c r="F39" i="34"/>
  <c r="F40" i="34"/>
  <c r="F41" i="34"/>
  <c r="F42" i="34"/>
  <c r="F43" i="34"/>
  <c r="F44" i="34"/>
  <c r="F45" i="34"/>
  <c r="F46" i="34"/>
  <c r="F47" i="34"/>
  <c r="F48" i="34"/>
  <c r="F49" i="34"/>
  <c r="F50" i="34"/>
  <c r="F51" i="34"/>
  <c r="F52" i="34"/>
  <c r="F53" i="34"/>
  <c r="G33" i="29"/>
  <c r="G42" i="29"/>
  <c r="G47" i="29"/>
  <c r="G53" i="29"/>
  <c r="G57" i="29"/>
  <c r="G65" i="29"/>
  <c r="G72" i="29"/>
  <c r="G74" i="29"/>
  <c r="G114" i="29"/>
  <c r="F54" i="34"/>
  <c r="I33" i="29"/>
  <c r="I42" i="29"/>
  <c r="I47" i="29"/>
  <c r="I53" i="29"/>
  <c r="I57" i="29"/>
  <c r="I65" i="29"/>
  <c r="I72" i="29"/>
  <c r="I74" i="29"/>
  <c r="I114" i="29"/>
  <c r="F55" i="34"/>
  <c r="F56" i="34"/>
  <c r="F57" i="34"/>
  <c r="G127" i="29"/>
  <c r="G129" i="29"/>
  <c r="G151" i="29"/>
  <c r="F58" i="34"/>
  <c r="I127" i="29"/>
  <c r="I129" i="29"/>
  <c r="I151" i="29"/>
  <c r="F59" i="34"/>
  <c r="F60" i="34"/>
  <c r="F61" i="34"/>
  <c r="F62" i="34"/>
  <c r="F63" i="34"/>
  <c r="F64" i="34"/>
  <c r="G184" i="29"/>
  <c r="G210" i="29"/>
  <c r="F65" i="34"/>
  <c r="I184" i="29"/>
  <c r="I210" i="29"/>
  <c r="F66" i="34"/>
  <c r="F67" i="34"/>
  <c r="F68" i="34"/>
  <c r="F69" i="34"/>
  <c r="F70" i="34"/>
  <c r="F71" i="34"/>
  <c r="F72" i="34"/>
  <c r="F73" i="34"/>
  <c r="F74" i="34"/>
  <c r="F76" i="34"/>
  <c r="F77" i="34"/>
  <c r="F79" i="34"/>
  <c r="K356" i="29"/>
  <c r="K355" i="29"/>
  <c r="B7794" i="106"/>
  <c r="K354" i="29"/>
  <c r="H357" i="29"/>
  <c r="L334" i="29"/>
  <c r="B7788" i="106"/>
  <c r="B7786" i="106"/>
  <c r="H334" i="29"/>
  <c r="B7789" i="106"/>
  <c r="B7784" i="106"/>
  <c r="H160" i="29"/>
  <c r="B7782" i="106"/>
  <c r="B7780" i="106"/>
  <c r="B7795" i="106"/>
  <c r="B7776" i="106"/>
  <c r="B7793" i="106"/>
  <c r="B7791" i="106"/>
  <c r="B7787" i="106"/>
  <c r="B7785" i="106"/>
  <c r="B7783" i="106"/>
  <c r="B7781" i="106"/>
  <c r="B7779" i="106"/>
  <c r="B7778" i="106"/>
  <c r="B7777" i="106"/>
  <c r="B7775" i="106"/>
  <c r="B7774" i="106"/>
  <c r="K357" i="29"/>
  <c r="B7792" i="106"/>
  <c r="K15" i="4"/>
  <c r="B7790" i="106"/>
  <c r="J15" i="4"/>
  <c r="B7796" i="106"/>
  <c r="L357" i="29"/>
  <c r="L285" i="29"/>
  <c r="D285" i="29"/>
  <c r="L160" i="29"/>
  <c r="L137" i="29"/>
  <c r="H137" i="29"/>
  <c r="E137" i="29"/>
  <c r="E139" i="29"/>
  <c r="E15" i="4"/>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G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E45" i="181"/>
  <c r="F45" i="181"/>
  <c r="G45" i="181"/>
  <c r="E44" i="181"/>
  <c r="F44" i="181"/>
  <c r="G44" i="181"/>
  <c r="E43" i="181"/>
  <c r="E42" i="181"/>
  <c r="E41" i="181"/>
  <c r="F41" i="181"/>
  <c r="G41" i="181"/>
  <c r="E40" i="181"/>
  <c r="F40" i="181"/>
  <c r="G40" i="181"/>
  <c r="E39" i="181"/>
  <c r="F39" i="181"/>
  <c r="G39" i="181"/>
  <c r="F38" i="181"/>
  <c r="G38" i="181"/>
  <c r="E38" i="181"/>
  <c r="E37" i="181"/>
  <c r="F37" i="181"/>
  <c r="G37" i="181"/>
  <c r="E36" i="181"/>
  <c r="F36" i="181"/>
  <c r="G36" i="181"/>
  <c r="E35" i="181"/>
  <c r="F35" i="181"/>
  <c r="G35" i="181"/>
  <c r="E34" i="181"/>
  <c r="F34" i="181"/>
  <c r="G34" i="181"/>
  <c r="E33" i="181"/>
  <c r="E32" i="181"/>
  <c r="F32" i="181"/>
  <c r="G32" i="181"/>
  <c r="E31" i="181"/>
  <c r="F31" i="181"/>
  <c r="G31" i="181"/>
  <c r="E30" i="181"/>
  <c r="F30" i="181"/>
  <c r="G30" i="181"/>
  <c r="E29" i="181"/>
  <c r="E28" i="181"/>
  <c r="F28" i="181"/>
  <c r="G28" i="181"/>
  <c r="E27" i="181"/>
  <c r="E26" i="181"/>
  <c r="F26" i="181"/>
  <c r="G26" i="181"/>
  <c r="E25" i="181"/>
  <c r="E24" i="181"/>
  <c r="F24" i="181"/>
  <c r="G24" i="181"/>
  <c r="E23" i="181"/>
  <c r="F23" i="181"/>
  <c r="G23" i="181"/>
  <c r="E22" i="181"/>
  <c r="F22" i="181"/>
  <c r="G22" i="181"/>
  <c r="E21" i="181"/>
  <c r="F21" i="181"/>
  <c r="G21" i="181"/>
  <c r="E20" i="181"/>
  <c r="F20" i="181"/>
  <c r="G20" i="181"/>
  <c r="E19" i="181"/>
  <c r="E18" i="181"/>
  <c r="F43" i="181"/>
  <c r="G43" i="181"/>
  <c r="F42" i="181"/>
  <c r="G42" i="181"/>
  <c r="F33" i="181"/>
  <c r="G33" i="181"/>
  <c r="F29" i="181"/>
  <c r="G29" i="181"/>
  <c r="F27" i="181"/>
  <c r="G27" i="181"/>
  <c r="F25" i="181"/>
  <c r="G25" i="181"/>
  <c r="F19" i="181"/>
  <c r="G19" i="181"/>
  <c r="F18" i="181"/>
  <c r="G18" i="181"/>
  <c r="D141" i="181"/>
  <c r="D80" i="36"/>
  <c r="B7797" i="106"/>
  <c r="E141" i="181"/>
  <c r="E17" i="181"/>
  <c r="F17" i="181"/>
  <c r="E16" i="181"/>
  <c r="F16" i="181"/>
  <c r="G16" i="181"/>
  <c r="G17" i="181"/>
  <c r="G141" i="181"/>
  <c r="G40" i="108"/>
  <c r="B7799" i="106"/>
  <c r="F141"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1" i="184" s="1"/>
  <c r="B1" i="186" s="1"/>
  <c r="B1" i="185" s="1"/>
  <c r="B1" i="189" s="1"/>
  <c r="B1" i="190"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59" i="34"/>
  <c r="B7769" i="106"/>
  <c r="B7768" i="106"/>
  <c r="B7766" i="106"/>
  <c r="B7765" i="106"/>
  <c r="D7765" i="106"/>
  <c r="B7764" i="106"/>
  <c r="D7764" i="106"/>
  <c r="J85" i="28"/>
  <c r="B7758" i="106"/>
  <c r="D7758" i="106"/>
  <c r="J88" i="28"/>
  <c r="B7763" i="106"/>
  <c r="D7763" i="106"/>
  <c r="B7762" i="106"/>
  <c r="K12" i="12"/>
  <c r="K23" i="12"/>
  <c r="J12" i="12"/>
  <c r="J21" i="12"/>
  <c r="J23" i="12"/>
  <c r="B7729" i="106"/>
  <c r="D7729" i="106"/>
  <c r="B7734" i="106"/>
  <c r="B7726" i="106"/>
  <c r="F158" i="34"/>
  <c r="B30" i="36"/>
  <c r="B33" i="36"/>
  <c r="B43" i="36"/>
  <c r="B56" i="36"/>
  <c r="B66" i="36"/>
  <c r="B70" i="36"/>
  <c r="B74" i="36"/>
  <c r="D73" i="36"/>
  <c r="C188" i="5"/>
  <c r="B4395" i="106"/>
  <c r="D4395" i="106"/>
  <c r="C198" i="5"/>
  <c r="B5246" i="106"/>
  <c r="D5246" i="106"/>
  <c r="C204" i="5"/>
  <c r="B5260" i="106"/>
  <c r="D5260" i="106"/>
  <c r="C209" i="5"/>
  <c r="C217" i="5"/>
  <c r="C221" i="5"/>
  <c r="C252" i="5"/>
  <c r="B7761" i="106"/>
  <c r="D7761" i="106"/>
  <c r="L127" i="29"/>
  <c r="L129" i="29"/>
  <c r="L139" i="29"/>
  <c r="L149" i="29"/>
  <c r="I7" i="145"/>
  <c r="I6" i="145"/>
  <c r="D78" i="36"/>
  <c r="D14" i="4"/>
  <c r="B2570" i="106"/>
  <c r="D2570" i="106"/>
  <c r="B2836" i="106"/>
  <c r="D2836" i="106"/>
  <c r="F15" i="145"/>
  <c r="F19" i="145"/>
  <c r="E33" i="108"/>
  <c r="E15" i="145"/>
  <c r="E14" i="145"/>
  <c r="G14" i="145"/>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B7011" i="106"/>
  <c r="D7011" i="106"/>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D27" i="108"/>
  <c r="B1128" i="106"/>
  <c r="D1128" i="106"/>
  <c r="B1129" i="106"/>
  <c r="D1129" i="106"/>
  <c r="B1130" i="106"/>
  <c r="D1130" i="106"/>
  <c r="D1132" i="106"/>
  <c r="E34" i="108"/>
  <c r="B1136" i="106"/>
  <c r="D1136" i="106"/>
  <c r="B1137" i="106"/>
  <c r="D1137" i="106"/>
  <c r="D1138" i="106"/>
  <c r="B1139" i="106"/>
  <c r="D1139" i="106"/>
  <c r="D1140" i="106"/>
  <c r="B1142" i="106"/>
  <c r="D1142" i="106"/>
  <c r="B2974" i="106"/>
  <c r="D2974" i="106"/>
  <c r="B2975" i="106"/>
  <c r="D2975" i="106"/>
  <c r="B2976" i="106"/>
  <c r="D2976" i="106"/>
  <c r="B2977" i="106"/>
  <c r="D2977" i="106"/>
  <c r="B2978" i="106"/>
  <c r="D2978" i="106"/>
  <c r="B7005" i="106"/>
  <c r="D7005" i="106"/>
  <c r="B7007" i="106"/>
  <c r="D7007" i="106"/>
  <c r="B7010" i="106"/>
  <c r="D7010" i="106"/>
  <c r="B7015" i="106"/>
  <c r="D7015" i="106"/>
  <c r="B1147" i="106"/>
  <c r="D1147" i="106"/>
  <c r="D1148" i="106"/>
  <c r="B1149" i="106"/>
  <c r="D1149" i="106"/>
  <c r="D1150" i="106"/>
  <c r="B2795" i="106"/>
  <c r="D2795" i="106"/>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6" i="106"/>
  <c r="D1276" i="106"/>
  <c r="B1277" i="106"/>
  <c r="D1277" i="106"/>
  <c r="D1278" i="106"/>
  <c r="B1280" i="106"/>
  <c r="D1280" i="106"/>
  <c r="B4080" i="106"/>
  <c r="D4080" i="106"/>
  <c r="B2987" i="106"/>
  <c r="D2987" i="106"/>
  <c r="B2988" i="106"/>
  <c r="D2988" i="106"/>
  <c r="B2094" i="106"/>
  <c r="D2094" i="106"/>
  <c r="B1284" i="106"/>
  <c r="D1284" i="106"/>
  <c r="B1285" i="106"/>
  <c r="D1285" i="106"/>
  <c r="D1286" i="106"/>
  <c r="B2810" i="106"/>
  <c r="D2810"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4087" i="106"/>
  <c r="D4087" i="106"/>
  <c r="B3007" i="106"/>
  <c r="D3007" i="106"/>
  <c r="B3009" i="106"/>
  <c r="D3009" i="106"/>
  <c r="B3010" i="106"/>
  <c r="D3010" i="106"/>
  <c r="B3011" i="106"/>
  <c r="D3011" i="106"/>
  <c r="B3012" i="106"/>
  <c r="D3012" i="106"/>
  <c r="B2839" i="106"/>
  <c r="D2839" i="106"/>
  <c r="B1383" i="106"/>
  <c r="D1383" i="106"/>
  <c r="B1384" i="106"/>
  <c r="D1384" i="106"/>
  <c r="B1385" i="106"/>
  <c r="D1385" i="106"/>
  <c r="D1386" i="106"/>
  <c r="B2841" i="106"/>
  <c r="D2841" i="106"/>
  <c r="B7068" i="106"/>
  <c r="D7068" i="106"/>
  <c r="B4211" i="106"/>
  <c r="D421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7076" i="106"/>
  <c r="D7076" i="106"/>
  <c r="B3065" i="106"/>
  <c r="D3065" i="106"/>
  <c r="B7078" i="106"/>
  <c r="D7078"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2726" i="106"/>
  <c r="D2726" i="106"/>
  <c r="B7082" i="106"/>
  <c r="D7082" i="106"/>
  <c r="B7084" i="106"/>
  <c r="D7084" i="106"/>
  <c r="B7092" i="106"/>
  <c r="D7092" i="106"/>
  <c r="B7094" i="106"/>
  <c r="D7094" i="106"/>
  <c r="B7098" i="106"/>
  <c r="D7098"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D2845" i="106"/>
  <c r="B2846" i="106"/>
  <c r="D2846" i="106"/>
  <c r="D1516" i="106"/>
  <c r="B3723" i="106"/>
  <c r="D3723"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B7107" i="106"/>
  <c r="D7107" i="106"/>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6" i="106"/>
  <c r="D2806" i="106"/>
  <c r="B2807" i="106"/>
  <c r="D2807" i="106"/>
  <c r="B2808" i="106"/>
  <c r="D2808" i="106"/>
  <c r="D2809"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B6286" i="106"/>
  <c r="D6286" i="106"/>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5" i="106"/>
  <c r="D6285" i="106"/>
  <c r="B6287" i="106"/>
  <c r="D6287" i="106"/>
  <c r="B6288" i="106"/>
  <c r="D6288"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6" i="106"/>
  <c r="D7006" i="106"/>
  <c r="B7008" i="106"/>
  <c r="D7008" i="106"/>
  <c r="B7009" i="106"/>
  <c r="D7009" i="106"/>
  <c r="B7012" i="106"/>
  <c r="D7012" i="106"/>
  <c r="B7014" i="106"/>
  <c r="D7014" i="106"/>
  <c r="B7016" i="106"/>
  <c r="D7016" i="106"/>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9" i="106"/>
  <c r="D7069" i="106"/>
  <c r="B7070" i="106"/>
  <c r="D7070" i="106"/>
  <c r="J210" i="29"/>
  <c r="B7072" i="106"/>
  <c r="D7072" i="106"/>
  <c r="B7073" i="106"/>
  <c r="D7073" i="106"/>
  <c r="B7074" i="106"/>
  <c r="D7074" i="106"/>
  <c r="B7075" i="106"/>
  <c r="D7075" i="106"/>
  <c r="B7077" i="106"/>
  <c r="D7077" i="106"/>
  <c r="B7079" i="106"/>
  <c r="D7079" i="106"/>
  <c r="B7080" i="106"/>
  <c r="D7080" i="106"/>
  <c r="B7081" i="106"/>
  <c r="D7081" i="106"/>
  <c r="B7083" i="106"/>
  <c r="D7083" i="106"/>
  <c r="B7085" i="106"/>
  <c r="D7085" i="106"/>
  <c r="B7086" i="106"/>
  <c r="D7086" i="106"/>
  <c r="B7087" i="106"/>
  <c r="D7087" i="106"/>
  <c r="B7088" i="106"/>
  <c r="D7088" i="106"/>
  <c r="B7089" i="106"/>
  <c r="D7089" i="106"/>
  <c r="B7090" i="106"/>
  <c r="D7090" i="106"/>
  <c r="B7091" i="106"/>
  <c r="D7091"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G330" i="29"/>
  <c r="B7203" i="106"/>
  <c r="D7203" i="106"/>
  <c r="H330" i="29"/>
  <c r="B7204" i="106"/>
  <c r="D7204" i="106"/>
  <c r="I330" i="29"/>
  <c r="B7205" i="106"/>
  <c r="D7205" i="106"/>
  <c r="J330" i="29"/>
  <c r="B7206" i="106"/>
  <c r="D7206" i="106"/>
  <c r="B7696" i="106"/>
  <c r="D7696" i="106"/>
  <c r="B7705" i="106"/>
  <c r="D7705" i="106"/>
  <c r="B7208" i="106"/>
  <c r="D7208" i="106"/>
  <c r="B7209" i="106"/>
  <c r="D7209" i="106"/>
  <c r="B7210" i="106"/>
  <c r="D7210" i="106"/>
  <c r="B7212" i="106"/>
  <c r="D7212" i="106"/>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B4411" i="106"/>
  <c r="D4411" i="106"/>
  <c r="D209" i="5"/>
  <c r="B4412" i="106"/>
  <c r="D4412" i="106"/>
  <c r="F209" i="5"/>
  <c r="B4413" i="106"/>
  <c r="D4413" i="106"/>
  <c r="G209" i="5"/>
  <c r="B4414" i="106"/>
  <c r="D4414" i="106"/>
  <c r="B5286" i="106"/>
  <c r="D5286" i="106"/>
  <c r="D217" i="5"/>
  <c r="B5470" i="106"/>
  <c r="D5470" i="106"/>
  <c r="F217" i="5"/>
  <c r="B5703" i="106"/>
  <c r="D5703" i="106"/>
  <c r="G217" i="5"/>
  <c r="B5829" i="106"/>
  <c r="D5829" i="106"/>
  <c r="B5304" i="106"/>
  <c r="D5304"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B2633" i="106"/>
  <c r="D2633" i="106"/>
  <c r="D7" i="118"/>
  <c r="D8" i="118"/>
  <c r="D9" i="118"/>
  <c r="H14" i="118"/>
  <c r="H19" i="118"/>
  <c r="H24" i="118"/>
  <c r="H28" i="118"/>
  <c r="H33" i="118"/>
  <c r="D22" i="37"/>
  <c r="J22" i="37"/>
  <c r="D24" i="37"/>
  <c r="B4270" i="106"/>
  <c r="D4270" i="106"/>
  <c r="L5" i="11"/>
  <c r="B2056" i="106"/>
  <c r="D2056" i="106"/>
  <c r="D54" i="36"/>
  <c r="B7071" i="106"/>
  <c r="D7071" i="106"/>
  <c r="G33" i="108"/>
  <c r="B2724" i="106"/>
  <c r="D2724" i="106"/>
  <c r="F36" i="108"/>
  <c r="B6289" i="106"/>
  <c r="D6289" i="106"/>
  <c r="L367" i="29"/>
  <c r="H365" i="29"/>
  <c r="B7242" i="106"/>
  <c r="D7242" i="106"/>
  <c r="J352" i="29"/>
  <c r="J367" i="29"/>
  <c r="B7245" i="106"/>
  <c r="D7245" i="106"/>
  <c r="C352" i="29"/>
  <c r="H342" i="29"/>
  <c r="B7221" i="106"/>
  <c r="D7221" i="106"/>
  <c r="C342" i="29"/>
  <c r="B7216" i="106"/>
  <c r="D7216" i="106"/>
  <c r="F14" i="4"/>
  <c r="B2597" i="106"/>
  <c r="D2597" i="106"/>
  <c r="B7047" i="106"/>
  <c r="D7047" i="106"/>
  <c r="B2805" i="106"/>
  <c r="D2805" i="106"/>
  <c r="E38" i="108"/>
  <c r="G38" i="108"/>
  <c r="E28" i="108"/>
  <c r="F28" i="108"/>
  <c r="J129" i="29"/>
  <c r="B7038" i="106"/>
  <c r="D7038" i="106"/>
  <c r="G26" i="108"/>
  <c r="E26" i="108"/>
  <c r="G15" i="145"/>
  <c r="B1274" i="106"/>
  <c r="D1274" i="106"/>
  <c r="C129" i="29"/>
  <c r="C151" i="29"/>
  <c r="B1226" i="106"/>
  <c r="D1226" i="106"/>
  <c r="G39" i="108"/>
  <c r="C14" i="4"/>
  <c r="B2558" i="106"/>
  <c r="D2558" i="106"/>
  <c r="D36" i="108"/>
  <c r="G35" i="108"/>
  <c r="E35" i="108"/>
  <c r="G34" i="108"/>
  <c r="F27" i="108"/>
  <c r="J77" i="4"/>
  <c r="B6262" i="106"/>
  <c r="D6262" i="106"/>
  <c r="F77" i="4"/>
  <c r="B3255" i="106"/>
  <c r="D3255" i="106"/>
  <c r="K76" i="4"/>
  <c r="B3586" i="106"/>
  <c r="D3586" i="106"/>
  <c r="D17" i="7"/>
  <c r="B4104" i="106"/>
  <c r="D4104" i="106"/>
  <c r="D11" i="37"/>
  <c r="D37" i="108"/>
  <c r="F37" i="108"/>
  <c r="D31" i="36"/>
  <c r="F19" i="7"/>
  <c r="B1807" i="106"/>
  <c r="D1807" i="106"/>
  <c r="D9" i="7"/>
  <c r="B1767" i="106"/>
  <c r="D1767" i="106"/>
  <c r="H29" i="118"/>
  <c r="K28" i="118"/>
  <c r="O27" i="118"/>
  <c r="O29" i="118"/>
  <c r="N22" i="3"/>
  <c r="B283" i="106"/>
  <c r="D283" i="106"/>
  <c r="L342" i="29"/>
  <c r="J41" i="3"/>
  <c r="B6216" i="106"/>
  <c r="D6216" i="106"/>
  <c r="F13" i="4"/>
  <c r="B2596" i="106"/>
  <c r="D2596" i="106"/>
  <c r="K41" i="3"/>
  <c r="L22" i="37"/>
  <c r="G29" i="108"/>
  <c r="B7037" i="106"/>
  <c r="D7037" i="106"/>
  <c r="D6103" i="106"/>
  <c r="B3647" i="106"/>
  <c r="D3647" i="106"/>
  <c r="L13" i="11"/>
  <c r="B2060" i="106"/>
  <c r="D2060" i="106"/>
  <c r="B1308" i="106"/>
  <c r="D1308" i="106"/>
  <c r="E174" i="29"/>
  <c r="B1309" i="106"/>
  <c r="D1309" i="106"/>
  <c r="E29" i="108"/>
  <c r="B3254" i="106"/>
  <c r="D3254" i="106"/>
  <c r="I24" i="12"/>
  <c r="B3649" i="106"/>
  <c r="D3649" i="106"/>
  <c r="G367" i="29"/>
  <c r="B3650" i="106"/>
  <c r="D3650" i="106"/>
  <c r="D5" i="4"/>
  <c r="B3406" i="106"/>
  <c r="D3406" i="106"/>
  <c r="L312" i="29"/>
  <c r="I342" i="29"/>
  <c r="B7222" i="106"/>
  <c r="D7222" i="106"/>
  <c r="K350" i="29"/>
  <c r="F21" i="8"/>
  <c r="K24" i="12"/>
  <c r="B3621" i="106"/>
  <c r="D3621" i="106"/>
  <c r="C367" i="29"/>
  <c r="B3622" i="106"/>
  <c r="D3622" i="106"/>
  <c r="D3583" i="106"/>
  <c r="B3635" i="106"/>
  <c r="B3724" i="106"/>
  <c r="D3724" i="106"/>
  <c r="B1410" i="106"/>
  <c r="D1410" i="106"/>
  <c r="B1329" i="106"/>
  <c r="D1329" i="106"/>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D109" i="5"/>
  <c r="I267" i="5"/>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C41" i="3"/>
  <c r="B93" i="106"/>
  <c r="D93" i="106"/>
  <c r="H295" i="29"/>
  <c r="B1454" i="106"/>
  <c r="D1454" i="106"/>
  <c r="B4156" i="106"/>
  <c r="D4156" i="106"/>
  <c r="H172" i="29"/>
  <c r="H174" i="29"/>
  <c r="B1318" i="106"/>
  <c r="D1318" i="106"/>
  <c r="B2823" i="106"/>
  <c r="D2823" i="106"/>
  <c r="J90" i="28"/>
  <c r="H352" i="29"/>
  <c r="B3656" i="106"/>
  <c r="D3656" i="106"/>
  <c r="E102" i="29"/>
  <c r="B2790" i="106"/>
  <c r="D2790" i="106"/>
  <c r="J342" i="29"/>
  <c r="B7223" i="106"/>
  <c r="D7223" i="106"/>
  <c r="G342" i="29"/>
  <c r="B7220" i="106"/>
  <c r="D7220" i="106"/>
  <c r="B2088" i="106"/>
  <c r="D2088" i="106"/>
  <c r="B79" i="36"/>
  <c r="B77" i="36"/>
  <c r="D18" i="7"/>
  <c r="B4105" i="106"/>
  <c r="D4105" i="106"/>
  <c r="F105" i="34"/>
  <c r="F107" i="34"/>
  <c r="F109" i="5"/>
  <c r="J109" i="5"/>
  <c r="J170" i="5"/>
  <c r="F95" i="34"/>
  <c r="F125" i="34"/>
  <c r="D14" i="7"/>
  <c r="B1770" i="106"/>
  <c r="D1770" i="106"/>
  <c r="F5" i="4"/>
  <c r="B3408" i="106"/>
  <c r="D3408" i="106"/>
  <c r="C5" i="4"/>
  <c r="B3405" i="106"/>
  <c r="D3405" i="106"/>
  <c r="B6840" i="106"/>
  <c r="D6840" i="106"/>
  <c r="B6839" i="106"/>
  <c r="D6839" i="106"/>
  <c r="B6838" i="106"/>
  <c r="D6838" i="106"/>
  <c r="D169" i="5"/>
  <c r="B5412" i="106"/>
  <c r="D5412" i="106"/>
  <c r="B5618" i="106"/>
  <c r="D5618" i="106"/>
  <c r="K109" i="5"/>
  <c r="F16" i="11"/>
  <c r="B7200" i="106"/>
  <c r="D7200" i="106"/>
  <c r="D342" i="29"/>
  <c r="B7217" i="106"/>
  <c r="D7217" i="106"/>
  <c r="B7144" i="106"/>
  <c r="D7144" i="106"/>
  <c r="B6901" i="106"/>
  <c r="D6901" i="106"/>
  <c r="B6885" i="106"/>
  <c r="D6885" i="106"/>
  <c r="B7211" i="106"/>
  <c r="D7211" i="106"/>
  <c r="B7215" i="106"/>
  <c r="D7215" i="106"/>
  <c r="B6893" i="106"/>
  <c r="D6893" i="106"/>
  <c r="B6877" i="106"/>
  <c r="D6877" i="106"/>
  <c r="B3703" i="106"/>
  <c r="D3703" i="106"/>
  <c r="K362" i="29"/>
  <c r="B3676" i="106"/>
  <c r="D3676" i="106"/>
  <c r="D352" i="29"/>
  <c r="D367" i="29"/>
  <c r="B3629" i="106"/>
  <c r="D3629" i="106"/>
  <c r="I76" i="4"/>
  <c r="L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66" i="106"/>
  <c r="D1266" i="106"/>
  <c r="B1239" i="106"/>
  <c r="D1239" i="106"/>
  <c r="E129" i="29"/>
  <c r="B1146" i="106"/>
  <c r="D1146" i="106"/>
  <c r="B122" i="106"/>
  <c r="D122" i="106"/>
  <c r="D41" i="3"/>
  <c r="E17" i="145"/>
  <c r="G17" i="145"/>
  <c r="B1134" i="106"/>
  <c r="D1134" i="106"/>
  <c r="B7759" i="106"/>
  <c r="D7759" i="106"/>
  <c r="B1339" i="106"/>
  <c r="D1339" i="106"/>
  <c r="C210" i="29"/>
  <c r="B1340" i="106"/>
  <c r="D1340"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E12" i="145"/>
  <c r="B731" i="106"/>
  <c r="D731" i="106"/>
  <c r="C74" i="29"/>
  <c r="B755" i="106"/>
  <c r="D755" i="106"/>
  <c r="B1116" i="106"/>
  <c r="D1116" i="106"/>
  <c r="F157" i="34"/>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L279" i="29"/>
  <c r="L295" i="29"/>
  <c r="L74" i="29"/>
  <c r="B720" i="106"/>
  <c r="D720" i="106"/>
  <c r="B2031" i="106"/>
  <c r="D2031" i="106"/>
  <c r="L16" i="11"/>
  <c r="B2061" i="106"/>
  <c r="D2061" i="106"/>
  <c r="B7618" i="106"/>
  <c r="L14" i="11"/>
  <c r="B7623" i="106"/>
  <c r="D7252" i="106"/>
  <c r="D7250" i="106"/>
  <c r="B7230" i="106"/>
  <c r="D7230" i="106"/>
  <c r="I352" i="29"/>
  <c r="I367" i="29"/>
  <c r="B7202" i="106"/>
  <c r="D7202" i="106"/>
  <c r="F342" i="29"/>
  <c r="B7219" i="106"/>
  <c r="D7219" i="106"/>
  <c r="B7503" i="106"/>
  <c r="B7531" i="106"/>
  <c r="D7251" i="106"/>
  <c r="B7214" i="106"/>
  <c r="D7214" i="106"/>
  <c r="B7201" i="106"/>
  <c r="D7201" i="106"/>
  <c r="E342" i="29"/>
  <c r="B7218" i="106"/>
  <c r="D7218" i="106"/>
  <c r="B6917" i="106"/>
  <c r="D6917" i="106"/>
  <c r="J74" i="29"/>
  <c r="D266" i="5"/>
  <c r="B5501" i="106"/>
  <c r="D5501" i="106"/>
  <c r="D7256" i="106"/>
  <c r="D7255" i="106"/>
  <c r="D7254" i="106"/>
  <c r="D7248" i="106"/>
  <c r="D7247" i="106"/>
  <c r="D7246" i="106"/>
  <c r="J312" i="29"/>
  <c r="B7117" i="106"/>
  <c r="D7117" i="106"/>
  <c r="I312" i="29"/>
  <c r="B7116" i="106"/>
  <c r="D7116" i="106"/>
  <c r="B6916" i="106"/>
  <c r="D6916" i="106"/>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127" i="106"/>
  <c r="D1127" i="106"/>
  <c r="B1133" i="106"/>
  <c r="D1133" i="106"/>
  <c r="B1123" i="106"/>
  <c r="D1123" i="106"/>
  <c r="B3640" i="106"/>
  <c r="D3640" i="106"/>
  <c r="F352" i="29"/>
  <c r="F367" i="29"/>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D279" i="29"/>
  <c r="D295" i="29"/>
  <c r="H196" i="29"/>
  <c r="B2828" i="106"/>
  <c r="D2828" i="106"/>
  <c r="B2986" i="106"/>
  <c r="D2986" i="106"/>
  <c r="B1256" i="106"/>
  <c r="D1256" i="106"/>
  <c r="B7013" i="106"/>
  <c r="D7013" i="106"/>
  <c r="B1135" i="106"/>
  <c r="D1135" i="106"/>
  <c r="B1141" i="106"/>
  <c r="D1141" i="106"/>
  <c r="B1021" i="106"/>
  <c r="D1021" i="106"/>
  <c r="H74" i="29"/>
  <c r="B847" i="106"/>
  <c r="D847" i="106"/>
  <c r="E74" i="29"/>
  <c r="E39" i="108"/>
  <c r="B1144" i="106"/>
  <c r="D1144" i="106"/>
  <c r="B1358" i="106"/>
  <c r="D1358" i="106"/>
  <c r="F210" i="29"/>
  <c r="B1359" i="106"/>
  <c r="D1359" i="106"/>
  <c r="B1345" i="106"/>
  <c r="D1345" i="106"/>
  <c r="D210" i="29"/>
  <c r="B1346" i="106"/>
  <c r="D1346" i="106"/>
  <c r="B1283" i="106"/>
  <c r="D1283" i="106"/>
  <c r="B1275" i="106"/>
  <c r="D1275" i="106"/>
  <c r="B1279" i="106"/>
  <c r="D1279" i="106"/>
  <c r="B1247" i="106"/>
  <c r="D1247" i="106"/>
  <c r="F129" i="29"/>
  <c r="B1231" i="106"/>
  <c r="D1231" i="106"/>
  <c r="D129" i="29"/>
  <c r="B1109" i="106"/>
  <c r="D1109" i="106"/>
  <c r="H102" i="29"/>
  <c r="B1047" i="106"/>
  <c r="D1047" i="106"/>
  <c r="B905" i="106"/>
  <c r="D905" i="106"/>
  <c r="F74" i="29"/>
  <c r="D74" i="29"/>
  <c r="B211" i="106"/>
  <c r="D211" i="106"/>
  <c r="B188" i="106"/>
  <c r="D188" i="106"/>
  <c r="G41" i="3"/>
  <c r="B139" i="106"/>
  <c r="D139" i="106"/>
  <c r="J19" i="145"/>
  <c r="D82" i="36"/>
  <c r="L151" i="29"/>
  <c r="C266" i="5"/>
  <c r="J24" i="12"/>
  <c r="B7730" i="106"/>
  <c r="D7730" i="106"/>
  <c r="B7270" i="106"/>
  <c r="J16" i="4"/>
  <c r="B6226" i="106"/>
  <c r="D6226" i="106"/>
  <c r="B1328" i="106"/>
  <c r="D1328" i="106"/>
  <c r="K365" i="29"/>
  <c r="B7243" i="106"/>
  <c r="D7243" i="106"/>
  <c r="B7235" i="106"/>
  <c r="D7235" i="106"/>
  <c r="D41" i="108"/>
  <c r="E43" i="108"/>
  <c r="B1381" i="106"/>
  <c r="D1381" i="106"/>
  <c r="B1317" i="106"/>
  <c r="D1317" i="106"/>
  <c r="F41" i="108"/>
  <c r="G43" i="108"/>
  <c r="B1225" i="106"/>
  <c r="D1225" i="106"/>
  <c r="J151" i="29"/>
  <c r="B7052" i="106"/>
  <c r="D7052" i="106"/>
  <c r="H151" i="29"/>
  <c r="B1273" i="106"/>
  <c r="D1273" i="106"/>
  <c r="L114" i="29"/>
  <c r="C114" i="29"/>
  <c r="B757" i="106"/>
  <c r="D757" i="106"/>
  <c r="B5527" i="106"/>
  <c r="D5527" i="106"/>
  <c r="F174" i="34"/>
  <c r="D51" i="36"/>
  <c r="K77" i="4"/>
  <c r="B3587" i="106"/>
  <c r="D3587" i="106"/>
  <c r="D44" i="36"/>
  <c r="B5778" i="106"/>
  <c r="D5778" i="106"/>
  <c r="G6" i="4"/>
  <c r="B2604" i="106"/>
  <c r="D2604" i="106"/>
  <c r="B3568" i="106"/>
  <c r="D3568" i="106"/>
  <c r="D52" i="36"/>
  <c r="B1365" i="106"/>
  <c r="D1365" i="106"/>
  <c r="D7253" i="106"/>
  <c r="B5770" i="106"/>
  <c r="D5770" i="106"/>
  <c r="B1996" i="106"/>
  <c r="D1996" i="106"/>
  <c r="I26" i="12"/>
  <c r="B7741" i="106"/>
  <c r="D7741" i="106"/>
  <c r="B7733" i="106"/>
  <c r="D7733" i="106"/>
  <c r="K26" i="12"/>
  <c r="B7743" i="106"/>
  <c r="D7743" i="106"/>
  <c r="B1879" i="106"/>
  <c r="D1879" i="106"/>
  <c r="H22" i="37"/>
  <c r="B3628" i="106"/>
  <c r="D3628" i="106"/>
  <c r="G15" i="4"/>
  <c r="B6032" i="106"/>
  <c r="D6032" i="106"/>
  <c r="B3670" i="106"/>
  <c r="D3670" i="106"/>
  <c r="K352"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5915" i="106"/>
  <c r="D5915" i="106"/>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B171" i="106"/>
  <c r="D171" i="106"/>
  <c r="D47" i="36"/>
  <c r="B1515" i="106"/>
  <c r="D1515" i="106"/>
  <c r="G16" i="4"/>
  <c r="B2611" i="106"/>
  <c r="D2611" i="10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B1115" i="106"/>
  <c r="D1115" i="106"/>
  <c r="G21" i="108"/>
  <c r="E21" i="108"/>
  <c r="D151" i="29"/>
  <c r="B1234" i="106"/>
  <c r="D1234" i="106"/>
  <c r="B1233" i="106"/>
  <c r="D1233" i="106"/>
  <c r="F151" i="29"/>
  <c r="B1250" i="106"/>
  <c r="D1250" i="106"/>
  <c r="B1249" i="106"/>
  <c r="D1249" i="106"/>
  <c r="B7048" i="106"/>
  <c r="D7048" i="106"/>
  <c r="B2837" i="106"/>
  <c r="D2837" i="106"/>
  <c r="B1258" i="106"/>
  <c r="D1258" i="106"/>
  <c r="B1331" i="106"/>
  <c r="D1331" i="106"/>
  <c r="E16" i="4"/>
  <c r="B1446" i="106"/>
  <c r="D1446" i="106"/>
  <c r="B1448" i="106"/>
  <c r="D1448" i="106"/>
  <c r="B1125" i="106"/>
  <c r="D1125" i="106"/>
  <c r="G24" i="108"/>
  <c r="E24" i="108"/>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90" i="106"/>
  <c r="D190" i="106"/>
  <c r="D48"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B1481" i="106"/>
  <c r="D1481" i="106"/>
  <c r="B2102" i="106"/>
  <c r="D2102" i="106"/>
  <c r="H15" i="4"/>
  <c r="B2660" i="106"/>
  <c r="D2660" i="106"/>
  <c r="B3636" i="106"/>
  <c r="D3636"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7298" i="106"/>
  <c r="B7299" i="106"/>
  <c r="K16" i="4"/>
  <c r="B3574" i="106"/>
  <c r="D3574" i="106"/>
  <c r="K367" i="29"/>
  <c r="B7051" i="106"/>
  <c r="D7051" i="106"/>
  <c r="B1145" i="106"/>
  <c r="D1145" i="106"/>
  <c r="B7224" i="106"/>
  <c r="D7224" i="106"/>
  <c r="D268" i="5"/>
  <c r="B5508" i="106"/>
  <c r="D5508" i="106"/>
  <c r="E41" i="108"/>
  <c r="E44" i="108"/>
  <c r="E45" i="108"/>
  <c r="J17" i="4"/>
  <c r="B6227" i="106"/>
  <c r="D6227" i="106"/>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B5223" i="106"/>
  <c r="D5223" i="106"/>
  <c r="C6" i="4"/>
  <c r="B2553" i="106"/>
  <c r="D2553" i="106"/>
  <c r="J8" i="4"/>
  <c r="K313" i="29"/>
  <c r="B1561" i="106"/>
  <c r="D1561" i="106"/>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B1281" i="106"/>
  <c r="D1281" i="106"/>
  <c r="D13" i="4"/>
  <c r="B2634" i="106"/>
  <c r="D2634" i="106"/>
  <c r="E17" i="4"/>
  <c r="B1332" i="106"/>
  <c r="D1332" i="106"/>
  <c r="B1259" i="106"/>
  <c r="D1259" i="106"/>
  <c r="B989" i="106"/>
  <c r="D989" i="106"/>
  <c r="C268" i="5"/>
  <c r="B5326" i="106"/>
  <c r="D5326" i="106"/>
  <c r="C7" i="4"/>
  <c r="H37" i="37"/>
  <c r="B285" i="106"/>
  <c r="D285" i="106"/>
  <c r="N37" i="3"/>
  <c r="B3678" i="106"/>
  <c r="D3678" i="106"/>
  <c r="K368" i="29"/>
  <c r="B3681" i="106"/>
  <c r="D3681" i="106"/>
  <c r="B1510" i="106"/>
  <c r="D1510" i="106"/>
  <c r="G13" i="4"/>
  <c r="B1282" i="106"/>
  <c r="D1282" i="106"/>
  <c r="D15" i="4"/>
  <c r="B2571" i="106"/>
  <c r="D2571" i="106"/>
  <c r="B5869" i="106"/>
  <c r="D5869" i="106"/>
  <c r="G268" i="5"/>
  <c r="G7" i="4"/>
  <c r="B3225" i="106"/>
  <c r="D3225" i="106"/>
  <c r="I8" i="4"/>
  <c r="B7020" i="106"/>
  <c r="D7020" i="106"/>
  <c r="F17" i="11"/>
  <c r="B2659" i="106"/>
  <c r="D2659" i="106"/>
  <c r="H17" i="4"/>
  <c r="B1387" i="106"/>
  <c r="D1387" i="106"/>
  <c r="F16" i="4"/>
  <c r="B2599" i="106"/>
  <c r="D2599" i="106"/>
  <c r="B1382" i="106"/>
  <c r="D1382" i="106"/>
  <c r="F15" i="4"/>
  <c r="B1287" i="106"/>
  <c r="D1287" i="106"/>
  <c r="D16" i="4"/>
  <c r="B2572" i="106"/>
  <c r="D2572" i="106"/>
  <c r="B1143" i="106"/>
  <c r="D1143" i="106"/>
  <c r="C13" i="4"/>
  <c r="B2557" i="106"/>
  <c r="D2557" i="106"/>
  <c r="B2567" i="106"/>
  <c r="D2567" i="106"/>
  <c r="F8" i="4"/>
  <c r="F10" i="4"/>
  <c r="B4125" i="106"/>
  <c r="D4125" i="106"/>
  <c r="K17" i="4"/>
  <c r="B3575" i="106"/>
  <c r="D3575" i="106"/>
  <c r="J19" i="4"/>
  <c r="B6229" i="106"/>
  <c r="D6229" i="106"/>
  <c r="J20" i="4"/>
  <c r="B6230" i="106"/>
  <c r="D6230" i="106"/>
  <c r="J10" i="4"/>
  <c r="B6225" i="106"/>
  <c r="D6225" i="106"/>
  <c r="B6223" i="106"/>
  <c r="D6223" i="106"/>
  <c r="D8" i="146"/>
  <c r="B2595" i="106"/>
  <c r="D2595" i="106"/>
  <c r="D8" i="4"/>
  <c r="C8" i="146"/>
  <c r="D10" i="171"/>
  <c r="D19" i="171"/>
  <c r="D32" i="171"/>
  <c r="D49" i="171"/>
  <c r="B2658" i="106"/>
  <c r="D2658" i="106"/>
  <c r="H10" i="4"/>
  <c r="B4127" i="106"/>
  <c r="D4127" i="106"/>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K20" i="4"/>
  <c r="K78" i="4"/>
  <c r="K19" i="4"/>
  <c r="B4144" i="106"/>
  <c r="D4144" i="106"/>
  <c r="J78" i="4"/>
  <c r="J81" i="4"/>
  <c r="D10" i="4"/>
  <c r="B4123" i="106"/>
  <c r="D4123" i="106"/>
  <c r="B2568" i="106"/>
  <c r="D2568" i="106"/>
  <c r="H13" i="118"/>
  <c r="D20" i="4"/>
  <c r="B2574" i="106"/>
  <c r="D2574" i="106"/>
  <c r="F175"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B3576" i="106"/>
  <c r="D3576" i="106"/>
  <c r="B6263" i="106"/>
  <c r="D6263" i="106"/>
  <c r="D78" i="4"/>
  <c r="D81" i="4"/>
  <c r="B3588" i="106"/>
  <c r="D3588" i="106"/>
  <c r="K81" i="4"/>
  <c r="F78" i="4"/>
  <c r="B2601" i="106"/>
  <c r="D2601" i="106"/>
  <c r="B3320" i="106"/>
  <c r="D3320" i="106"/>
  <c r="K17" i="118"/>
  <c r="B3300" i="106"/>
  <c r="D3300" i="106"/>
  <c r="B7631" i="106"/>
  <c r="F176" i="34"/>
  <c r="F177" i="34"/>
  <c r="F179" i="34"/>
  <c r="A7262" i="106"/>
  <c r="D7261" i="106"/>
  <c r="H16" i="37"/>
  <c r="G78" i="4"/>
  <c r="B2613" i="106"/>
  <c r="D2613" i="106"/>
  <c r="B2562" i="106"/>
  <c r="D2562" i="106"/>
  <c r="C78" i="4"/>
  <c r="B10" i="146"/>
  <c r="F9" i="146"/>
  <c r="F10" i="146"/>
  <c r="E78" i="4"/>
  <c r="B2636" i="106"/>
  <c r="D2636" i="106"/>
  <c r="D64" i="36"/>
  <c r="J82" i="4"/>
  <c r="B6266" i="106"/>
  <c r="D6266" i="106"/>
  <c r="B3239" i="106"/>
  <c r="D3239" i="106"/>
  <c r="B3278" i="106"/>
  <c r="D3278" i="106"/>
  <c r="B3233" i="106"/>
  <c r="D3233" i="106"/>
  <c r="C81" i="4"/>
  <c r="A7263" i="106"/>
  <c r="D7262" i="106"/>
  <c r="O16" i="118"/>
  <c r="F81" i="4"/>
  <c r="B3256" i="106"/>
  <c r="D3256" i="106"/>
  <c r="G81" i="4"/>
  <c r="B3262" i="106"/>
  <c r="D3262" i="106"/>
  <c r="B3591" i="106"/>
  <c r="D3591" i="106"/>
  <c r="D65" i="36"/>
  <c r="K82" i="4"/>
  <c r="J83" i="4"/>
  <c r="B6283" i="106"/>
  <c r="D6283" i="106"/>
  <c r="B6274" i="106"/>
  <c r="D6274" i="106"/>
  <c r="D82" i="4"/>
  <c r="B1644" i="106"/>
  <c r="D1644" i="106"/>
  <c r="D58" i="36"/>
  <c r="C11" i="146"/>
  <c r="B6275" i="106"/>
  <c r="D6275" i="106"/>
  <c r="K83" i="4"/>
  <c r="B6284" i="106"/>
  <c r="D6284" i="106"/>
  <c r="B11" i="146"/>
  <c r="C82" i="4"/>
  <c r="D57" i="36"/>
  <c r="B1630" i="106"/>
  <c r="D1630" i="106"/>
  <c r="G82" i="4"/>
  <c r="D61" i="36"/>
  <c r="B1686" i="106"/>
  <c r="D1686" i="106"/>
  <c r="B1672" i="106"/>
  <c r="D1672" i="106"/>
  <c r="F82" i="4"/>
  <c r="D11" i="146"/>
  <c r="D60" i="36"/>
  <c r="A7264" i="106"/>
  <c r="D7263" i="106"/>
  <c r="B6268" i="106"/>
  <c r="D6268" i="106"/>
  <c r="D83" i="4"/>
  <c r="B6277" i="106"/>
  <c r="D6277" i="106"/>
  <c r="A7265" i="106"/>
  <c r="D7264"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3321" i="106"/>
  <c r="D3321" i="106"/>
  <c r="I81" i="4"/>
  <c r="B1687" i="106"/>
  <c r="D1687" i="106"/>
  <c r="H81" i="4"/>
  <c r="B1645" i="106"/>
  <c r="D1645" i="106"/>
  <c r="E81" i="4"/>
  <c r="B3323" i="106"/>
  <c r="D3323" i="106"/>
  <c r="E11" i="146"/>
  <c r="F11" i="146"/>
  <c r="I82" i="4"/>
  <c r="J16" i="37"/>
  <c r="B4269" i="106"/>
  <c r="D4269" i="106"/>
  <c r="H12" i="118"/>
  <c r="K12" i="118"/>
  <c r="B1700" i="106"/>
  <c r="D1700" i="106"/>
  <c r="H82" i="4"/>
  <c r="E82" i="4"/>
  <c r="B1658" i="106"/>
  <c r="D1658" i="106"/>
  <c r="O11" i="118"/>
  <c r="O13" i="118"/>
  <c r="J20" i="118"/>
  <c r="I83" i="4"/>
  <c r="B6282" i="106"/>
  <c r="D6282" i="106"/>
  <c r="B6273" i="106"/>
  <c r="D6273" i="106"/>
  <c r="C12" i="146"/>
  <c r="D29" i="36"/>
  <c r="J24" i="24"/>
  <c r="H83" i="4"/>
  <c r="B6281" i="106"/>
  <c r="D6281" i="106"/>
  <c r="B6272" i="106"/>
  <c r="D6272" i="106"/>
  <c r="B6269" i="106"/>
  <c r="D6269" i="106"/>
  <c r="E83" i="4"/>
  <c r="B6278" i="106"/>
  <c r="D6278" i="106"/>
  <c r="K20" i="118"/>
  <c r="O17" i="118"/>
  <c r="O20" i="118"/>
  <c r="O35" i="118"/>
  <c r="O37" i="118"/>
  <c r="B2912" i="106"/>
  <c r="D2912" i="106"/>
  <c r="I41" i="3"/>
  <c r="D63" i="36"/>
  <c r="B140" i="106"/>
  <c r="D140" i="106"/>
  <c r="E41" i="3"/>
  <c r="D59" i="36"/>
  <c r="D50" i="36"/>
  <c r="B2913" i="106"/>
  <c r="D2913" i="106"/>
  <c r="B141" i="106"/>
  <c r="D141" i="106"/>
  <c r="D46" i="36"/>
  <c r="B212" i="106"/>
  <c r="D212" i="106"/>
  <c r="H41" i="3"/>
  <c r="D62" i="36"/>
  <c r="D76" i="36"/>
  <c r="B282" i="106"/>
  <c r="D282" i="106"/>
  <c r="N23" i="3"/>
  <c r="D49" i="36"/>
  <c r="B213" i="106"/>
  <c r="D213" i="106"/>
  <c r="B284" i="106"/>
  <c r="D284" i="106"/>
  <c r="D55" i="36"/>
  <c r="B1" i="183" l="1"/>
  <c r="B1" i="187" s="1"/>
  <c r="B1" i="18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<sst xmlns="http://schemas.openxmlformats.org/spreadsheetml/2006/main" count="5286" uniqueCount="2168">
  <si>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</si>
  <si>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</si>
  <si>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</si>
  <si>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</si>
  <si>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</si>
  <si>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</si>
  <si>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</si>
  <si>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</si>
  <si>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</si>
  <si>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</si>
  <si>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</si>
  <si>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</si>
  <si>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</si>
  <si>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</si>
  <si>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</si>
  <si>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</si>
  <si>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</si>
  <si>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</si>
  <si>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</si>
  <si>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</si>
  <si>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</si>
  <si>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</si>
  <si>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</si>
  <si>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</si>
  <si>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</si>
  <si>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</si>
  <si>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</si>
  <si>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</si>
  <si>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</si>
  <si>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</si>
  <si>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</si>
  <si>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</si>
  <si>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</si>
  <si>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</si>
  <si>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</si>
  <si>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</si>
  <si>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</si>
  <si>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</si>
  <si>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</si>
  <si>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</si>
  <si>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</si>
  <si>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</si>
  <si>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</si>
  <si>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</si>
  <si>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</si>
  <si>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</si>
  <si>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</si>
  <si>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</si>
  <si>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</si>
  <si>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</si>
  <si>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</si>
  <si>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</si>
  <si>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</si>
  <si>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</si>
  <si>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</si>
  <si>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</si>
  <si>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</si>
  <si>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</si>
  <si>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</si>
  <si>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</si>
  <si>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</si>
  <si>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</si>
  <si>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</si>
  <si>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</si>
  <si>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</si>
  <si>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</si>
  <si>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</si>
  <si>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</si>
  <si>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</si>
  <si>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</si>
  <si>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</si>
  <si>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</si>
  <si>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</si>
  <si>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</si>
  <si>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</si>
  <si>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</si>
  <si>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</si>
  <si>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</si>
  <si>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</si>
  <si>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</si>
  <si>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</si>
  <si>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</si>
  <si>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</si>
  <si>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</si>
  <si>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</si>
  <si>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</si>
  <si>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</si>
  <si>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</si>
  <si>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</si>
  <si>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</si>
  <si>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</si>
  <si>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</si>
  <si>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</si>
  <si>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</si>
  <si>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</si>
  <si>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</si>
  <si>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</si>
  <si>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</si>
  <si>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</si>
  <si>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</si>
  <si>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</si>
  <si>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</si>
  <si>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</si>
  <si>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</si>
  <si>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</si>
  <si>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</si>
  <si>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</si>
  <si>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</si>
  <si>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</si>
  <si>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</si>
  <si>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</si>
  <si>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</si>
  <si>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</si>
  <si>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</si>
  <si>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</si>
  <si>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</si>
  <si>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</si>
  <si>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</si>
  <si>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</si>
  <si>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</si>
  <si>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</si>
  <si>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</si>
  <si>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</si>
  <si>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</si>
  <si>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</si>
  <si>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</si>
  <si>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</si>
  <si>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</si>
  <si>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</si>
  <si>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</si>
  <si>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</si>
  <si>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</si>
  <si>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</si>
  <si>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</si>
  <si>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</si>
  <si>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</si>
  <si>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</si>
  <si>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</si>
  <si>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</si>
  <si>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</si>
  <si>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</si>
  <si>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</si>
  <si>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</si>
  <si>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</si>
  <si>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</si>
  <si>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</si>
  <si>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</si>
  <si>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</si>
  <si>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</si>
  <si>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</si>
  <si>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</si>
  <si>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</si>
  <si>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</si>
  <si>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</si>
  <si>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</si>
  <si>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</si>
  <si>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</si>
  <si>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</si>
  <si>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</si>
  <si>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</si>
  <si>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</si>
  <si>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</si>
  <si>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</si>
  <si>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</si>
  <si>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</si>
  <si>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</si>
  <si>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</si>
  <si>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</si>
  <si>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</si>
  <si>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</si>
  <si>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</si>
  <si>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</si>
  <si>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</si>
  <si>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</si>
  <si>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</si>
  <si>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</si>
  <si>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</si>
  <si>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</si>
  <si>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</si>
  <si>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</si>
  <si>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</si>
  <si>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</si>
  <si>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</si>
  <si>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</si>
  <si>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</si>
  <si>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</si>
  <si>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</si>
  <si>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</si>
  <si>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</si>
  <si>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</si>
  <si>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</si>
  <si>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</si>
  <si>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</si>
  <si>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</si>
  <si>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</si>
  <si>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</si>
  <si>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</si>
  <si>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</si>
  <si>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</si>
  <si>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</si>
  <si>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</si>
  <si>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</si>
  <si>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</si>
  <si>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</si>
  <si>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</si>
  <si>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</si>
  <si>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</si>
  <si>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</si>
  <si>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</si>
  <si>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</si>
  <si>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</si>
  <si>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</si>
  <si>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</si>
  <si>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</si>
  <si>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</si>
  <si>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</si>
  <si>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</si>
  <si>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</si>
  <si>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</si>
  <si>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</si>
  <si>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</si>
  <si>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</si>
  <si>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</si>
  <si>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</si>
  <si>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</si>
  <si>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</si>
  <si>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</si>
  <si>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</si>
  <si>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</si>
  <si>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</si>
  <si>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</si>
  <si>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</si>
  <si>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</si>
  <si>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</si>
  <si>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</si>
  <si>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</si>
  <si>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</si>
  <si>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</si>
  <si>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</si>
  <si>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</si>
  <si>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</si>
  <si>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</si>
  <si>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</si>
  <si>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</si>
  <si>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</si>
  <si>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</si>
  <si>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</si>
  <si>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</si>
  <si>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</si>
  <si>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</si>
  <si>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</si>
  <si>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</si>
  <si>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</si>
  <si>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</si>
  <si>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</si>
  <si>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</si>
  <si>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</si>
  <si>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</si>
  <si>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</si>
  <si>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</si>
  <si>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</si>
  <si>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</si>
  <si>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</si>
  <si>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</si>
  <si>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</si>
  <si>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</si>
  <si>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</si>
  <si>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</si>
  <si>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</si>
  <si>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</si>
  <si>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</si>
  <si>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</si>
  <si>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</si>
  <si>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</si>
  <si>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</si>
  <si>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</si>
  <si>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</si>
  <si>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</si>
  <si>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</si>
  <si>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</si>
  <si>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</si>
  <si>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</si>
  <si>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</si>
  <si>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</si>
  <si>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</si>
  <si>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</si>
  <si>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</si>
  <si>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</si>
  <si>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</si>
  <si>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</si>
  <si>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</si>
  <si>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</si>
  <si>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</si>
  <si>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</si>
  <si>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</si>
  <si>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</si>
  <si>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</si>
  <si>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</si>
  <si>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</si>
  <si>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</si>
  <si>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</si>
  <si>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</si>
  <si>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</si>
  <si>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</si>
  <si>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</si>
  <si>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</si>
  <si>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</si>
  <si>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</si>
  <si>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</si>
  <si>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</si>
  <si>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</si>
  <si>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</si>
  <si>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</si>
  <si>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</si>
  <si>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</si>
  <si>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</si>
  <si>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</si>
  <si>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</si>
  <si>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</si>
  <si>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</si>
  <si>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</si>
  <si>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</si>
  <si>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</si>
  <si>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</si>
  <si>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</si>
  <si>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</si>
  <si>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</si>
  <si>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</si>
  <si>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</si>
  <si>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</si>
  <si>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</si>
  <si>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</si>
  <si>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</si>
  <si>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</si>
  <si>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</si>
  <si>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</si>
  <si>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</si>
  <si>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</si>
  <si>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</si>
  <si>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</si>
  <si>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</si>
  <si>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</si>
  <si>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</si>
  <si>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</si>
  <si>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</si>
  <si>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</si>
  <si>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</si>
  <si>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</si>
  <si>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</si>
  <si>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</si>
  <si>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</si>
  <si>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</si>
  <si>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</si>
  <si>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</si>
  <si>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</si>
  <si>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</si>
  <si>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</si>
  <si>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</si>
  <si>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</si>
  <si>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</si>
  <si>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</si>
  <si>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</si>
  <si>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</si>
  <si>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</si>
  <si>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</si>
  <si>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</si>
  <si>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</si>
  <si>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</si>
  <si>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</si>
  <si>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</si>
  <si>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</si>
  <si>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</si>
  <si>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</si>
  <si>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</si>
  <si>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</si>
  <si>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</si>
  <si>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</si>
  <si>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</si>
  <si>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</si>
  <si>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</si>
  <si>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</si>
  <si>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</si>
  <si>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</si>
  <si>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</si>
  <si>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</si>
  <si>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</si>
  <si>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</si>
  <si>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</si>
  <si>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</si>
  <si>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</si>
  <si>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</si>
  <si>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</si>
  <si>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</si>
  <si>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</si>
  <si>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</si>
  <si>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</si>
  <si>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</si>
  <si>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</si>
  <si>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</si>
  <si>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</si>
  <si>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</si>
  <si>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</si>
  <si>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</si>
  <si>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</si>
  <si>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</si>
  <si>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</si>
  <si>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</si>
  <si>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</si>
  <si>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</si>
  <si>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</si>
  <si>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</si>
  <si>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</si>
  <si>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</si>
  <si>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</si>
  <si>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</si>
  <si>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</si>
  <si>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</si>
  <si>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</si>
  <si>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</si>
  <si>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</si>
  <si>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</si>
  <si>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</si>
  <si>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</si>
  <si>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</si>
  <si>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</si>
  <si>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</si>
  <si>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</si>
  <si>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</si>
  <si>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</si>
  <si>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</si>
  <si>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</si>
  <si>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</si>
  <si>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</si>
  <si>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</si>
  <si>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</si>
  <si>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</si>
  <si>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</si>
  <si>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</si>
  <si>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</si>
  <si>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</si>
  <si>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</si>
  <si>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</si>
  <si>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</si>
  <si>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</si>
  <si>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</si>
  <si>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</si>
  <si>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</si>
  <si>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</si>
  <si>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</si>
  <si>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</si>
  <si>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</si>
  <si>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</si>
  <si>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</si>
  <si>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</si>
  <si>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</si>
  <si>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</si>
  <si>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</si>
  <si>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</si>
  <si>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</si>
  <si>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</si>
  <si>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</si>
  <si>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</si>
  <si>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</si>
  <si>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</si>
  <si>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</si>
  <si>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</si>
  <si>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</si>
  <si>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</si>
  <si>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</si>
  <si>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</si>
  <si>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</si>
  <si>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</si>
  <si>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</si>
  <si>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</si>
  <si>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</si>
  <si>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</si>
  <si>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</si>
  <si>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</si>
  <si>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</si>
  <si>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</si>
  <si>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</si>
  <si>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</si>
  <si>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</si>
  <si>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</si>
  <si>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</si>
  <si>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</si>
  <si>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</si>
  <si>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</si>
  <si>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</si>
  <si>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</si>
  <si>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</si>
  <si>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</si>
  <si>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</si>
  <si>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</si>
  <si>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</si>
  <si>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</si>
  <si>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</si>
  <si>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</si>
  <si>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</si>
  <si>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</si>
  <si>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</si>
  <si>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</si>
  <si>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</si>
  <si>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</si>
  <si>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</si>
  <si>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</si>
  <si>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</si>
  <si>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</si>
  <si>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</si>
  <si>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</si>
  <si>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</si>
  <si>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</si>
  <si>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</si>
  <si>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</si>
  <si>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</si>
  <si>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</si>
  <si>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</si>
  <si>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</si>
  <si>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</si>
  <si>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</si>
  <si>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</si>
  <si>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</si>
  <si>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</si>
  <si>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</si>
  <si>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</si>
  <si>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</si>
  <si>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</si>
  <si>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</si>
  <si>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</si>
  <si>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</si>
  <si>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</si>
  <si>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</si>
  <si>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</si>
  <si>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</si>
  <si>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</si>
  <si>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</si>
  <si>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</si>
  <si>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</si>
  <si>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</si>
  <si>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</si>
  <si>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</si>
  <si>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</si>
  <si>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</si>
  <si>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</si>
  <si>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</si>
  <si>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</si>
  <si>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</si>
  <si>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</si>
  <si>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</si>
  <si>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</si>
  <si>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</si>
  <si>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</si>
  <si>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</si>
  <si>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</si>
  <si>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</si>
  <si>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</si>
  <si>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</si>
  <si>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</si>
  <si>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</si>
  <si>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</si>
  <si>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</si>
  <si>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</si>
  <si>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</si>
  <si>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</si>
  <si>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</si>
  <si>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</si>
  <si>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</si>
  <si>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</si>
  <si>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</si>
  <si>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</si>
  <si>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</si>
  <si>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</si>
  <si>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</si>
  <si>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</si>
  <si>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</si>
  <si>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</si>
  <si>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</si>
  <si>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</si>
  <si>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</si>
  <si>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</si>
  <si>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</si>
  <si>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</si>
  <si>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</si>
  <si>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</si>
  <si>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</si>
  <si>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</si>
  <si>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</si>
  <si>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</si>
  <si>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</si>
  <si>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</si>
  <si>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</si>
  <si>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</si>
  <si>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</si>
  <si>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</si>
  <si>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</si>
  <si>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</si>
  <si>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</si>
  <si>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</si>
  <si>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</si>
  <si>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</si>
  <si>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</si>
  <si>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</si>
  <si>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</si>
  <si>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</si>
  <si>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</si>
  <si>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</si>
  <si>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</si>
  <si>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</si>
  <si>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</si>
  <si>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</si>
  <si>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</si>
  <si>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</si>
  <si>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</si>
  <si>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</si>
  <si>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</si>
  <si>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</si>
  <si>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</si>
  <si>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</si>
  <si>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</si>
  <si>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</si>
  <si>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</si>
  <si>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</si>
  <si>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</si>
  <si>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</si>
  <si>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</si>
  <si>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</si>
  <si>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</si>
  <si>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</si>
  <si>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</si>
  <si>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</si>
  <si>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</si>
  <si>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</si>
  <si>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</si>
  <si>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</si>
  <si>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</si>
  <si>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</si>
  <si>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</si>
  <si>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</si>
  <si>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</si>
  <si>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</si>
  <si>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</si>
  <si>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</si>
  <si>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</si>
  <si>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</si>
  <si>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</si>
  <si>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</si>
  <si>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</si>
  <si>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</si>
  <si>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</si>
  <si>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</si>
  <si>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</si>
  <si>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</si>
  <si>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</si>
  <si>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</si>
  <si>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</si>
  <si>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</si>
  <si>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</si>
  <si>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</si>
  <si>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</si>
  <si>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</si>
  <si>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</si>
  <si>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</si>
  <si>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</si>
  <si>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</si>
  <si>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</si>
  <si>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</si>
  <si>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</si>
  <si>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</si>
  <si>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</si>
  <si>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</si>
  <si>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</si>
  <si>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</si>
  <si>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</si>
  <si>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</si>
  <si>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</si>
  <si>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</si>
  <si>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</si>
  <si>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</si>
  <si>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</si>
  <si>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</si>
  <si>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</si>
  <si>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</si>
  <si>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</si>
  <si>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</si>
  <si>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</si>
  <si>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</si>
  <si>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</si>
  <si>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</si>
  <si>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</si>
  <si>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</si>
  <si>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</si>
  <si>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</si>
  <si>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</si>
  <si>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</si>
  <si>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</si>
  <si>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</si>
  <si>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</si>
  <si>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</si>
  <si>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</si>
  <si>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</si>
  <si>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</si>
  <si>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</si>
  <si>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</si>
  <si>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</si>
  <si>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</si>
  <si>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</si>
  <si>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</si>
  <si>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</si>
  <si>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</si>
  <si>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</si>
  <si>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</si>
  <si>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</si>
  <si>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</si>
  <si>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</si>
  <si>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</si>
  <si>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</si>
  <si>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</si>
  <si>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</si>
  <si>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</si>
  <si>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</si>
  <si>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</si>
  <si>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</si>
  <si>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</si>
  <si>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</si>
  <si>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</si>
  <si>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</si>
  <si>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</si>
  <si>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</si>
  <si>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</si>
  <si>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</si>
  <si>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</si>
  <si>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</si>
  <si>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</si>
  <si>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</si>
  <si>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</si>
  <si>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</si>
  <si>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</si>
  <si>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</si>
  <si>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</si>
  <si>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</si>
  <si>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</si>
  <si>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</si>
  <si>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</si>
  <si>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</si>
  <si>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</si>
  <si>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</si>
  <si>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</si>
  <si>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</si>
  <si>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</si>
  <si>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</si>
  <si>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</si>
  <si>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</si>
  <si>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</si>
  <si>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</si>
  <si>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</si>
  <si>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</si>
  <si>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</si>
  <si>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</si>
  <si>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</si>
  <si>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</si>
  <si>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</si>
  <si>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</si>
  <si>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</si>
  <si>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</si>
  <si>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</si>
  <si>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</si>
  <si>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</si>
  <si>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</si>
  <si>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</si>
  <si>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</si>
  <si>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</si>
  <si>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</si>
  <si>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</si>
  <si>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</si>
  <si>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</si>
  <si>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</si>
  <si>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</si>
  <si>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</si>
  <si>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</si>
  <si>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</si>
  <si>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</si>
  <si>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</si>
  <si>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</si>
  <si>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</si>
  <si>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</si>
  <si>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</si>
  <si>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</si>
  <si>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</si>
  <si>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</si>
  <si>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</si>
  <si>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</si>
  <si>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</si>
  <si>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</si>
  <si>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</si>
  <si>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</si>
  <si>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</si>
  <si>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</si>
  <si>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</si>
  <si>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</si>
  <si>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</si>
  <si>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</si>
  <si>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</si>
  <si>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</si>
  <si>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</si>
  <si>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</si>
  <si>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</si>
  <si>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</si>
  <si>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</si>
  <si>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</si>
  <si>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</si>
  <si>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</si>
  <si>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</si>
  <si>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</si>
  <si>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</si>
  <si>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</si>
  <si>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</si>
  <si>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</si>
  <si>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</si>
  <si>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</si>
  <si>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</si>
  <si>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</si>
  <si>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</si>
  <si>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</si>
  <si>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</si>
  <si>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</si>
  <si>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</si>
  <si>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</si>
  <si>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</si>
  <si>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</si>
  <si>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</si>
  <si>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</si>
  <si>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</si>
  <si>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</si>
  <si>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</si>
  <si>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</si>
  <si>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</si>
  <si>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</si>
  <si>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</si>
  <si>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</si>
  <si>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</si>
  <si>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</si>
  <si>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</si>
  <si>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</si>
  <si>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</si>
  <si>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</si>
  <si>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</si>
  <si>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</si>
  <si>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</si>
  <si>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</si>
  <si>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</si>
  <si>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</si>
  <si>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</si>
  <si>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</si>
  <si>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</si>
  <si>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</si>
  <si>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</si>
  <si>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</si>
  <si>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</si>
  <si>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</si>
  <si>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</si>
  <si>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</si>
  <si>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</si>
  <si>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</si>
  <si>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</si>
  <si>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</si>
  <si>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</si>
  <si>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</si>
  <si>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</si>
  <si>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</si>
  <si>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</si>
  <si>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</si>
  <si>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</si>
  <si>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</si>
  <si>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</si>
  <si>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</si>
  <si>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</si>
  <si>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</si>
  <si>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</si>
  <si>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</si>
  <si>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</si>
  <si>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</si>
  <si>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</si>
  <si>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</si>
  <si>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</si>
  <si>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</si>
  <si>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</si>
  <si>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</si>
  <si>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</si>
  <si>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</si>
  <si>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</si>
  <si>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</si>
  <si>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</si>
  <si>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</si>
  <si>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</si>
  <si>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</si>
  <si>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</si>
  <si>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</si>
  <si>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</si>
  <si>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</si>
  <si>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</si>
  <si>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</si>
  <si>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</si>
  <si>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</si>
  <si>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</si>
  <si>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</si>
  <si>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</si>
  <si>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</si>
  <si>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</si>
  <si>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</si>
  <si>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</si>
  <si>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</si>
  <si>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</si>
  <si>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</si>
  <si>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</si>
  <si>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</si>
  <si>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</si>
  <si>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</si>
  <si>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</si>
  <si>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</si>
  <si>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</si>
  <si>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</si>
  <si>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</si>
  <si>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</si>
  <si>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</si>
  <si>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</si>
  <si>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</si>
  <si>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</si>
  <si>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</si>
  <si>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</si>
  <si>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</si>
  <si>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</si>
  <si>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</si>
  <si>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</si>
  <si>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</si>
  <si>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</si>
  <si>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</si>
  <si>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</si>
  <si>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</si>
  <si>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</si>
  <si>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</si>
  <si>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</si>
  <si>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</si>
  <si>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</si>
  <si>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</si>
  <si>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</si>
  <si>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</si>
  <si>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</si>
  <si>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</si>
  <si>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</si>
  <si>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</si>
  <si>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</si>
  <si>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</si>
  <si>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</si>
  <si>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</si>
  <si>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</si>
  <si>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</si>
  <si>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</si>
  <si>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</si>
  <si>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</si>
  <si>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</si>
  <si>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</si>
  <si>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</si>
  <si>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</si>
  <si>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</si>
  <si>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</si>
  <si>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</si>
  <si>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</si>
  <si>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</si>
  <si>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</si>
  <si>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</si>
  <si>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</si>
  <si>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</si>
  <si>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</si>
  <si>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</si>
  <si>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</si>
  <si>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</si>
  <si>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</si>
  <si>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</si>
  <si>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</si>
  <si>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</si>
  <si>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</si>
  <si>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</si>
  <si>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</si>
  <si>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</si>
  <si>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</si>
  <si>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</si>
  <si>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</si>
  <si>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</si>
  <si>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</si>
  <si>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</si>
  <si>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</si>
  <si>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</si>
  <si>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</si>
  <si>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</si>
  <si>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</si>
  <si>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</si>
  <si>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</si>
  <si>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</si>
  <si>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</si>
  <si>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</si>
  <si>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</si>
  <si>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</si>
  <si>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</si>
  <si>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</si>
  <si>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</si>
  <si>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</si>
  <si>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</si>
  <si>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</si>
  <si>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</si>
  <si>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</si>
  <si>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</si>
  <si>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</si>
  <si>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</si>
  <si>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</si>
  <si>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</si>
  <si>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</si>
  <si>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</si>
  <si>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</si>
  <si>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</si>
  <si>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</si>
  <si>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</si>
  <si>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</si>
  <si>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</si>
  <si>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</si>
  <si>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</si>
  <si>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</si>
  <si>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</si>
  <si>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</si>
  <si>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</si>
  <si>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</si>
  <si>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</si>
  <si>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</si>
  <si>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</si>
  <si>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</si>
  <si>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</si>
  <si>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</si>
  <si>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</si>
  <si>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</si>
  <si>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</si>
  <si>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</si>
  <si>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</si>
  <si>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</si>
  <si>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</si>
  <si>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</si>
  <si>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</si>
  <si>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</si>
  <si>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</si>
  <si>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</si>
  <si>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</si>
  <si>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</si>
  <si>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</si>
  <si>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</si>
  <si>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</si>
  <si>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</si>
  <si>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</si>
  <si>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</si>
  <si>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</si>
  <si>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</si>
  <si>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</si>
  <si>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</si>
  <si>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</si>
  <si>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</si>
  <si>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</si>
  <si>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</si>
  <si>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</si>
  <si>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</si>
  <si>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</si>
  <si>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</si>
  <si>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</si>
  <si>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</si>
  <si>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</si>
  <si>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</si>
  <si>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</si>
  <si>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</si>
  <si>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</si>
  <si>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</si>
  <si>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</si>
  <si>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</si>
  <si>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</si>
  <si>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</si>
  <si>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</si>
  <si>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</si>
  <si>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</si>
  <si>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</si>
  <si>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</si>
  <si>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</si>
  <si>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</si>
  <si>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</si>
  <si>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</si>
  <si>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</si>
  <si>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</si>
  <si>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</si>
  <si>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</si>
  <si>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</si>
  <si>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</si>
  <si>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</si>
  <si>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</si>
  <si>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</si>
  <si>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</si>
  <si>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</si>
  <si>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</si>
  <si>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</si>
  <si>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</si>
  <si>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</si>
  <si>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</si>
  <si>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</si>
  <si>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</si>
  <si>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</si>
  <si>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</si>
  <si>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</si>
  <si>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</si>
  <si>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</si>
  <si>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</si>
  <si>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</si>
  <si>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</si>
  <si>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</si>
  <si>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</si>
  <si>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</si>
  <si>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</si>
  <si>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</si>
  <si>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</si>
  <si>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</si>
  <si>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</si>
  <si>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</si>
  <si>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</si>
  <si>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</si>
  <si>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</si>
  <si>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</si>
  <si>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</si>
  <si>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</si>
  <si>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</si>
  <si>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</si>
  <si>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</si>
  <si>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</si>
  <si>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</si>
  <si>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</si>
  <si>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</si>
  <si>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</si>
  <si>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</si>
  <si>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</si>
  <si>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</si>
  <si>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</si>
  <si>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</si>
  <si>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</si>
  <si>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</si>
  <si>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</si>
  <si>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</si>
  <si>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</si>
  <si>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</si>
  <si>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</si>
  <si>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</si>
  <si>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</si>
  <si>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</si>
  <si>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</si>
  <si>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</si>
  <si>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</si>
  <si>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</si>
  <si>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</si>
  <si>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</si>
  <si>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</si>
  <si>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</si>
  <si>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</si>
  <si>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</si>
  <si>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</si>
  <si>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</si>
  <si>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</si>
  <si>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</si>
  <si>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</si>
  <si>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</si>
  <si>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</si>
  <si>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</si>
  <si>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</si>
  <si>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</si>
  <si>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</si>
  <si>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</si>
  <si>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</si>
  <si>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</si>
  <si>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</si>
  <si>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</si>
  <si>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</si>
  <si>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</si>
  <si>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</si>
  <si>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</si>
  <si>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</si>
  <si>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</si>
  <si>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</si>
  <si>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</si>
  <si>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</si>
  <si>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</si>
  <si>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</si>
  <si>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</si>
  <si>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</si>
  <si>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</si>
  <si>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</si>
  <si>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</si>
  <si>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</si>
  <si>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</si>
  <si>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</si>
  <si>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</si>
  <si>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</si>
  <si>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</si>
  <si>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</si>
  <si>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</si>
  <si>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</si>
  <si>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</si>
  <si>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</si>
  <si>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</si>
  <si>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</si>
  <si>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</si>
  <si>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</si>
  <si>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</si>
  <si>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</si>
  <si>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</si>
  <si>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</si>
  <si>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</si>
  <si>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</si>
  <si>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</si>
  <si>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</si>
  <si>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</si>
  <si>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</si>
  <si>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</si>
  <si>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</si>
  <si>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</si>
  <si>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</si>
  <si>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</si>
  <si>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</si>
  <si>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</si>
  <si>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</si>
  <si>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</si>
  <si>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</si>
  <si>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</si>
  <si>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</si>
  <si>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</si>
  <si>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</si>
  <si>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</si>
  <si>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</si>
  <si>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</si>
  <si>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</si>
  <si>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</si>
  <si>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</si>
  <si>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</si>
  <si>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</si>
  <si>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</si>
  <si>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</si>
  <si>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</si>
  <si>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</si>
  <si>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</si>
  <si>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</si>
  <si>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</si>
  <si>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</si>
  <si>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</si>
  <si>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</si>
  <si>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</si>
  <si>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</si>
  <si>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</si>
  <si>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</si>
  <si>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</si>
  <si>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</si>
  <si>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</si>
  <si>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</si>
  <si>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</si>
  <si>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</si>
  <si>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</si>
  <si>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</si>
  <si>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</si>
  <si>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</si>
  <si>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</si>
  <si>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</si>
  <si>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</si>
  <si>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</si>
  <si>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</si>
  <si>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</si>
  <si>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</si>
  <si>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</si>
  <si>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</si>
  <si>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</si>
  <si>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</si>
  <si>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</si>
  <si>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</si>
  <si>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</si>
  <si>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</si>
  <si>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</si>
  <si>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</si>
  <si>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</si>
  <si>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</si>
  <si>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</si>
  <si>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</si>
  <si>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</si>
  <si>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</si>
  <si>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</si>
  <si>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</si>
  <si>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</si>
  <si>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</si>
  <si>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</si>
  <si>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</si>
  <si>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</si>
  <si>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</si>
  <si>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</si>
  <si>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</si>
  <si>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</si>
  <si>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</si>
  <si>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</si>
  <si>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</si>
  <si>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</si>
  <si>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</si>
  <si>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</si>
  <si>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</si>
  <si>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</si>
  <si>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</si>
  <si>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</si>
  <si>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</si>
  <si>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</si>
  <si>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</si>
  <si>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</si>
  <si>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</si>
  <si>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</si>
  <si>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</si>
  <si>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</si>
  <si>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</si>
  <si>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</si>
  <si>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</si>
  <si>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</si>
  <si>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</si>
  <si>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</si>
  <si>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</si>
  <si>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</si>
  <si>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</si>
  <si>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</si>
  <si>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</si>
  <si>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</si>
  <si>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</si>
  <si>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</si>
  <si>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</si>
  <si>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</si>
  <si>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</si>
  <si>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</si>
  <si>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</si>
  <si>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</si>
  <si>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</si>
  <si>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</si>
  <si>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</si>
  <si>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</si>
  <si>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</si>
  <si>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</si>
  <si>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</si>
  <si>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</si>
  <si>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</si>
  <si>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</si>
  <si>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</si>
  <si>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</si>
  <si>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</si>
  <si>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</si>
  <si>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</si>
  <si>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</si>
  <si>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</si>
  <si>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</si>
  <si>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</si>
  <si>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</si>
  <si>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</si>
  <si>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</si>
  <si>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</si>
  <si>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</si>
  <si>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</si>
  <si>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</si>
  <si>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</si>
  <si>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</si>
  <si>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</si>
  <si>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</si>
  <si>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</si>
  <si>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</si>
  <si>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</si>
  <si>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</si>
  <si>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</si>
  <si>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</si>
  <si>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</si>
  <si>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</si>
  <si>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</si>
  <si>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</si>
  <si>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</si>
  <si>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</si>
  <si>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</si>
  <si>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</si>
  <si>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</si>
  <si>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</si>
  <si>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</si>
  <si>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</si>
  <si>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</si>
  <si>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</si>
  <si>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</si>
  <si>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</si>
  <si>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</si>
  <si>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</si>
  <si>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</si>
  <si>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</si>
  <si>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</si>
  <si>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</si>
  <si>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</si>
  <si>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</si>
  <si>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</si>
  <si>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</si>
  <si>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</si>
  <si>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</si>
  <si>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</si>
  <si>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</si>
  <si>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</si>
  <si>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</si>
  <si>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</si>
  <si>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</si>
  <si>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</si>
  <si>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</si>
  <si>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</si>
  <si>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</si>
  <si>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</si>
  <si>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</si>
  <si>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</si>
  <si>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</si>
  <si>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</si>
  <si>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</si>
  <si>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</si>
  <si>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</si>
  <si>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</si>
  <si>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</si>
  <si>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</si>
  <si>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</si>
  <si>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</si>
  <si>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</si>
  <si>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</si>
  <si>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</si>
  <si>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</si>
  <si>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</si>
  <si>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</si>
  <si>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</si>
  <si>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</si>
  <si>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</si>
  <si>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</si>
  <si>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</si>
  <si>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</si>
  <si>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</si>
  <si>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</si>
  <si>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</si>
  <si>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</si>
  <si>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</si>
  <si>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</si>
  <si>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</si>
  <si>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</si>
  <si>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</si>
  <si>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</si>
  <si>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</si>
  <si>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</si>
  <si>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</si>
  <si>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</si>
  <si>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</si>
  <si>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</si>
  <si>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</si>
  <si>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</si>
  <si>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</si>
  <si>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</si>
  <si>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</si>
  <si>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</si>
  <si>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</si>
  <si>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</si>
  <si>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</si>
  <si>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</si>
  <si>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</si>
  <si>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</si>
  <si>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</si>
  <si>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</si>
  <si>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</si>
  <si>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</si>
  <si>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</si>
  <si>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</si>
  <si>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</si>
  <si>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</si>
  <si>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</si>
  <si>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</si>
  <si>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</si>
  <si>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</si>
  <si>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</si>
  <si>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</si>
  <si>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</si>
  <si>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</si>
  <si>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</si>
  <si>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</si>
  <si>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</si>
  <si>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</si>
  <si>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</si>
  <si>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</si>
  <si>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</si>
  <si>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</si>
  <si>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</si>
  <si>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</si>
  <si>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</si>
  <si>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</si>
  <si>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</si>
  <si>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</si>
  <si>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</si>
  <si>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</si>
  <si>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</si>
  <si>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</si>
  <si>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</si>
  <si>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</si>
  <si>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</si>
  <si>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</si>
  <si>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</si>
  <si>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</si>
  <si>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</si>
  <si>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</si>
  <si>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</si>
  <si>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</si>
  <si>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</si>
  <si>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</si>
  <si>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</si>
  <si>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</si>
  <si>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</si>
  <si>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</si>
  <si>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</si>
  <si>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</si>
  <si>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</si>
  <si>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</si>
  <si>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</si>
  <si>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</si>
  <si>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</si>
  <si>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</si>
  <si>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</si>
  <si>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</si>
  <si>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</si>
  <si>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</si>
  <si>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</si>
  <si>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</si>
  <si>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</si>
  <si>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</si>
  <si>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</si>
  <si>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</si>
  <si>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</si>
  <si>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</si>
  <si>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</si>
  <si>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</si>
  <si>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</si>
  <si>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</si>
  <si>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</si>
  <si>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</si>
  <si>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</si>
  <si>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</si>
  <si>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</si>
  <si>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</si>
  <si>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</si>
  <si>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</si>
  <si>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</si>
  <si>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</si>
  <si>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</si>
  <si>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</si>
  <si>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</si>
  <si>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</si>
  <si>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</si>
  <si>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</si>
  <si>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</si>
  <si>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</si>
  <si>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</si>
  <si>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</si>
  <si>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</si>
  <si>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</si>
  <si>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</si>
  <si>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</si>
  <si>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</si>
  <si>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</si>
  <si>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</si>
  <si>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</si>
  <si>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</si>
  <si>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</si>
  <si>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</si>
  <si>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</si>
  <si>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</si>
  <si>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</si>
  <si>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</si>
  <si>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</si>
  <si>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</si>
  <si>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</si>
  <si>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</si>
  <si>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</si>
  <si>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</si>
  <si>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</si>
  <si>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</si>
  <si>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</si>
  <si>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</si>
  <si>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</si>
  <si>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</si>
  <si>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</si>
  <si>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</si>
  <si>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</si>
  <si>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</si>
  <si>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</si>
  <si>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</si>
  <si>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</si>
  <si>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</si>
  <si>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</si>
  <si>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</si>
  <si>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</si>
  <si>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</si>
  <si>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</si>
  <si>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</si>
  <si>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</si>
  <si>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</si>
  <si>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</si>
  <si>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</si>
  <si>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</si>
  <si>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</si>
  <si>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</si>
  <si>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</si>
  <si>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</si>
  <si>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</si>
  <si>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</si>
  <si>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</si>
  <si>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</si>
  <si>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</si>
  <si>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</si>
  <si>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</si>
  <si>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</si>
  <si>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</si>
  <si>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</si>
  <si>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</si>
  <si>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</si>
  <si>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</si>
  <si>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</si>
  <si>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</si>
  <si>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</si>
  <si>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</si>
  <si>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</si>
  <si>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</si>
  <si>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</si>
  <si>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</si>
  <si>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</si>
  <si>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</si>
  <si>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</si>
  <si>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</si>
  <si>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</si>
  <si>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</si>
  <si>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</si>
  <si>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</si>
  <si>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</si>
  <si>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</si>
  <si>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</si>
  <si>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</si>
  <si>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</si>
  <si>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</si>
  <si>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</si>
  <si>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</si>
  <si>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</si>
  <si>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</si>
  <si>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</si>
  <si>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</si>
  <si>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</si>
  <si>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</si>
  <si>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</si>
  <si>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</si>
  <si>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</si>
  <si>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</si>
  <si>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</si>
  <si>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</si>
  <si>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</si>
  <si>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</si>
  <si>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</si>
  <si>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</si>
  <si>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</si>
  <si>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</si>
  <si>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</si>
  <si>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</si>
  <si>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</si>
  <si>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</si>
  <si>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</si>
  <si>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</si>
  <si>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</si>
  <si>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</si>
  <si>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</si>
  <si>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</si>
  <si>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</si>
  <si>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</si>
  <si>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</si>
  <si>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</si>
  <si>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</si>
  <si>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</si>
  <si>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</si>
  <si>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</si>
  <si>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</si>
  <si>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</si>
  <si>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</si>
  <si>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</si>
  <si>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</si>
  <si>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</si>
  <si>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</si>
  <si>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</si>
  <si>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</si>
  <si>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</si>
  <si>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</si>
  <si>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</si>
  <si>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</si>
  <si>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</si>
  <si>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</si>
  <si>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</si>
  <si>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</si>
  <si>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</si>
  <si>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</si>
  <si>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</si>
  <si>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</si>
  <si>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</si>
  <si>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</si>
  <si>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</si>
  <si>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</si>
  <si>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</si>
  <si>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</si>
  <si>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</si>
  <si>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</si>
  <si>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</si>
  <si>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</si>
  <si>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</si>
  <si>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</si>
  <si>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</si>
  <si>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</si>
  <si>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</si>
  <si>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</si>
  <si>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</si>
  <si>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</si>
  <si>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</si>
  <si>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</si>
  <si>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</si>
  <si>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</si>
  <si>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</si>
  <si>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</si>
  <si>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</si>
  <si>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</si>
  <si>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</si>
  <si>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</si>
  <si>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</si>
  <si>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</si>
  <si>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</si>
  <si>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</si>
  <si>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</si>
  <si>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</si>
  <si>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</si>
  <si>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</si>
  <si>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</si>
  <si>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</si>
  <si>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</si>
  <si>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</si>
  <si>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</si>
  <si>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</si>
  <si>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</si>
  <si>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</si>
  <si>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</si>
  <si>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</si>
  <si>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</si>
  <si>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</si>
  <si>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</si>
  <si>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</si>
  <si>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</si>
  <si>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</si>
  <si>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</si>
  <si>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</si>
  <si>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</si>
  <si>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</si>
  <si>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</si>
  <si>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</si>
  <si>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</si>
  <si>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</si>
  <si>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</si>
  <si>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</si>
  <si>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</si>
  <si>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</si>
  <si>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</si>
  <si>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</si>
  <si>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</si>
  <si>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</si>
  <si>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</si>
  <si>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</si>
  <si>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</si>
  <si>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</si>
  <si>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</si>
  <si>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</si>
  <si>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</si>
  <si>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</si>
  <si>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</si>
  <si>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</si>
  <si>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</si>
  <si>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</si>
  <si>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</si>
  <si>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</si>
  <si>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</si>
  <si>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</si>
  <si>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</si>
  <si>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</si>
  <si>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</si>
  <si>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</si>
  <si>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</si>
  <si>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</si>
  <si>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</si>
  <si>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</si>
  <si>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</si>
  <si>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</si>
  <si>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</si>
  <si>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</si>
  <si>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</si>
  <si>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</si>
  <si>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</si>
  <si>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</si>
  <si>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</si>
  <si>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</si>
  <si>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</si>
  <si>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</si>
  <si>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</si>
  <si>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</si>
  <si>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</si>
  <si>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</si>
  <si>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</si>
  <si>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</si>
  <si>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</si>
  <si>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</si>
  <si>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</si>
  <si>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</si>
  <si>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</si>
  <si>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</si>
  <si>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</si>
  <si>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</si>
  <si>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</si>
  <si>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</si>
  <si>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</si>
  <si>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</si>
  <si>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</si>
  <si>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</si>
  <si>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</si>
  <si>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</si>
  <si>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</si>
  <si>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</si>
  <si>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</si>
  <si>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</si>
  <si>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</si>
  <si>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</si>
  <si>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</si>
  <si>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</si>
  <si>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</si>
  <si>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</si>
  <si>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</si>
  <si>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</si>
  <si>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</si>
  <si>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</si>
  <si>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</si>
  <si>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</si>
  <si>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</si>
  <si>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</si>
  <si>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</si>
  <si>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</si>
  <si>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</si>
  <si>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</si>
  <si>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</si>
  <si>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</si>
  <si>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</si>
  <si>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</si>
  <si>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</si>
  <si>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</si>
  <si>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</si>
  <si>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</si>
  <si>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</si>
  <si>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</si>
  <si>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</si>
  <si>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</si>
  <si>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</si>
  <si>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</si>
  <si>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</si>
  <si>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</si>
  <si>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</si>
  <si>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</si>
  <si>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</si>
  <si>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</si>
  <si>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</si>
  <si>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</si>
  <si>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</si>
  <si>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</si>
  <si>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</si>
  <si>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</si>
  <si>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</si>
  <si>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</si>
  <si>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</si>
  <si>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</si>
  <si>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</si>
  <si>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</si>
  <si>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</si>
  <si>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</si>
  <si>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</si>
  <si>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</si>
  <si>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</si>
  <si>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</si>
  <si>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</si>
  <si>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</si>
  <si>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</si>
  <si>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</si>
  <si>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</si>
  <si>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</si>
  <si>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</si>
  <si>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</si>
  <si>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</si>
  <si>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</si>
  <si>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</si>
  <si>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</si>
  <si>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</si>
  <si>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</si>
  <si>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</si>
  <si>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</si>
  <si>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</si>
  <si>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</si>
  <si>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</si>
  <si>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</si>
  <si>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</si>
  <si>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</si>
  <si>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</si>
  <si>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</si>
  <si>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</si>
  <si>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</si>
  <si>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</si>
  <si>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</si>
  <si>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</si>
  <si>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</si>
  <si>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</si>
  <si>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</si>
  <si>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</si>
  <si>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</si>
  <si>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</si>
  <si>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</si>
  <si>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</si>
  <si>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</si>
  <si>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</si>
  <si>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</si>
  <si>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</si>
  <si>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</si>
  <si>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</si>
  <si>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</si>
  <si>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</si>
  <si>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</si>
  <si>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</si>
  <si>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</si>
  <si>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</si>
  <si>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</si>
  <si>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</si>
  <si>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</si>
  <si>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</si>
  <si>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</si>
  <si>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</si>
  <si>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</si>
  <si>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</si>
  <si>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</si>
  <si>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</si>
  <si>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</si>
  <si>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</si>
  <si>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</si>
  <si>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</si>
  <si>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</si>
  <si>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</si>
  <si>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</si>
  <si>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</si>
  <si>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</si>
  <si>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</si>
  <si>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</si>
  <si>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</si>
  <si>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</si>
  <si>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</si>
  <si>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</si>
  <si>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</si>
  <si>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</si>
  <si>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</si>
  <si>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</si>
  <si>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</si>
  <si>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</si>
  <si>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</si>
  <si>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</si>
  <si>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</si>
  <si>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</si>
  <si>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</si>
  <si>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</si>
  <si>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</si>
  <si>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</si>
  <si>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</si>
  <si>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</si>
  <si>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</si>
  <si>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</si>
  <si>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</si>
  <si>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</si>
  <si>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</si>
  <si>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</si>
  <si>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</si>
  <si>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</si>
  <si>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</si>
  <si>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</si>
  <si>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</si>
  <si>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</si>
  <si>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</si>
  <si>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</si>
  <si>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</si>
  <si>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</si>
  <si>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</si>
  <si>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</si>
  <si>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</si>
  <si>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</si>
  <si>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</si>
  <si>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</si>
  <si>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</si>
  <si>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</si>
  <si>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</si>
  <si>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</si>
  <si>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</si>
  <si>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</si>
  <si>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</si>
  <si>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</si>
  <si>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</si>
  <si>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</si>
  <si>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</si>
  <si>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</si>
  <si>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</si>
  <si>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</si>
  <si>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</si>
  <si>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</si>
  <si>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</si>
  <si>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</si>
  <si>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</si>
  <si>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</si>
  <si>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</si>
  <si>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</si>
  <si>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</si>
  <si>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</si>
  <si>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</si>
  <si>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</si>
  <si>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</si>
  <si>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</si>
  <si>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</si>
  <si>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</si>
  <si>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</si>
  <si>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</si>
  <si>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</si>
  <si>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</si>
  <si>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</si>
  <si>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</si>
  <si>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</si>
  <si>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</si>
  <si>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</si>
  <si>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</si>
  <si>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</si>
  <si>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</si>
  <si>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</si>
  <si>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</si>
  <si>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</si>
  <si>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</si>
  <si>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</si>
  <si>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</si>
  <si>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</si>
  <si>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</si>
  <si>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</si>
  <si>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</si>
  <si>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</si>
  <si>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</si>
  <si>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</si>
  <si>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</si>
  <si>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</si>
  <si>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</si>
  <si>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</si>
  <si>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</si>
  <si>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</si>
  <si>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</si>
  <si>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</si>
  <si>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</si>
  <si>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</si>
  <si>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</si>
  <si>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</si>
  <si>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</si>
  <si>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</si>
  <si>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</si>
  <si>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</si>
  <si>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</si>
  <si>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Whiteside</t>
  </si>
  <si>
    <t>520 Fifth Avenue</t>
  </si>
  <si>
    <t>Erie</t>
  </si>
  <si>
    <t>mfelesena@ecusd.info</t>
  </si>
  <si>
    <t>Russell J. Rumbold II, CPA</t>
  </si>
  <si>
    <t>rrumbold@gorenzcpa.com</t>
  </si>
  <si>
    <t>Marty Felesena</t>
  </si>
  <si>
    <t>309-659-2239</t>
  </si>
  <si>
    <t>309-659-2230</t>
  </si>
  <si>
    <t>Refunding Bonds</t>
  </si>
  <si>
    <t>Debt Certificates</t>
  </si>
  <si>
    <t>Prophetstown (Shared Sports)</t>
  </si>
  <si>
    <t>Whiteside Area Career Center</t>
  </si>
  <si>
    <t>Whiteside ROE (Paper Bid)</t>
  </si>
  <si>
    <t>Bi-County Special Ed Cooperative</t>
  </si>
  <si>
    <t>Black Hawk College - Dual Credit Program</t>
  </si>
  <si>
    <t>2018-001</t>
  </si>
  <si>
    <t>Lack of expertise to prepare financial statements</t>
  </si>
  <si>
    <t>2018-002</t>
  </si>
  <si>
    <t>Lack of Segregation of Duties</t>
  </si>
  <si>
    <t>Riverdale, Fulton, Morrison, Prophetstown, West Carroll, Eastland, Annawan, Sherrard</t>
  </si>
  <si>
    <t>Food Services - Mercer County, Wethersfield, Colona, Our Lady of Grace, Quad City Area Children's Food Program</t>
  </si>
  <si>
    <t>x</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</si>
  <si>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</si>
  <si>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</si>
  <si>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</si>
  <si>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</si>
  <si>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</si>
  <si>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</si>
  <si>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</si>
  <si>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In accordance with prescribed definitions in AU-C 265, it is a strong indication of a significant deficiency in internal control if an entity lacks sufficient controls over the period-end financial reporting process. The standard provides guidance regarding the extent to which the auditor may be involved in drafting an entity's financial statements.</t>
  </si>
  <si>
    <t>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</si>
  <si>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</si>
  <si>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</si>
  <si>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District accounting staff.</t>
  </si>
  <si>
    <t>The District should review the additional cost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</si>
  <si>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</si>
  <si>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r>
      <t>CORRECTIVE ACTION PLAN FOR CURRENT YEAR AUDIT FINDINGS</t>
    </r>
    <r>
      <rPr>
        <b/>
        <vertAlign val="superscript"/>
        <sz val="9"/>
        <rFont val="Arial"/>
        <family val="2"/>
      </rPr>
      <t>21</t>
    </r>
  </si>
  <si>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</si>
  <si>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</si>
  <si>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</si>
  <si>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</si>
  <si>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</si>
  <si>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</si>
  <si>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</si>
  <si>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June 30, 2020</t>
  </si>
  <si>
    <t>Name of Contact Person:</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</si>
  <si>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</si>
  <si>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</si>
  <si>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</si>
  <si>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</si>
  <si>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</si>
  <si>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 xml:space="preserve">Management is currently confident with the abilities of the accounting staff to prepare </t>
  </si>
  <si>
    <t>interim financial statements. The District has also accepted the additional risk associated</t>
  </si>
  <si>
    <t>with the auditor drafting the year-end financial statements, including the notes to the</t>
  </si>
  <si>
    <t>financial statements. Management will review, approve, and take responsibility for the</t>
  </si>
  <si>
    <t>financial statements.</t>
  </si>
  <si>
    <t>Martin Felesena, Superintendent</t>
  </si>
  <si>
    <t>Unresolved - See Finding 2019-001</t>
  </si>
  <si>
    <t>Unresolved - See Finding 2019-002</t>
  </si>
  <si>
    <t>The District will monitor cash and investment balances more closely.</t>
  </si>
  <si>
    <t>In accordance with prescribed definitions in AU-C 265, it is a strong indication of a material weakness in internal control if an entity lacks sufficient controls over a significant account or process. The District had not reconciled the accounting records to supporting documents on a timely basis.</t>
  </si>
  <si>
    <t>The District's cash balances were not reconciled to monthly bank statements on a timely basis and required adjustments were not entered into the accounting records on a timely basis. The Board of Education and management are making financial decisions based on inaccurate information.</t>
  </si>
  <si>
    <t>The District's cash balances should be reconciled to the bank statements on a monthly basis. Any discrepancies should be identified and any resulting entry to the accounting records should be entered on a timely basis. In addition, the Treasurer should compare his/her reconciliation to the District's records each month to ensure accuracy.</t>
  </si>
  <si>
    <t>The District will review the procedures for reconciling the accounting records for cash to the monthly bank statements on a monthly basis.</t>
  </si>
  <si>
    <t xml:space="preserve">The District accounting records (cash accounts) were not reconciled to the financial institution's records (bank statements) on a timely basis. </t>
  </si>
  <si>
    <t>The District's bank account was not reconciled to the accounting records on a monthly basis. The Treasurer prepared a monthly reconciliation to present to the Board of Education; however, the report did not agree to the District's accounting records.</t>
  </si>
  <si>
    <t>The District's cash balances will be reconciled to the bank statements on a monthly basis. Any discrepancies will be identified and any resulting entry to the accounting records will be entered on a timely basis. In addition, the Treasurer will compare his/her reconciliation to the District's records each month to ensure accuracy.</t>
  </si>
  <si>
    <t>The District will implement the plan.</t>
  </si>
  <si>
    <t>Page 5, line 12 - IMRF Overpayment</t>
  </si>
  <si>
    <t>Page 29, Line 80 "PLEASE ENTER CONTRACTS PAID IN THE CURRENT YEAR"</t>
  </si>
  <si>
    <t>For the current fiscal year under audit, the district did not have any qualifying contracts exceeding the $25,000 limit.</t>
  </si>
  <si>
    <t>None</t>
  </si>
  <si>
    <t>Page 10, line 74 - Reimbursement of supplies</t>
  </si>
  <si>
    <t>Page 10, line 91 - Shop fees - $1,661; Sale of PE Clothes - $8,574; Sale of supplies and memory books - $3,657</t>
  </si>
  <si>
    <t>Page 12, line 168 - Library Grant</t>
  </si>
  <si>
    <t>Page 15, line 41 - Crossing Guard Salary $2,821; Resale items $3,434; Memory books $2,825</t>
  </si>
  <si>
    <t>Page 19, line 237 - Crossing Guard benefits</t>
  </si>
  <si>
    <t>Page 11, line 107 - Educational Fund - EHS Activity Fund Wages - $19,700; ABS Contract Buyout $3,000; Sale of iPads $8,025; Refunds &amp; Reimbursements - $31,106</t>
  </si>
  <si>
    <t>Operations and Maintenance Fund - Rental Credit</t>
  </si>
  <si>
    <t>Illinois Municipal Retirement Fund - EHS Activity Fund Benefits Reimbursement</t>
  </si>
  <si>
    <t>Transportation Fund - College for Kids Bus Fees ($180) &amp; Refund ($1,653)</t>
  </si>
  <si>
    <t xml:space="preserve">The District did not reconcile the bank account to include all of the existing outstanding and reconciling items. Some items that required adjustments to the accounting records included unrecorded TRS annual report remittances of $7,898.94, unrecorded Illinois Municipal Retirement Fund overpayment of $16,410.36, and voided checks of $12,564.52. </t>
  </si>
  <si>
    <t>Part A - #5 - See Finding 2019-003 and Part C - #20 - See Findings 2019-001, 2019-002, and 2019-004.</t>
  </si>
  <si>
    <t xml:space="preserve">Certain funds carried negative cash and investment balances throughout the year. The negative balances were in a common checking account covered by available monies in other funds. </t>
  </si>
  <si>
    <t xml:space="preserve">The District presented negative cash and investment balances during the year. </t>
  </si>
  <si>
    <t xml:space="preserve">The negative cash and investment balances were utilizing sources from other funds during the year. </t>
  </si>
  <si>
    <t>The common bank account provided the cash flow for the negative funds to expend more resources than each fund had on hand at various points during the year.</t>
  </si>
  <si>
    <t>The District should monitor cash and investment balances of each separate fund to ensure that all funds have positive cash and investments.</t>
  </si>
  <si>
    <t xml:space="preserve">The District will monitor cash and investment balances to ensure each fund has a positive balance at all times during the year. </t>
  </si>
  <si>
    <t xml:space="preserve">The District should monitor cash and investment balances of each separate fund to ensure that all funds have positive cash and investments. </t>
  </si>
  <si>
    <t xml:space="preserve">The District maintains their cash and investment balances in common bank accounts. Accounting records are maintained to show the balances of those bank accounts in separate funds. Each fund should have a positive cash and investment balance at all times during the year. </t>
  </si>
  <si>
    <t>xxx</t>
  </si>
  <si>
    <t>see PDF verison</t>
  </si>
  <si>
    <t>Erie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</si>
</sst>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4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100" fillId="0" borderId="105" xfId="18" applyFont="1" applyBorder="1" applyAlignment="1" applyProtection="1">
      <alignment wrapText="1"/>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0" fillId="0" borderId="0" xfId="3" applyAlignment="1" applyProtection="1">
      <alignment wrapText="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0" fontId="10" fillId="0" borderId="0" xfId="3" applyAlignment="1" applyProtection="1">
      <alignment horizontal="left"/>
      <protection locked="0"/>
    </xf>
    <xf numFmtId="0" fontId="10" fillId="0" borderId="0" xfId="3" applyFill="1" applyAlignment="1" applyProtection="1">
      <alignment wrapText="1"/>
      <protection locked="0"/>
    </xf>
    <xf numFmtId="0" fontId="10" fillId="0" borderId="0" xfId="3" applyFill="1" applyAlignment="1" applyProtection="1">
      <alignment horizontal="left"/>
      <protection locked="0"/>
    </xf>
    <xf numFmtId="0" fontId="57" fillId="0" borderId="0" xfId="0" quotePrefix="1" applyFont="1"/>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451113C3-588B-44D4-A724-8561AC78638A}"/>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D010893-92C5-4667-9DC3-8FEC36E3EB5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238F9EB4-0243-4140-9967-F658402002E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23542E95-3058-40D2-8B55-3905F65CF812}"/>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103CDC41-ADE7-4F50-81EC-1FC697E3077F}"/>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8181137E-B3B2-49A1-8564-BE107234DCA3}"/>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A1314CE-31BB-465D-AF2D-86339AA78B5E}"/>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9039C548-C3C7-4E5D-AC60-10240907715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242454</xdr:colOff>
          <xdr:row>4</xdr:row>
          <xdr:rowOff>51954</xdr:rowOff>
        </xdr:from>
        <xdr:to>
          <xdr:col>1</xdr:col>
          <xdr:colOff>1156854</xdr:colOff>
          <xdr:row>8</xdr:row>
          <xdr:rowOff>90054</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1290204</xdr:colOff>
          <xdr:row>4</xdr:row>
          <xdr:rowOff>51955</xdr:rowOff>
        </xdr:from>
        <xdr:to>
          <xdr:col>1</xdr:col>
          <xdr:colOff>2201140</xdr:colOff>
          <xdr:row>8</xdr:row>
          <xdr:rowOff>90055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4FB308E-3C82-47D9-B4C7-E21E9931A38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AAF1931-9F01-4ABE-B9D6-406B8AF3448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13B8A21-0091-4841-BEA8-37DB8687B6D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531C329-C5D3-4789-821A-8D0942663D2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5342193-9B1F-401F-95CF-CE5FD508EC6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540024C-ED6E-4E96-AC84-C214D34C63A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C7D6BA5-7B0D-41E9-8C5E-F70FC082B7C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28E330E-B2AD-4B45-B3BD-CFD8D688140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9" t="s">
        <v>405</v>
      </c>
      <c r="J1" s="2030"/>
      <c r="K1" s="2030"/>
      <c r="L1" s="2030"/>
      <c r="M1" s="2030"/>
      <c r="N1" s="2030"/>
      <c r="O1" s="2030"/>
      <c r="P1" s="2030"/>
      <c r="Q1" s="2030"/>
      <c r="R1" s="2030"/>
      <c r="S1" s="2030"/>
    </row>
    <row r="2" spans="1:28" ht="12" customHeight="1" x14ac:dyDescent="0.2">
      <c r="A2" s="47" t="s">
        <v>1993</v>
      </c>
      <c r="D2" s="48"/>
      <c r="I2" s="2031" t="s">
        <v>979</v>
      </c>
      <c r="J2" s="2030"/>
      <c r="K2" s="2030"/>
      <c r="L2" s="2030"/>
      <c r="M2" s="2030"/>
      <c r="N2" s="2030"/>
      <c r="O2" s="2030"/>
      <c r="P2" s="2030"/>
      <c r="Q2" s="2030"/>
      <c r="R2" s="2030"/>
      <c r="S2" s="2030"/>
    </row>
    <row r="3" spans="1:28" ht="12" customHeight="1" x14ac:dyDescent="0.2">
      <c r="A3" s="155" t="s">
        <v>1945</v>
      </c>
      <c r="B3" s="156"/>
      <c r="C3" s="156"/>
      <c r="D3" s="157"/>
      <c r="I3" s="2031" t="s">
        <v>52</v>
      </c>
      <c r="J3" s="2030"/>
      <c r="K3" s="2030"/>
      <c r="L3" s="2030"/>
      <c r="M3" s="2030"/>
      <c r="N3" s="2030"/>
      <c r="O3" s="2030"/>
      <c r="P3" s="2030"/>
      <c r="Q3" s="2030"/>
      <c r="R3" s="2030"/>
      <c r="S3" s="2030"/>
    </row>
    <row r="4" spans="1:28" ht="12" customHeight="1" x14ac:dyDescent="0.2">
      <c r="A4" s="37"/>
      <c r="I4" s="2031" t="s">
        <v>524</v>
      </c>
      <c r="J4" s="2030"/>
      <c r="K4" s="2030"/>
      <c r="L4" s="2030"/>
      <c r="M4" s="2030"/>
      <c r="N4" s="2030"/>
      <c r="O4" s="2030"/>
      <c r="P4" s="2030"/>
      <c r="Q4" s="2030"/>
      <c r="R4" s="2030"/>
      <c r="S4" s="2030"/>
    </row>
    <row r="5" spans="1:28" ht="14.1" customHeight="1" x14ac:dyDescent="0.2">
      <c r="B5" s="104" t="s">
        <v>2070</v>
      </c>
      <c r="C5" s="26" t="s">
        <v>910</v>
      </c>
      <c r="D5" s="84"/>
      <c r="E5" s="84"/>
      <c r="H5" s="38"/>
      <c r="I5" s="2039" t="s">
        <v>680</v>
      </c>
      <c r="J5" s="2038"/>
      <c r="K5" s="2038"/>
      <c r="L5" s="2038"/>
      <c r="M5" s="2038"/>
      <c r="N5" s="2038"/>
      <c r="O5" s="2038"/>
      <c r="P5" s="2038"/>
      <c r="Q5" s="2038"/>
      <c r="R5" s="2038"/>
      <c r="S5" s="2038"/>
    </row>
    <row r="6" spans="1:28" ht="14.1" customHeight="1" x14ac:dyDescent="0.2">
      <c r="B6" s="104"/>
      <c r="C6" s="26" t="s">
        <v>911</v>
      </c>
      <c r="D6" s="84"/>
      <c r="E6" s="84"/>
      <c r="I6" s="2037" t="s">
        <v>883</v>
      </c>
      <c r="J6" s="2038"/>
      <c r="K6" s="2038"/>
      <c r="L6" s="2038"/>
      <c r="M6" s="2038"/>
      <c r="N6" s="2038"/>
      <c r="O6" s="2038"/>
      <c r="P6" s="2038"/>
      <c r="Q6" s="2038"/>
      <c r="R6" s="2038"/>
      <c r="S6" s="2038"/>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674</v>
      </c>
      <c r="J9" s="2035"/>
      <c r="K9" s="2035"/>
      <c r="L9" s="2035"/>
      <c r="M9" s="2035"/>
      <c r="N9" s="2035"/>
      <c r="O9" s="2035"/>
      <c r="P9" s="2035"/>
      <c r="Q9" s="2035"/>
      <c r="R9" s="2035"/>
      <c r="S9" s="2036"/>
      <c r="T9" s="2050" t="s">
        <v>533</v>
      </c>
      <c r="U9" s="2051"/>
      <c r="V9" s="2051"/>
      <c r="W9" s="2051"/>
      <c r="X9" s="2051"/>
      <c r="Y9" s="2051"/>
      <c r="Z9" s="2051"/>
      <c r="AA9" s="2052"/>
    </row>
    <row r="10" spans="1:28" ht="13.5" customHeight="1" x14ac:dyDescent="0.2">
      <c r="A10" s="2057" t="s">
        <v>675</v>
      </c>
      <c r="B10" s="2058"/>
      <c r="C10" s="2058"/>
      <c r="D10" s="2058"/>
      <c r="E10" s="2058"/>
      <c r="F10" s="2058"/>
      <c r="G10" s="2058"/>
      <c r="H10" s="2059"/>
      <c r="I10" s="29"/>
      <c r="J10" s="30"/>
      <c r="K10" s="28"/>
      <c r="R10" s="30"/>
      <c r="S10" s="30"/>
      <c r="T10" s="2053"/>
      <c r="U10" s="2038"/>
      <c r="V10" s="2038"/>
      <c r="W10" s="2038"/>
      <c r="X10" s="2038"/>
      <c r="Y10" s="2038"/>
      <c r="Z10" s="2038"/>
      <c r="AA10" s="2044"/>
    </row>
    <row r="11" spans="1:28" ht="14.25" customHeight="1" x14ac:dyDescent="0.2">
      <c r="A11" s="2060" t="s">
        <v>955</v>
      </c>
      <c r="B11" s="2061"/>
      <c r="C11" s="2061"/>
      <c r="D11" s="2061"/>
      <c r="E11" s="2061"/>
      <c r="F11" s="2061"/>
      <c r="G11" s="2061"/>
      <c r="H11" s="2062"/>
      <c r="I11" s="27"/>
      <c r="J11" s="74"/>
      <c r="K11" s="27"/>
      <c r="O11" s="148" t="s">
        <v>2070</v>
      </c>
      <c r="P11" s="100" t="s">
        <v>201</v>
      </c>
      <c r="Q11" s="30"/>
      <c r="R11" s="28"/>
      <c r="S11" s="27"/>
      <c r="T11" s="2054"/>
      <c r="U11" s="2055"/>
      <c r="V11" s="2055"/>
      <c r="W11" s="2055"/>
      <c r="X11" s="2055"/>
      <c r="Y11" s="2055"/>
      <c r="Z11" s="2055"/>
      <c r="AA11" s="205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64">
        <v>47098001026</v>
      </c>
      <c r="B13" s="2065"/>
      <c r="C13" s="2065"/>
      <c r="D13" s="2065"/>
      <c r="E13" s="2065"/>
      <c r="F13" s="2065"/>
      <c r="G13" s="2065"/>
      <c r="H13" s="2066"/>
      <c r="I13" s="31"/>
      <c r="J13" s="30"/>
      <c r="K13" s="28"/>
      <c r="L13" s="30"/>
      <c r="M13" s="30"/>
      <c r="N13" s="30"/>
      <c r="O13" s="30"/>
      <c r="P13" s="30"/>
      <c r="Q13" s="30"/>
      <c r="R13" s="30"/>
      <c r="S13" s="30"/>
      <c r="T13" s="2069" t="s">
        <v>2072</v>
      </c>
      <c r="U13" s="2070"/>
      <c r="V13" s="2070"/>
      <c r="W13" s="2070"/>
      <c r="X13" s="2070"/>
      <c r="Y13" s="2071"/>
      <c r="Z13" s="2071"/>
      <c r="AA13" s="207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63" t="s">
        <v>2073</v>
      </c>
      <c r="B15" s="2067"/>
      <c r="C15" s="2067"/>
      <c r="D15" s="2067"/>
      <c r="E15" s="2067"/>
      <c r="F15" s="2067"/>
      <c r="G15" s="2067"/>
      <c r="H15" s="2068"/>
      <c r="T15" s="2073" t="s">
        <v>2077</v>
      </c>
      <c r="U15" s="2017"/>
      <c r="V15" s="2017"/>
      <c r="W15" s="2017"/>
      <c r="X15" s="2017"/>
      <c r="Y15" s="2074"/>
      <c r="Z15" s="2074"/>
      <c r="AA15" s="207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3" t="s">
        <v>2167</v>
      </c>
      <c r="B17" s="2024"/>
      <c r="C17" s="2024"/>
      <c r="D17" s="2024"/>
      <c r="E17" s="2024"/>
      <c r="F17" s="2024"/>
      <c r="G17" s="2024"/>
      <c r="H17" s="2049"/>
      <c r="T17" s="2080" t="s">
        <v>2064</v>
      </c>
      <c r="U17" s="2081"/>
      <c r="V17" s="2081"/>
      <c r="W17" s="2081"/>
      <c r="X17" s="2081"/>
      <c r="Y17" s="2081"/>
      <c r="Z17" s="2081"/>
      <c r="AA17" s="2082"/>
    </row>
    <row r="18" spans="1:27" ht="13.5" customHeight="1" x14ac:dyDescent="0.2">
      <c r="A18" s="85" t="s">
        <v>530</v>
      </c>
      <c r="B18" s="76"/>
      <c r="C18" s="72"/>
      <c r="D18" s="76"/>
      <c r="E18" s="76"/>
      <c r="F18" s="76"/>
      <c r="G18" s="76"/>
      <c r="H18" s="56"/>
      <c r="I18" s="2048" t="s">
        <v>676</v>
      </c>
      <c r="J18" s="1999"/>
      <c r="K18" s="1999"/>
      <c r="L18" s="1999"/>
      <c r="M18" s="1999"/>
      <c r="N18" s="1999"/>
      <c r="O18" s="1999"/>
      <c r="P18" s="1999"/>
      <c r="Q18" s="1999"/>
      <c r="R18" s="1999"/>
      <c r="S18" s="2000"/>
      <c r="T18" s="85" t="s">
        <v>711</v>
      </c>
      <c r="U18" s="51"/>
      <c r="V18" s="72"/>
      <c r="W18" s="50"/>
      <c r="X18" s="85" t="s">
        <v>266</v>
      </c>
      <c r="Y18" s="81"/>
      <c r="Z18" s="159" t="s">
        <v>677</v>
      </c>
      <c r="AA18" s="46"/>
    </row>
    <row r="19" spans="1:27" ht="13.5" customHeight="1" x14ac:dyDescent="0.2">
      <c r="A19" s="2063" t="s">
        <v>2074</v>
      </c>
      <c r="B19" s="2009"/>
      <c r="C19" s="2009"/>
      <c r="D19" s="2009"/>
      <c r="E19" s="2009"/>
      <c r="F19" s="2009"/>
      <c r="G19" s="2009"/>
      <c r="H19" s="1989"/>
      <c r="I19" s="30"/>
      <c r="J19" s="99"/>
      <c r="K19" s="40"/>
      <c r="L19" s="38"/>
      <c r="M19" s="112" t="s">
        <v>315</v>
      </c>
      <c r="P19" s="27"/>
      <c r="Q19" s="27"/>
      <c r="R19" s="27"/>
      <c r="S19" s="31"/>
      <c r="T19" s="2063" t="s">
        <v>2065</v>
      </c>
      <c r="U19" s="1988"/>
      <c r="V19" s="1988"/>
      <c r="W19" s="1989"/>
      <c r="X19" s="2078" t="s">
        <v>2066</v>
      </c>
      <c r="Y19" s="2079"/>
      <c r="Z19" s="2076">
        <v>61614</v>
      </c>
      <c r="AA19" s="207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7" t="s">
        <v>2075</v>
      </c>
      <c r="B21" s="1988"/>
      <c r="C21" s="1988"/>
      <c r="D21" s="1988"/>
      <c r="E21" s="1988"/>
      <c r="F21" s="1988"/>
      <c r="G21" s="1988"/>
      <c r="H21" s="1989"/>
      <c r="I21" s="2043" t="s">
        <v>678</v>
      </c>
      <c r="J21" s="2038"/>
      <c r="K21" s="2038"/>
      <c r="L21" s="2038"/>
      <c r="M21" s="2038"/>
      <c r="N21" s="2038"/>
      <c r="O21" s="2038"/>
      <c r="P21" s="2038"/>
      <c r="Q21" s="2038"/>
      <c r="R21" s="2038"/>
      <c r="S21" s="2044"/>
      <c r="T21" s="2087" t="s">
        <v>2067</v>
      </c>
      <c r="U21" s="2088"/>
      <c r="V21" s="2088"/>
      <c r="W21" s="2088"/>
      <c r="X21" s="2093" t="s">
        <v>2068</v>
      </c>
      <c r="Y21" s="2094"/>
      <c r="Z21" s="2094"/>
      <c r="AA21" s="2095"/>
    </row>
    <row r="22" spans="1:27" ht="13.5" customHeight="1" x14ac:dyDescent="0.2">
      <c r="A22" s="87" t="s">
        <v>531</v>
      </c>
      <c r="B22" s="59"/>
      <c r="C22" s="59"/>
      <c r="D22" s="59"/>
      <c r="E22" s="59"/>
      <c r="F22" s="59"/>
      <c r="G22" s="59"/>
      <c r="H22" s="60"/>
      <c r="I22" s="2045" t="s">
        <v>1429</v>
      </c>
      <c r="J22" s="2046"/>
      <c r="K22" s="2046"/>
      <c r="L22" s="2046"/>
      <c r="M22" s="2046"/>
      <c r="N22" s="2046"/>
      <c r="O22" s="2046"/>
      <c r="P22" s="2046"/>
      <c r="Q22" s="2046"/>
      <c r="R22" s="2046"/>
      <c r="S22" s="2047"/>
      <c r="T22" s="85" t="s">
        <v>1516</v>
      </c>
      <c r="U22" s="51"/>
      <c r="V22" s="72"/>
      <c r="W22" s="51"/>
      <c r="X22" s="160" t="s">
        <v>1318</v>
      </c>
      <c r="Z22" s="45"/>
      <c r="AA22" s="46"/>
    </row>
    <row r="23" spans="1:27" ht="13.5" customHeight="1" x14ac:dyDescent="0.2">
      <c r="A23" s="2040" t="s">
        <v>2076</v>
      </c>
      <c r="B23" s="2041"/>
      <c r="C23" s="2041"/>
      <c r="D23" s="2041"/>
      <c r="E23" s="2041"/>
      <c r="F23" s="2041"/>
      <c r="G23" s="2041"/>
      <c r="H23" s="2042"/>
      <c r="T23" s="2023" t="s">
        <v>2069</v>
      </c>
      <c r="U23" s="2086"/>
      <c r="V23" s="2086"/>
      <c r="W23" s="2086"/>
      <c r="X23" s="2090">
        <v>44501</v>
      </c>
      <c r="Y23" s="2091"/>
      <c r="Z23" s="2091"/>
      <c r="AA23" s="2092"/>
    </row>
    <row r="24" spans="1:27" ht="14.1" customHeight="1" x14ac:dyDescent="0.2">
      <c r="A24" s="88" t="s">
        <v>677</v>
      </c>
      <c r="B24" s="49"/>
      <c r="C24" s="49"/>
      <c r="D24" s="49"/>
      <c r="E24" s="49"/>
      <c r="F24" s="49"/>
      <c r="G24" s="49"/>
      <c r="H24" s="61"/>
      <c r="J24" s="2010">
        <f>IF(B5="x",IF(AUDITCHECK!D29="AFR form Incomplete.","",IF(AUDITCHECK!D29="Deficit reduction plan is required.","School District must complete a deficit reduction plan in the 2019-2020 Budget",)),"")</f>
        <v>0</v>
      </c>
      <c r="K24" s="2010"/>
      <c r="L24" s="2010"/>
      <c r="M24" s="2010"/>
      <c r="N24" s="2010"/>
      <c r="O24" s="2010"/>
      <c r="P24" s="2010"/>
      <c r="Q24" s="2010"/>
      <c r="R24" s="2010"/>
      <c r="S24" s="2011"/>
      <c r="T24" s="105" t="s">
        <v>531</v>
      </c>
      <c r="U24" s="106"/>
      <c r="V24" s="106"/>
      <c r="W24" s="106"/>
      <c r="X24" s="107"/>
      <c r="Y24" s="107"/>
      <c r="Z24" s="107"/>
      <c r="AA24" s="108"/>
    </row>
    <row r="25" spans="1:27" ht="14.1" customHeight="1" x14ac:dyDescent="0.2">
      <c r="A25" s="1987">
        <v>61250</v>
      </c>
      <c r="B25" s="1988"/>
      <c r="C25" s="1988"/>
      <c r="D25" s="1988"/>
      <c r="E25" s="1988"/>
      <c r="F25" s="1988"/>
      <c r="G25" s="1988"/>
      <c r="H25" s="1989"/>
      <c r="I25" s="113"/>
      <c r="J25" s="2012"/>
      <c r="K25" s="2012"/>
      <c r="L25" s="2012"/>
      <c r="M25" s="2012"/>
      <c r="N25" s="2012"/>
      <c r="O25" s="2012"/>
      <c r="P25" s="2012"/>
      <c r="Q25" s="2012"/>
      <c r="R25" s="2012"/>
      <c r="S25" s="2013"/>
      <c r="T25" s="2083" t="s">
        <v>2078</v>
      </c>
      <c r="U25" s="2084"/>
      <c r="V25" s="2084"/>
      <c r="W25" s="2084"/>
      <c r="X25" s="2084"/>
      <c r="Y25" s="2084"/>
      <c r="Z25" s="2084"/>
      <c r="AA25" s="208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8" t="s">
        <v>1511</v>
      </c>
      <c r="J27" s="1999"/>
      <c r="K27" s="1999"/>
      <c r="L27" s="1999"/>
      <c r="M27" s="1999"/>
      <c r="N27" s="1999"/>
      <c r="O27" s="1999"/>
      <c r="P27" s="1999"/>
      <c r="Q27" s="1999"/>
      <c r="R27" s="1999"/>
      <c r="S27" s="200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9"/>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3" t="s">
        <v>2079</v>
      </c>
      <c r="B38" s="2024"/>
      <c r="C38" s="2024"/>
      <c r="D38" s="2024"/>
      <c r="E38" s="2024"/>
      <c r="F38" s="1988"/>
      <c r="G38" s="1988"/>
      <c r="H38" s="1989"/>
      <c r="I38" s="2016"/>
      <c r="J38" s="2017"/>
      <c r="K38" s="2017"/>
      <c r="L38" s="2017"/>
      <c r="M38" s="2017"/>
      <c r="N38" s="2017"/>
      <c r="O38" s="2017"/>
      <c r="P38" s="2018"/>
      <c r="Q38" s="2018"/>
      <c r="R38" s="2018"/>
      <c r="S38" s="2019"/>
      <c r="T38" s="2073"/>
      <c r="U38" s="2017"/>
      <c r="V38" s="2017"/>
      <c r="W38" s="2017"/>
      <c r="X38" s="2018"/>
      <c r="Y38" s="2018"/>
      <c r="Z38" s="2018"/>
      <c r="AA38" s="2019"/>
    </row>
    <row r="39" spans="1:27" ht="12" customHeight="1" x14ac:dyDescent="0.2">
      <c r="A39" s="1993" t="s">
        <v>531</v>
      </c>
      <c r="B39" s="1994"/>
      <c r="C39" s="72"/>
      <c r="D39" s="69"/>
      <c r="E39" s="69"/>
      <c r="F39" s="79"/>
      <c r="G39" s="69"/>
      <c r="H39" s="56"/>
      <c r="I39" s="1993" t="s">
        <v>531</v>
      </c>
      <c r="J39" s="1994"/>
      <c r="K39" s="1994"/>
      <c r="L39" s="1994"/>
      <c r="M39" s="1994"/>
      <c r="N39" s="67"/>
      <c r="O39" s="72"/>
      <c r="P39" s="72"/>
      <c r="Q39" s="78"/>
      <c r="R39" s="72"/>
      <c r="S39" s="56"/>
      <c r="T39" s="72" t="s">
        <v>531</v>
      </c>
      <c r="U39" s="51"/>
      <c r="V39" s="72"/>
      <c r="W39" s="50"/>
      <c r="X39" s="78"/>
      <c r="Y39" s="45"/>
      <c r="Z39" s="45"/>
      <c r="AA39" s="46"/>
    </row>
    <row r="40" spans="1:27" ht="13.5" customHeight="1" x14ac:dyDescent="0.2">
      <c r="A40" s="2001" t="s">
        <v>2076</v>
      </c>
      <c r="B40" s="2002"/>
      <c r="C40" s="2003"/>
      <c r="D40" s="2003"/>
      <c r="E40" s="2003"/>
      <c r="F40" s="2004"/>
      <c r="G40" s="2004"/>
      <c r="H40" s="2005"/>
      <c r="I40" s="2026"/>
      <c r="J40" s="2027"/>
      <c r="K40" s="2027"/>
      <c r="L40" s="2027"/>
      <c r="M40" s="2027"/>
      <c r="N40" s="2027"/>
      <c r="O40" s="2027"/>
      <c r="P40" s="2027"/>
      <c r="Q40" s="2027"/>
      <c r="R40" s="2027"/>
      <c r="S40" s="2028"/>
      <c r="T40" s="2026"/>
      <c r="U40" s="2089"/>
      <c r="V40" s="2027"/>
      <c r="W40" s="2027"/>
      <c r="X40" s="2027"/>
      <c r="Y40" s="2027"/>
      <c r="Z40" s="2027"/>
      <c r="AA40" s="202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5" t="s">
        <v>2080</v>
      </c>
      <c r="B42" s="2007"/>
      <c r="C42" s="2008"/>
      <c r="D42" s="2006" t="s">
        <v>2081</v>
      </c>
      <c r="E42" s="2007"/>
      <c r="F42" s="2007"/>
      <c r="G42" s="2007"/>
      <c r="H42" s="2008"/>
      <c r="I42" s="1990"/>
      <c r="J42" s="1991"/>
      <c r="K42" s="1991"/>
      <c r="L42" s="1991"/>
      <c r="M42" s="1991"/>
      <c r="N42" s="1991"/>
      <c r="O42" s="1992"/>
      <c r="P42" s="2025"/>
      <c r="Q42" s="1991"/>
      <c r="R42" s="1991"/>
      <c r="S42" s="1992"/>
      <c r="T42" s="1990"/>
      <c r="U42" s="1991"/>
      <c r="V42" s="1991"/>
      <c r="W42" s="1992"/>
      <c r="X42" s="2025"/>
      <c r="Y42" s="1991"/>
      <c r="Z42" s="1991"/>
      <c r="AA42" s="199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0"/>
      <c r="B44" s="2021"/>
      <c r="C44" s="2021"/>
      <c r="D44" s="2021"/>
      <c r="E44" s="2021"/>
      <c r="F44" s="2021"/>
      <c r="G44" s="2021"/>
      <c r="H44" s="2022"/>
      <c r="I44" s="1995"/>
      <c r="J44" s="1996"/>
      <c r="K44" s="1996"/>
      <c r="L44" s="1996"/>
      <c r="M44" s="1996"/>
      <c r="N44" s="1996"/>
      <c r="O44" s="1996"/>
      <c r="P44" s="1996"/>
      <c r="Q44" s="1996"/>
      <c r="R44" s="1996"/>
      <c r="S44" s="1997"/>
      <c r="T44" s="1995"/>
      <c r="U44" s="2014"/>
      <c r="V44" s="2014"/>
      <c r="W44" s="2014"/>
      <c r="X44" s="2014"/>
      <c r="Y44" s="2014"/>
      <c r="Z44" s="1996"/>
      <c r="AA44" s="199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9" t="s">
        <v>1802</v>
      </c>
      <c r="B2" s="1525" t="s">
        <v>1951</v>
      </c>
      <c r="C2" s="711" t="s">
        <v>1952</v>
      </c>
      <c r="D2" s="711" t="s">
        <v>1953</v>
      </c>
      <c r="E2" s="711" t="s">
        <v>1954</v>
      </c>
      <c r="F2" s="711" t="s">
        <v>1955</v>
      </c>
    </row>
    <row r="3" spans="1:6" ht="12" customHeight="1" x14ac:dyDescent="0.2">
      <c r="A3" s="2230"/>
      <c r="B3" s="1522"/>
      <c r="C3" s="1523"/>
      <c r="D3" s="1524" t="s">
        <v>256</v>
      </c>
      <c r="E3" s="1523"/>
      <c r="F3" s="1524" t="s">
        <v>257</v>
      </c>
    </row>
    <row r="4" spans="1:6" ht="13.7" customHeight="1" x14ac:dyDescent="0.2">
      <c r="A4" s="712" t="s">
        <v>1155</v>
      </c>
      <c r="B4" s="1746">
        <f>'Revenues 9-14'!C5</f>
        <v>7170254</v>
      </c>
      <c r="C4" s="1521">
        <v>6240385</v>
      </c>
      <c r="D4" s="1749">
        <f>B4-C4</f>
        <v>929869</v>
      </c>
      <c r="E4" s="1521">
        <v>7426835</v>
      </c>
      <c r="F4" s="1749">
        <f>E4-C4</f>
        <v>1186450</v>
      </c>
    </row>
    <row r="5" spans="1:6" ht="13.7" customHeight="1" x14ac:dyDescent="0.2">
      <c r="A5" s="712" t="s">
        <v>870</v>
      </c>
      <c r="B5" s="1747">
        <f>'Revenues 9-14'!D5</f>
        <v>1792545</v>
      </c>
      <c r="C5" s="582">
        <v>1560096</v>
      </c>
      <c r="D5" s="1750">
        <f t="shared" ref="D5:D18" si="0">B5-C5</f>
        <v>232449</v>
      </c>
      <c r="E5" s="582">
        <v>1856709</v>
      </c>
      <c r="F5" s="1750">
        <f>E5-C5</f>
        <v>296613</v>
      </c>
    </row>
    <row r="6" spans="1:6" ht="13.7" customHeight="1" x14ac:dyDescent="0.2">
      <c r="A6" s="712" t="s">
        <v>411</v>
      </c>
      <c r="B6" s="1747">
        <f>'Revenues 9-14'!E5</f>
        <v>0</v>
      </c>
      <c r="C6" s="582">
        <v>0</v>
      </c>
      <c r="D6" s="1750">
        <f t="shared" si="0"/>
        <v>0</v>
      </c>
      <c r="E6" s="582">
        <v>0</v>
      </c>
      <c r="F6" s="1750">
        <f t="shared" ref="F6:F18" si="1">E6-C6</f>
        <v>0</v>
      </c>
    </row>
    <row r="7" spans="1:6" ht="13.7" customHeight="1" x14ac:dyDescent="0.2">
      <c r="A7" s="712" t="s">
        <v>155</v>
      </c>
      <c r="B7" s="1747">
        <f>'Revenues 9-14'!F5</f>
        <v>709359</v>
      </c>
      <c r="C7" s="582">
        <v>624039</v>
      </c>
      <c r="D7" s="1750">
        <f t="shared" si="0"/>
        <v>85320</v>
      </c>
      <c r="E7" s="582">
        <v>742683</v>
      </c>
      <c r="F7" s="1750">
        <f t="shared" si="1"/>
        <v>118644</v>
      </c>
    </row>
    <row r="8" spans="1:6" ht="13.7" customHeight="1" x14ac:dyDescent="0.2">
      <c r="A8" s="712" t="s">
        <v>1179</v>
      </c>
      <c r="B8" s="1747">
        <f>'Revenues 9-14'!G5</f>
        <v>77075</v>
      </c>
      <c r="C8" s="582">
        <v>77069</v>
      </c>
      <c r="D8" s="1750">
        <f t="shared" si="0"/>
        <v>6</v>
      </c>
      <c r="E8" s="582">
        <v>91721</v>
      </c>
      <c r="F8" s="1750">
        <f t="shared" si="1"/>
        <v>14652</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179256</v>
      </c>
      <c r="C10" s="582">
        <v>156010</v>
      </c>
      <c r="D10" s="1750">
        <f t="shared" si="0"/>
        <v>23246</v>
      </c>
      <c r="E10" s="582">
        <v>185671</v>
      </c>
      <c r="F10" s="1750">
        <f t="shared" si="1"/>
        <v>29661</v>
      </c>
    </row>
    <row r="11" spans="1:6" x14ac:dyDescent="0.2">
      <c r="A11" s="712" t="s">
        <v>409</v>
      </c>
      <c r="B11" s="1747">
        <f>'Revenues 9-14'!J5</f>
        <v>6</v>
      </c>
      <c r="C11" s="582">
        <v>0</v>
      </c>
      <c r="D11" s="1750">
        <f t="shared" si="0"/>
        <v>6</v>
      </c>
      <c r="E11" s="582">
        <v>0</v>
      </c>
      <c r="F11" s="1750">
        <f t="shared" si="1"/>
        <v>0</v>
      </c>
    </row>
    <row r="12" spans="1:6" ht="13.7" customHeight="1" x14ac:dyDescent="0.2">
      <c r="A12" s="712" t="s">
        <v>157</v>
      </c>
      <c r="B12" s="1747">
        <f>'Revenues 9-14'!K5</f>
        <v>62410</v>
      </c>
      <c r="C12" s="582">
        <v>62404</v>
      </c>
      <c r="D12" s="1750">
        <f t="shared" si="0"/>
        <v>6</v>
      </c>
      <c r="E12" s="582">
        <v>74268</v>
      </c>
      <c r="F12" s="1750">
        <f t="shared" si="1"/>
        <v>11864</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11</v>
      </c>
      <c r="C14" s="582">
        <v>0</v>
      </c>
      <c r="D14" s="1750">
        <f t="shared" si="0"/>
        <v>11</v>
      </c>
      <c r="E14" s="582">
        <v>0</v>
      </c>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65842</v>
      </c>
      <c r="C16" s="582">
        <v>65836</v>
      </c>
      <c r="D16" s="1750">
        <f t="shared" si="0"/>
        <v>6</v>
      </c>
      <c r="E16" s="582">
        <v>78353</v>
      </c>
      <c r="F16" s="1750">
        <f t="shared" si="1"/>
        <v>12517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10056758</v>
      </c>
      <c r="C19" s="1748">
        <f>SUM(C4:C18)</f>
        <v>8785839</v>
      </c>
      <c r="D19" s="1748">
        <f>SUM(D4:D18)</f>
        <v>1270919</v>
      </c>
      <c r="E19" s="1748">
        <f>SUM(E4:E18)</f>
        <v>10456240</v>
      </c>
      <c r="F19" s="1748">
        <f>SUM(F4:F18)</f>
        <v>1670401</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629</v>
      </c>
      <c r="B1" s="2249"/>
      <c r="C1" s="718"/>
    </row>
    <row r="2" spans="1:7" ht="33.75" x14ac:dyDescent="0.2">
      <c r="A2" s="2256" t="s">
        <v>1802</v>
      </c>
      <c r="B2" s="2257"/>
      <c r="C2" s="1881" t="s">
        <v>1956</v>
      </c>
      <c r="D2" s="720" t="s">
        <v>1957</v>
      </c>
      <c r="E2" s="720" t="s">
        <v>1958</v>
      </c>
      <c r="F2" s="1881" t="s">
        <v>1959</v>
      </c>
    </row>
    <row r="3" spans="1:7" ht="15.75" customHeight="1" x14ac:dyDescent="0.2">
      <c r="A3" s="2258" t="s">
        <v>1114</v>
      </c>
      <c r="B3" s="2259"/>
      <c r="C3" s="2252"/>
      <c r="D3" s="2253"/>
      <c r="E3" s="2253"/>
      <c r="F3" s="2254"/>
    </row>
    <row r="4" spans="1:7" ht="12.75" customHeight="1" thickBot="1" x14ac:dyDescent="0.25">
      <c r="A4" s="2246" t="s">
        <v>630</v>
      </c>
      <c r="B4" s="2247"/>
      <c r="C4" s="578"/>
      <c r="D4" s="578"/>
      <c r="E4" s="578"/>
      <c r="F4" s="1752">
        <f>SUM(C4+D4)-E4</f>
        <v>0</v>
      </c>
    </row>
    <row r="5" spans="1:7" ht="15.75" customHeight="1" thickTop="1" x14ac:dyDescent="0.2">
      <c r="A5" s="2250" t="s">
        <v>1110</v>
      </c>
      <c r="B5" s="2245"/>
      <c r="C5" s="2239"/>
      <c r="D5" s="2240"/>
      <c r="E5" s="2240"/>
      <c r="F5" s="224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42" t="s">
        <v>631</v>
      </c>
      <c r="B15" s="2243"/>
      <c r="C15" s="1752">
        <f>SUM(C6:C14)</f>
        <v>0</v>
      </c>
      <c r="D15" s="1752">
        <f>SUM(D6:D14)</f>
        <v>0</v>
      </c>
      <c r="E15" s="1752">
        <f>SUM(E6:E14)</f>
        <v>0</v>
      </c>
      <c r="F15" s="1752">
        <f>SUM(F6:F14)</f>
        <v>0</v>
      </c>
      <c r="G15" s="549"/>
    </row>
    <row r="16" spans="1:7" s="202" customFormat="1" ht="15.75" customHeight="1" thickTop="1" x14ac:dyDescent="0.2">
      <c r="A16" s="2255" t="s">
        <v>1111</v>
      </c>
      <c r="B16" s="2245"/>
      <c r="C16" s="2239"/>
      <c r="D16" s="2240"/>
      <c r="E16" s="2240"/>
      <c r="F16" s="2241"/>
    </row>
    <row r="17" spans="1:11" ht="12.75" customHeight="1" thickBot="1" x14ac:dyDescent="0.25">
      <c r="A17" s="2237" t="s">
        <v>64</v>
      </c>
      <c r="B17" s="2238"/>
      <c r="C17" s="723"/>
      <c r="D17" s="582"/>
      <c r="E17" s="723"/>
      <c r="F17" s="1752">
        <f>SUM(C17+D17)-E17</f>
        <v>0</v>
      </c>
    </row>
    <row r="18" spans="1:11" ht="12.75" customHeight="1" thickTop="1" thickBot="1" x14ac:dyDescent="0.25">
      <c r="A18" s="2237" t="s">
        <v>6</v>
      </c>
      <c r="B18" s="2238"/>
      <c r="C18" s="723"/>
      <c r="D18" s="582"/>
      <c r="E18" s="723"/>
      <c r="F18" s="1752">
        <f>SUM(C18+D18)-E18</f>
        <v>0</v>
      </c>
    </row>
    <row r="19" spans="1:11" ht="12.75" customHeight="1" thickTop="1" thickBot="1" x14ac:dyDescent="0.25">
      <c r="A19" s="2237" t="s">
        <v>388</v>
      </c>
      <c r="B19" s="2238"/>
      <c r="C19" s="723"/>
      <c r="D19" s="582"/>
      <c r="E19" s="723"/>
      <c r="F19" s="1752">
        <f>SUM(C19+D19)-E19</f>
        <v>0</v>
      </c>
    </row>
    <row r="20" spans="1:11" ht="12.75" customHeight="1" thickTop="1" thickBot="1" x14ac:dyDescent="0.25">
      <c r="A20" s="2237" t="s">
        <v>448</v>
      </c>
      <c r="B20" s="2238"/>
      <c r="C20" s="723"/>
      <c r="D20" s="582"/>
      <c r="E20" s="723"/>
      <c r="F20" s="1752">
        <f>SUM(C20+D20)-E20</f>
        <v>0</v>
      </c>
    </row>
    <row r="21" spans="1:11" ht="14.25" thickTop="1" thickBot="1" x14ac:dyDescent="0.25">
      <c r="A21" s="2242" t="s">
        <v>632</v>
      </c>
      <c r="B21" s="2243"/>
      <c r="C21" s="1752">
        <f>SUM(C17:C20)</f>
        <v>0</v>
      </c>
      <c r="D21" s="1752">
        <f>SUM(D17:D20)</f>
        <v>0</v>
      </c>
      <c r="E21" s="1752">
        <f>SUM(E17:E20)</f>
        <v>0</v>
      </c>
      <c r="F21" s="1752">
        <f>SUM(F17:F20)</f>
        <v>0</v>
      </c>
      <c r="G21" s="549"/>
    </row>
    <row r="22" spans="1:11" ht="15.75" customHeight="1" thickTop="1" x14ac:dyDescent="0.2">
      <c r="A22" s="2244" t="s">
        <v>1112</v>
      </c>
      <c r="B22" s="2245"/>
      <c r="C22" s="2239"/>
      <c r="D22" s="2240"/>
      <c r="E22" s="2240"/>
      <c r="F22" s="2241"/>
    </row>
    <row r="23" spans="1:11" ht="13.5" thickBot="1" x14ac:dyDescent="0.25">
      <c r="A23" s="2246" t="s">
        <v>633</v>
      </c>
      <c r="B23" s="2247"/>
      <c r="C23" s="578"/>
      <c r="D23" s="578"/>
      <c r="E23" s="578"/>
      <c r="F23" s="1752">
        <f>SUM(C23+D23)-E23</f>
        <v>0</v>
      </c>
      <c r="G23" s="549"/>
    </row>
    <row r="24" spans="1:11" ht="15.75" customHeight="1" thickTop="1" x14ac:dyDescent="0.2">
      <c r="A24" s="2244" t="s">
        <v>1113</v>
      </c>
      <c r="B24" s="2245"/>
      <c r="C24" s="2239"/>
      <c r="D24" s="2240"/>
      <c r="E24" s="2240"/>
      <c r="F24" s="2241"/>
    </row>
    <row r="25" spans="1:11" ht="13.5" thickBot="1" x14ac:dyDescent="0.25">
      <c r="A25" s="2246" t="s">
        <v>634</v>
      </c>
      <c r="B25" s="2247"/>
      <c r="C25" s="578"/>
      <c r="D25" s="578"/>
      <c r="E25" s="578"/>
      <c r="F25" s="1752">
        <f>SUM(C25+D25)-E25</f>
        <v>0</v>
      </c>
      <c r="G25" s="549"/>
    </row>
    <row r="26" spans="1:11" ht="15.75" customHeight="1" thickTop="1" x14ac:dyDescent="0.2">
      <c r="A26" s="2250" t="s">
        <v>657</v>
      </c>
      <c r="B26" s="2245"/>
      <c r="C26" s="724"/>
      <c r="D26" s="724"/>
      <c r="E26" s="724"/>
      <c r="F26" s="725"/>
    </row>
    <row r="27" spans="1:11" ht="13.5" thickBot="1" x14ac:dyDescent="0.25">
      <c r="A27" s="2242" t="s">
        <v>1070</v>
      </c>
      <c r="B27" s="2243"/>
      <c r="C27" s="582"/>
      <c r="D27" s="582"/>
      <c r="E27" s="582"/>
      <c r="F27" s="1752">
        <f>SUM(C27+D27)-E27</f>
        <v>0</v>
      </c>
      <c r="G27" s="549"/>
    </row>
    <row r="28" spans="1:11" ht="7.5" customHeight="1" thickTop="1" x14ac:dyDescent="0.2">
      <c r="A28" s="590"/>
    </row>
    <row r="29" spans="1:11" ht="23.25" customHeight="1" x14ac:dyDescent="0.2">
      <c r="A29" s="2248" t="s">
        <v>582</v>
      </c>
      <c r="B29" s="2249"/>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37865</v>
      </c>
      <c r="C31" s="731">
        <v>4605000</v>
      </c>
      <c r="D31" s="732">
        <v>3</v>
      </c>
      <c r="E31" s="731"/>
      <c r="F31" s="731"/>
      <c r="G31" s="731"/>
      <c r="H31" s="731"/>
      <c r="I31" s="1753">
        <f>((E31+F31)-H31)+G31</f>
        <v>0</v>
      </c>
      <c r="J31" s="731">
        <v>-355118</v>
      </c>
      <c r="K31" s="733"/>
    </row>
    <row r="32" spans="1:11" ht="12" customHeight="1" x14ac:dyDescent="0.2">
      <c r="A32" s="729" t="s">
        <v>2083</v>
      </c>
      <c r="B32" s="730">
        <v>43087</v>
      </c>
      <c r="C32" s="731">
        <v>3226147</v>
      </c>
      <c r="D32" s="732">
        <v>7</v>
      </c>
      <c r="E32" s="731">
        <v>2706645</v>
      </c>
      <c r="F32" s="731"/>
      <c r="G32" s="731"/>
      <c r="H32" s="731">
        <v>1060533</v>
      </c>
      <c r="I32" s="1753">
        <f>((E32+F32)-H32)+G32</f>
        <v>1646112</v>
      </c>
      <c r="J32" s="731">
        <v>1646112</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7831147</v>
      </c>
      <c r="D49" s="742"/>
      <c r="E49" s="1753">
        <f t="shared" ref="E49:J49" si="2">SUM(E31:E48)</f>
        <v>2706645</v>
      </c>
      <c r="F49" s="1753">
        <f t="shared" si="2"/>
        <v>0</v>
      </c>
      <c r="G49" s="1753">
        <f t="shared" si="2"/>
        <v>0</v>
      </c>
      <c r="H49" s="1753">
        <f t="shared" si="2"/>
        <v>1060533</v>
      </c>
      <c r="I49" s="1753">
        <f t="shared" si="2"/>
        <v>1646112</v>
      </c>
      <c r="J49" s="1753">
        <f t="shared" si="2"/>
        <v>1290994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31" t="s">
        <v>584</v>
      </c>
      <c r="C52" s="2232"/>
      <c r="D52" s="2232"/>
      <c r="E52" s="746" t="s">
        <v>845</v>
      </c>
      <c r="F52" s="2233" t="s">
        <v>2083</v>
      </c>
      <c r="G52" s="2234"/>
      <c r="H52" s="733"/>
      <c r="I52" s="733"/>
      <c r="J52" s="743"/>
    </row>
    <row r="53" spans="1:11" ht="11.25" customHeight="1" x14ac:dyDescent="0.2">
      <c r="A53" s="747" t="s">
        <v>913</v>
      </c>
      <c r="B53" s="748" t="s">
        <v>951</v>
      </c>
      <c r="C53" s="743"/>
      <c r="D53" s="734"/>
      <c r="E53" s="746" t="s">
        <v>497</v>
      </c>
      <c r="F53" s="2235"/>
      <c r="G53" s="2236"/>
      <c r="H53" s="733"/>
      <c r="I53" s="733"/>
      <c r="J53" s="743"/>
    </row>
    <row r="54" spans="1:11" ht="11.25" customHeight="1" x14ac:dyDescent="0.2">
      <c r="A54" s="749" t="s">
        <v>914</v>
      </c>
      <c r="B54" s="744" t="s">
        <v>952</v>
      </c>
      <c r="C54" s="743"/>
      <c r="D54" s="734"/>
      <c r="E54" s="746" t="s">
        <v>498</v>
      </c>
      <c r="F54" s="2235"/>
      <c r="G54" s="223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856</v>
      </c>
      <c r="B1" s="2261"/>
      <c r="C1" s="2261"/>
      <c r="D1" s="2261"/>
      <c r="E1" s="2261"/>
      <c r="F1" s="2261"/>
      <c r="G1" s="2262"/>
      <c r="H1" s="1527"/>
      <c r="I1" s="757"/>
      <c r="J1" s="433"/>
    </row>
    <row r="2" spans="1:11" ht="26.25" x14ac:dyDescent="0.2">
      <c r="A2" s="2279" t="s">
        <v>1677</v>
      </c>
      <c r="B2" s="2280"/>
      <c r="C2" s="2280"/>
      <c r="D2" s="2280"/>
      <c r="E2" s="2281"/>
      <c r="F2" s="758" t="s">
        <v>904</v>
      </c>
      <c r="G2" s="759" t="s">
        <v>1674</v>
      </c>
      <c r="H2" s="759" t="s">
        <v>410</v>
      </c>
      <c r="I2" s="759" t="s">
        <v>1158</v>
      </c>
      <c r="J2" s="759" t="s">
        <v>1812</v>
      </c>
      <c r="K2" s="759" t="s">
        <v>138</v>
      </c>
    </row>
    <row r="3" spans="1:11" x14ac:dyDescent="0.2">
      <c r="A3" s="2282" t="s">
        <v>1964</v>
      </c>
      <c r="B3" s="2283"/>
      <c r="C3" s="2283"/>
      <c r="D3" s="2283"/>
      <c r="E3" s="2284"/>
      <c r="F3" s="760"/>
      <c r="G3" s="761"/>
      <c r="H3" s="761"/>
      <c r="I3" s="761"/>
      <c r="J3" s="762">
        <v>793325</v>
      </c>
      <c r="K3" s="762"/>
    </row>
    <row r="4" spans="1:11" x14ac:dyDescent="0.2">
      <c r="A4" s="2285" t="s">
        <v>369</v>
      </c>
      <c r="B4" s="2286"/>
      <c r="C4" s="2286"/>
      <c r="D4" s="2286"/>
      <c r="E4" s="2232"/>
      <c r="F4" s="763"/>
      <c r="G4" s="764"/>
      <c r="H4" s="765"/>
      <c r="I4" s="764"/>
      <c r="J4" s="766"/>
      <c r="K4" s="766"/>
    </row>
    <row r="5" spans="1:11" x14ac:dyDescent="0.2">
      <c r="A5" s="2263" t="s">
        <v>1069</v>
      </c>
      <c r="B5" s="2264"/>
      <c r="C5" s="2264"/>
      <c r="D5" s="2264"/>
      <c r="E5" s="2265"/>
      <c r="F5" s="767" t="s">
        <v>848</v>
      </c>
      <c r="G5" s="768"/>
      <c r="H5" s="761">
        <v>11</v>
      </c>
      <c r="I5" s="769"/>
      <c r="J5" s="770"/>
      <c r="K5" s="770"/>
    </row>
    <row r="6" spans="1:11" x14ac:dyDescent="0.2">
      <c r="A6" s="771" t="s">
        <v>720</v>
      </c>
      <c r="B6" s="772"/>
      <c r="C6" s="772"/>
      <c r="D6" s="772"/>
      <c r="E6" s="773"/>
      <c r="F6" s="774" t="s">
        <v>849</v>
      </c>
      <c r="G6" s="761"/>
      <c r="H6" s="761"/>
      <c r="I6" s="761"/>
      <c r="J6" s="762">
        <v>244</v>
      </c>
      <c r="K6" s="762"/>
    </row>
    <row r="7" spans="1:11" x14ac:dyDescent="0.2">
      <c r="A7" s="775" t="s">
        <v>246</v>
      </c>
      <c r="B7" s="776"/>
      <c r="C7" s="776"/>
      <c r="D7" s="776"/>
      <c r="E7" s="777"/>
      <c r="F7" s="767" t="s">
        <v>850</v>
      </c>
      <c r="G7" s="764"/>
      <c r="H7" s="764"/>
      <c r="I7" s="764"/>
      <c r="J7" s="778"/>
      <c r="K7" s="762">
        <v>2200</v>
      </c>
    </row>
    <row r="8" spans="1:11" x14ac:dyDescent="0.2">
      <c r="A8" s="775" t="s">
        <v>345</v>
      </c>
      <c r="B8" s="776"/>
      <c r="C8" s="776"/>
      <c r="D8" s="776"/>
      <c r="E8" s="777"/>
      <c r="F8" s="767" t="s">
        <v>851</v>
      </c>
      <c r="G8" s="779"/>
      <c r="H8" s="779"/>
      <c r="I8" s="779"/>
      <c r="J8" s="762">
        <v>325946</v>
      </c>
      <c r="K8" s="766"/>
    </row>
    <row r="9" spans="1:11" x14ac:dyDescent="0.2">
      <c r="A9" s="775" t="s">
        <v>138</v>
      </c>
      <c r="B9" s="776"/>
      <c r="C9" s="776"/>
      <c r="D9" s="776"/>
      <c r="E9" s="777"/>
      <c r="F9" s="774" t="s">
        <v>853</v>
      </c>
      <c r="G9" s="779"/>
      <c r="H9" s="768"/>
      <c r="I9" s="768"/>
      <c r="J9" s="778"/>
      <c r="K9" s="762">
        <v>8539</v>
      </c>
    </row>
    <row r="10" spans="1:11" x14ac:dyDescent="0.2">
      <c r="A10" s="2263" t="s">
        <v>1813</v>
      </c>
      <c r="B10" s="2264"/>
      <c r="C10" s="2264"/>
      <c r="D10" s="2264"/>
      <c r="E10" s="2266"/>
      <c r="F10" s="780" t="s">
        <v>862</v>
      </c>
      <c r="G10" s="779"/>
      <c r="H10" s="781"/>
      <c r="I10" s="761"/>
      <c r="J10" s="762"/>
      <c r="K10" s="762"/>
    </row>
    <row r="11" spans="1:11" x14ac:dyDescent="0.2">
      <c r="A11" s="2263" t="s">
        <v>160</v>
      </c>
      <c r="B11" s="2264"/>
      <c r="C11" s="2264"/>
      <c r="D11" s="2264"/>
      <c r="E11" s="2265"/>
      <c r="F11" s="767" t="s">
        <v>852</v>
      </c>
      <c r="G11" s="768"/>
      <c r="H11" s="761"/>
      <c r="I11" s="761"/>
      <c r="J11" s="762"/>
      <c r="K11" s="770"/>
    </row>
    <row r="12" spans="1:11" ht="13.5" thickBot="1" x14ac:dyDescent="0.25">
      <c r="A12" s="2290" t="s">
        <v>905</v>
      </c>
      <c r="B12" s="2291"/>
      <c r="C12" s="2291"/>
      <c r="D12" s="2291"/>
      <c r="E12" s="2292"/>
      <c r="F12" s="1754"/>
      <c r="G12" s="1755">
        <f>SUM(G5:G11)</f>
        <v>0</v>
      </c>
      <c r="H12" s="1755">
        <f>SUM(H5:H11)</f>
        <v>11</v>
      </c>
      <c r="I12" s="1755">
        <f>SUM(I5:I11)</f>
        <v>0</v>
      </c>
      <c r="J12" s="1755">
        <f>SUM(J5:J11)</f>
        <v>326190</v>
      </c>
      <c r="K12" s="1755">
        <f>SUM(K5:K11)</f>
        <v>10739</v>
      </c>
    </row>
    <row r="13" spans="1:11" ht="13.5" thickTop="1" x14ac:dyDescent="0.2">
      <c r="A13" s="2287" t="s">
        <v>370</v>
      </c>
      <c r="B13" s="2288"/>
      <c r="C13" s="2288"/>
      <c r="D13" s="2288"/>
      <c r="E13" s="2289"/>
      <c r="F13" s="782"/>
      <c r="G13" s="783"/>
      <c r="H13" s="784"/>
      <c r="I13" s="785"/>
      <c r="J13" s="785"/>
      <c r="K13" s="785"/>
    </row>
    <row r="14" spans="1:11" x14ac:dyDescent="0.2">
      <c r="A14" s="2270" t="s">
        <v>456</v>
      </c>
      <c r="B14" s="2270"/>
      <c r="C14" s="2270"/>
      <c r="D14" s="2270"/>
      <c r="E14" s="2271"/>
      <c r="F14" s="786" t="s">
        <v>854</v>
      </c>
      <c r="G14" s="779"/>
      <c r="H14" s="761">
        <v>11</v>
      </c>
      <c r="I14" s="768"/>
      <c r="J14" s="770"/>
      <c r="K14" s="762">
        <v>10739</v>
      </c>
    </row>
    <row r="15" spans="1:11" x14ac:dyDescent="0.2">
      <c r="A15" s="2264" t="s">
        <v>4</v>
      </c>
      <c r="B15" s="2264"/>
      <c r="C15" s="2264"/>
      <c r="D15" s="2264"/>
      <c r="E15" s="2265"/>
      <c r="F15" s="786" t="s">
        <v>855</v>
      </c>
      <c r="G15" s="768"/>
      <c r="H15" s="761"/>
      <c r="I15" s="761"/>
      <c r="J15" s="762">
        <v>617202</v>
      </c>
      <c r="K15" s="762"/>
    </row>
    <row r="16" spans="1:11" x14ac:dyDescent="0.2">
      <c r="A16" s="2264" t="s">
        <v>298</v>
      </c>
      <c r="B16" s="2264"/>
      <c r="C16" s="2264"/>
      <c r="D16" s="2264"/>
      <c r="E16" s="2265"/>
      <c r="F16" s="786" t="s">
        <v>923</v>
      </c>
      <c r="G16" s="769"/>
      <c r="H16" s="764"/>
      <c r="I16" s="764"/>
      <c r="J16" s="766"/>
      <c r="K16" s="766"/>
    </row>
    <row r="17" spans="1:11" x14ac:dyDescent="0.2">
      <c r="A17" s="2295" t="s">
        <v>935</v>
      </c>
      <c r="B17" s="2295"/>
      <c r="C17" s="2295"/>
      <c r="D17" s="2295"/>
      <c r="E17" s="2296"/>
      <c r="F17" s="787"/>
      <c r="G17" s="788"/>
      <c r="H17" s="789"/>
      <c r="I17" s="789"/>
      <c r="J17" s="790"/>
      <c r="K17" s="791"/>
    </row>
    <row r="18" spans="1:11" x14ac:dyDescent="0.2">
      <c r="A18" s="2274" t="s">
        <v>368</v>
      </c>
      <c r="B18" s="2275"/>
      <c r="C18" s="2275"/>
      <c r="D18" s="2275"/>
      <c r="E18" s="2276"/>
      <c r="F18" s="786" t="s">
        <v>932</v>
      </c>
      <c r="G18" s="779"/>
      <c r="H18" s="779"/>
      <c r="I18" s="779"/>
      <c r="J18" s="762"/>
      <c r="K18" s="792"/>
    </row>
    <row r="19" spans="1:11" ht="21.75" customHeight="1" x14ac:dyDescent="0.2">
      <c r="A19" s="2272" t="s">
        <v>1809</v>
      </c>
      <c r="B19" s="2272"/>
      <c r="C19" s="2272"/>
      <c r="D19" s="2272"/>
      <c r="E19" s="2273"/>
      <c r="F19" s="786" t="s">
        <v>933</v>
      </c>
      <c r="G19" s="779"/>
      <c r="H19" s="779"/>
      <c r="I19" s="779"/>
      <c r="J19" s="762"/>
      <c r="K19" s="792"/>
    </row>
    <row r="20" spans="1:11" x14ac:dyDescent="0.2">
      <c r="A20" s="2274" t="s">
        <v>1814</v>
      </c>
      <c r="B20" s="2275"/>
      <c r="C20" s="2275"/>
      <c r="D20" s="2275"/>
      <c r="E20" s="2276"/>
      <c r="F20" s="786" t="s">
        <v>934</v>
      </c>
      <c r="G20" s="779"/>
      <c r="H20" s="779"/>
      <c r="I20" s="779"/>
      <c r="J20" s="762"/>
      <c r="K20" s="792"/>
    </row>
    <row r="21" spans="1:11" ht="13.5" thickBot="1" x14ac:dyDescent="0.25">
      <c r="A21" s="2293" t="s">
        <v>638</v>
      </c>
      <c r="B21" s="2293"/>
      <c r="C21" s="2293"/>
      <c r="D21" s="2293"/>
      <c r="E21" s="2293"/>
      <c r="F21" s="1756"/>
      <c r="G21" s="789"/>
      <c r="H21" s="793"/>
      <c r="I21" s="793"/>
      <c r="J21" s="1757">
        <f>SUM(J18:J20)</f>
        <v>0</v>
      </c>
      <c r="K21" s="790"/>
    </row>
    <row r="22" spans="1:11" ht="13.5" thickTop="1" x14ac:dyDescent="0.2">
      <c r="A22" s="2264" t="s">
        <v>1815</v>
      </c>
      <c r="B22" s="2264"/>
      <c r="C22" s="2264"/>
      <c r="D22" s="2264"/>
      <c r="E22" s="2265"/>
      <c r="F22" s="786" t="s">
        <v>862</v>
      </c>
      <c r="G22" s="779"/>
      <c r="H22" s="761"/>
      <c r="I22" s="761"/>
      <c r="J22" s="794"/>
      <c r="K22" s="762"/>
    </row>
    <row r="23" spans="1:11" ht="13.5" thickBot="1" x14ac:dyDescent="0.25">
      <c r="A23" s="2294" t="s">
        <v>906</v>
      </c>
      <c r="B23" s="2293"/>
      <c r="C23" s="2293"/>
      <c r="D23" s="2293"/>
      <c r="E23" s="2293"/>
      <c r="F23" s="1758"/>
      <c r="G23" s="1755">
        <f>SUM(G14:G16,G21,G22)</f>
        <v>0</v>
      </c>
      <c r="H23" s="1755">
        <f>SUM(H14:H16,H21,H22)</f>
        <v>11</v>
      </c>
      <c r="I23" s="1755">
        <f>SUM(I14:I16,I21,I22)</f>
        <v>0</v>
      </c>
      <c r="J23" s="1755">
        <f>SUM(J14:J16,J21,J22)</f>
        <v>617202</v>
      </c>
      <c r="K23" s="1755">
        <f>SUM(K14:K16,K21,K22)</f>
        <v>10739</v>
      </c>
    </row>
    <row r="24" spans="1:11" ht="14.25" thickTop="1" thickBot="1" x14ac:dyDescent="0.25">
      <c r="A24" s="2294" t="s">
        <v>1965</v>
      </c>
      <c r="B24" s="2293"/>
      <c r="C24" s="2293"/>
      <c r="D24" s="2293"/>
      <c r="E24" s="2293"/>
      <c r="F24" s="1759"/>
      <c r="G24" s="1760">
        <f>SUM(G3,G12)-G23</f>
        <v>0</v>
      </c>
      <c r="H24" s="1760">
        <f>SUM(H3,H12)-H23</f>
        <v>0</v>
      </c>
      <c r="I24" s="1760">
        <f>SUM(I3,I12)-I23</f>
        <v>0</v>
      </c>
      <c r="J24" s="1760">
        <f>SUM(J3,J12)-J23</f>
        <v>502313</v>
      </c>
      <c r="K24" s="1760">
        <f>SUM(K3,K12)-K23</f>
        <v>0</v>
      </c>
    </row>
    <row r="25" spans="1:11" ht="13.5" thickTop="1" x14ac:dyDescent="0.2">
      <c r="A25" s="795" t="s">
        <v>420</v>
      </c>
      <c r="B25" s="796"/>
      <c r="C25" s="796"/>
      <c r="D25" s="796"/>
      <c r="E25" s="797"/>
      <c r="F25" s="798">
        <v>714</v>
      </c>
      <c r="G25" s="799"/>
      <c r="H25" s="799"/>
      <c r="I25" s="799"/>
      <c r="J25" s="794">
        <v>502313</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7"/>
      <c r="I31" s="2268"/>
      <c r="J31" s="2268"/>
      <c r="K31" s="2268"/>
    </row>
    <row r="32" spans="1:11" x14ac:dyDescent="0.2">
      <c r="A32" s="806"/>
      <c r="B32" s="237"/>
      <c r="C32" s="237"/>
      <c r="D32" s="237"/>
      <c r="E32" s="802"/>
      <c r="F32" s="808" t="s">
        <v>540</v>
      </c>
      <c r="G32" s="761"/>
      <c r="H32" s="2269"/>
      <c r="I32" s="2268"/>
      <c r="J32" s="2268"/>
      <c r="K32" s="2268"/>
    </row>
    <row r="33" spans="1:11" ht="1.5" customHeight="1" x14ac:dyDescent="0.2">
      <c r="A33" s="809" t="s">
        <v>1169</v>
      </c>
      <c r="B33" s="364"/>
      <c r="C33" s="364"/>
      <c r="D33" s="364"/>
      <c r="E33" s="364"/>
      <c r="F33" s="364"/>
      <c r="G33" s="810"/>
      <c r="H33" s="2269"/>
      <c r="I33" s="2268"/>
      <c r="J33" s="2268"/>
      <c r="K33" s="226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64" t="s">
        <v>541</v>
      </c>
      <c r="B41" s="2277"/>
      <c r="C41" s="2277"/>
      <c r="D41" s="2277"/>
      <c r="E41" s="2277"/>
      <c r="F41" s="227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9" t="s">
        <v>1909</v>
      </c>
      <c r="B1" s="2300"/>
      <c r="C1" s="2301"/>
      <c r="D1" s="823"/>
      <c r="E1" s="824"/>
      <c r="F1" s="824"/>
      <c r="G1" s="825"/>
      <c r="H1" s="826"/>
      <c r="I1" s="827"/>
      <c r="J1" s="2297"/>
      <c r="K1" s="2298"/>
      <c r="L1" s="229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190042</v>
      </c>
      <c r="D5" s="838">
        <v>0</v>
      </c>
      <c r="E5" s="838">
        <v>0</v>
      </c>
      <c r="F5" s="1757">
        <f>(C5+D5)-E5</f>
        <v>190042</v>
      </c>
      <c r="G5" s="834"/>
      <c r="H5" s="839"/>
      <c r="I5" s="839"/>
      <c r="J5" s="839"/>
      <c r="K5" s="790"/>
      <c r="L5" s="1766">
        <f>F5-K5</f>
        <v>190042</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15600718</v>
      </c>
      <c r="D8" s="841">
        <v>5220354</v>
      </c>
      <c r="E8" s="841">
        <v>0</v>
      </c>
      <c r="F8" s="1757">
        <f>(C8+D8)-E8</f>
        <v>20821072</v>
      </c>
      <c r="G8" s="840">
        <v>50</v>
      </c>
      <c r="H8" s="762">
        <v>8536325</v>
      </c>
      <c r="I8" s="762">
        <v>416421</v>
      </c>
      <c r="J8" s="762">
        <v>0</v>
      </c>
      <c r="K8" s="1766">
        <f>(H8+I8)-J8</f>
        <v>8952746</v>
      </c>
      <c r="L8" s="1766">
        <f>F8-K8</f>
        <v>11868326</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7098643</v>
      </c>
      <c r="D10" s="843">
        <v>0</v>
      </c>
      <c r="E10" s="843">
        <v>0</v>
      </c>
      <c r="F10" s="1761">
        <f>(C10+D10)-E10</f>
        <v>7098643</v>
      </c>
      <c r="G10" s="840">
        <v>20</v>
      </c>
      <c r="H10" s="844">
        <v>3387114</v>
      </c>
      <c r="I10" s="844">
        <v>323620</v>
      </c>
      <c r="J10" s="844">
        <v>0</v>
      </c>
      <c r="K10" s="1766">
        <f>(H10+I10)-J10</f>
        <v>3710734</v>
      </c>
      <c r="L10" s="1766">
        <f>F10-K10</f>
        <v>3387909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3553487</v>
      </c>
      <c r="D12" s="841">
        <v>175996</v>
      </c>
      <c r="E12" s="841">
        <v>400967</v>
      </c>
      <c r="F12" s="1757">
        <f>(C12+D12)-E12</f>
        <v>3328516</v>
      </c>
      <c r="G12" s="840">
        <v>10</v>
      </c>
      <c r="H12" s="762">
        <v>2250081</v>
      </c>
      <c r="I12" s="762">
        <v>332848</v>
      </c>
      <c r="J12" s="762">
        <v>400967</v>
      </c>
      <c r="K12" s="1766">
        <f>(H12+I12)-J12</f>
        <v>2181962</v>
      </c>
      <c r="L12" s="1766">
        <f>F12-K12</f>
        <v>1146554</v>
      </c>
    </row>
    <row r="13" spans="1:14" ht="14.25" thickTop="1" thickBot="1" x14ac:dyDescent="0.25">
      <c r="A13" s="845" t="s">
        <v>1122</v>
      </c>
      <c r="B13" s="837">
        <v>252</v>
      </c>
      <c r="C13" s="841">
        <v>601899</v>
      </c>
      <c r="D13" s="841">
        <v>0</v>
      </c>
      <c r="E13" s="841">
        <v>0</v>
      </c>
      <c r="F13" s="1757">
        <f>(C13+D13)-E13</f>
        <v>601899</v>
      </c>
      <c r="G13" s="840">
        <v>5</v>
      </c>
      <c r="H13" s="762">
        <v>561156</v>
      </c>
      <c r="I13" s="762">
        <v>17666</v>
      </c>
      <c r="J13" s="762">
        <v>0</v>
      </c>
      <c r="K13" s="1766">
        <f>(H13+I13)-J13</f>
        <v>578822</v>
      </c>
      <c r="L13" s="1766">
        <f>F13-K13</f>
        <v>23077</v>
      </c>
    </row>
    <row r="14" spans="1:14" ht="14.25" thickTop="1" thickBot="1" x14ac:dyDescent="0.25">
      <c r="A14" s="845" t="s">
        <v>1123</v>
      </c>
      <c r="B14" s="837">
        <v>253</v>
      </c>
      <c r="C14" s="762">
        <v>0</v>
      </c>
      <c r="D14" s="762">
        <v>0</v>
      </c>
      <c r="E14" s="762">
        <v>0</v>
      </c>
      <c r="F14" s="1757">
        <f>(C14+D14)-E14</f>
        <v>0</v>
      </c>
      <c r="G14" s="840">
        <v>3</v>
      </c>
      <c r="H14" s="762">
        <v>0</v>
      </c>
      <c r="I14" s="762">
        <v>0</v>
      </c>
      <c r="J14" s="762">
        <v>0</v>
      </c>
      <c r="K14" s="1766">
        <f>(H14+I14)-J14</f>
        <v>0</v>
      </c>
      <c r="L14" s="1766">
        <f>F14-K14</f>
        <v>0</v>
      </c>
    </row>
    <row r="15" spans="1:14" ht="15" customHeight="1" thickTop="1" thickBot="1" x14ac:dyDescent="0.25">
      <c r="A15" s="1628" t="s">
        <v>528</v>
      </c>
      <c r="B15" s="1627">
        <v>260</v>
      </c>
      <c r="C15" s="841">
        <v>1631807</v>
      </c>
      <c r="D15" s="841">
        <v>3701490</v>
      </c>
      <c r="E15" s="841">
        <v>1631807</v>
      </c>
      <c r="F15" s="1757">
        <f>(C15+D15)-E15</f>
        <v>3701490</v>
      </c>
      <c r="G15" s="846" t="s">
        <v>862</v>
      </c>
      <c r="H15" s="778"/>
      <c r="I15" s="778"/>
      <c r="J15" s="778"/>
      <c r="K15" s="778"/>
      <c r="L15" s="1766">
        <f>F15-K15</f>
        <v>3701490</v>
      </c>
    </row>
    <row r="16" spans="1:14" ht="15" customHeight="1" thickTop="1" thickBot="1" x14ac:dyDescent="0.25">
      <c r="A16" s="1762" t="s">
        <v>643</v>
      </c>
      <c r="B16" s="1763">
        <v>200</v>
      </c>
      <c r="C16" s="1757">
        <f>SUM(C3,C5:C6,C8:C10,C12:C15)</f>
        <v>28676596</v>
      </c>
      <c r="D16" s="1757">
        <f>SUM(D3,D5:D6,D8:D10,D12:D15)</f>
        <v>9097840</v>
      </c>
      <c r="E16" s="1757">
        <f>SUM(E3,E5:E6,E8:E10,E12:E15)</f>
        <v>2032774</v>
      </c>
      <c r="F16" s="1757">
        <f>SUM(F3,F5:F6,F8:F10,F12:F15)</f>
        <v>35741662</v>
      </c>
      <c r="G16" s="840"/>
      <c r="H16" s="1757">
        <f>SUM(H3,H6,H8:H10,H12:H14,)</f>
        <v>14734676</v>
      </c>
      <c r="I16" s="1757">
        <f>SUM(I3,I6,I8:I10,I12:I14,)</f>
        <v>1090555</v>
      </c>
      <c r="J16" s="1757">
        <f>SUM(J3,J6,J8:J10,J12:J14,)</f>
        <v>400967</v>
      </c>
      <c r="K16" s="1757">
        <f>(H16+I16)-J16</f>
        <v>15424264</v>
      </c>
      <c r="L16" s="1757">
        <f>F16-K16</f>
        <v>20317398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1090555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7" sqref="A17:H1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5" t="s">
        <v>1975</v>
      </c>
      <c r="B1" s="2306"/>
      <c r="C1" s="2306"/>
      <c r="D1" s="2306"/>
      <c r="E1" s="2306"/>
      <c r="F1" s="2307"/>
      <c r="G1" s="852"/>
    </row>
    <row r="2" spans="1:7" ht="15" customHeight="1" thickBot="1" x14ac:dyDescent="0.25">
      <c r="A2" s="2308" t="s">
        <v>477</v>
      </c>
      <c r="B2" s="2309"/>
      <c r="C2" s="2309"/>
      <c r="D2" s="2309"/>
      <c r="E2" s="2309"/>
      <c r="F2" s="231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11"/>
      <c r="B5" s="2312"/>
      <c r="C5" s="2312"/>
      <c r="D5" s="2312"/>
      <c r="E5" s="2312"/>
      <c r="F5" s="2312"/>
    </row>
    <row r="6" spans="1:7" ht="13.5" customHeight="1" thickBot="1" x14ac:dyDescent="0.25">
      <c r="A6" s="2302" t="s">
        <v>1104</v>
      </c>
      <c r="B6" s="2303"/>
      <c r="C6" s="2303"/>
      <c r="D6" s="2303"/>
      <c r="E6" s="2303"/>
      <c r="F6" s="230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10467089</v>
      </c>
      <c r="G8" s="862"/>
    </row>
    <row r="9" spans="1:7" x14ac:dyDescent="0.2">
      <c r="A9" s="866" t="s">
        <v>460</v>
      </c>
      <c r="B9" s="867" t="s">
        <v>1877</v>
      </c>
      <c r="C9" s="868"/>
      <c r="D9" s="866" t="s">
        <v>501</v>
      </c>
      <c r="E9" s="865"/>
      <c r="F9" s="1906">
        <f>'Expenditures 15-22'!K151</f>
        <v>850261</v>
      </c>
      <c r="G9" s="869"/>
    </row>
    <row r="10" spans="1:7" x14ac:dyDescent="0.2">
      <c r="A10" s="866" t="s">
        <v>499</v>
      </c>
      <c r="B10" s="867" t="s">
        <v>1878</v>
      </c>
      <c r="C10" s="868"/>
      <c r="D10" s="866" t="s">
        <v>501</v>
      </c>
      <c r="E10" s="865"/>
      <c r="F10" s="1906">
        <f>'Expenditures 15-22'!K174</f>
        <v>1127724</v>
      </c>
      <c r="G10" s="869"/>
    </row>
    <row r="11" spans="1:7" x14ac:dyDescent="0.2">
      <c r="A11" s="866" t="s">
        <v>461</v>
      </c>
      <c r="B11" s="867" t="s">
        <v>1879</v>
      </c>
      <c r="C11" s="868"/>
      <c r="D11" s="866" t="s">
        <v>501</v>
      </c>
      <c r="E11" s="865"/>
      <c r="F11" s="1906">
        <f>'Expenditures 15-22'!K210</f>
        <v>607785</v>
      </c>
      <c r="G11" s="869"/>
    </row>
    <row r="12" spans="1:7" x14ac:dyDescent="0.2">
      <c r="A12" s="866" t="s">
        <v>462</v>
      </c>
      <c r="B12" s="867" t="s">
        <v>1880</v>
      </c>
      <c r="C12" s="868"/>
      <c r="D12" s="866" t="s">
        <v>501</v>
      </c>
      <c r="E12" s="865"/>
      <c r="F12" s="1906">
        <f>'Expenditures 15-22'!K295</f>
        <v>531870</v>
      </c>
      <c r="G12" s="869"/>
    </row>
    <row r="13" spans="1:7" x14ac:dyDescent="0.2">
      <c r="A13" s="866" t="s">
        <v>106</v>
      </c>
      <c r="B13" s="867" t="s">
        <v>1881</v>
      </c>
      <c r="C13" s="868"/>
      <c r="D13" s="866" t="s">
        <v>501</v>
      </c>
      <c r="E13" s="865"/>
      <c r="F13" s="1906">
        <f>'Expenditures 15-22'!K342</f>
        <v>450</v>
      </c>
      <c r="G13" s="870"/>
    </row>
    <row r="14" spans="1:7" ht="12" customHeight="1" thickBot="1" x14ac:dyDescent="0.25">
      <c r="A14" s="1767"/>
      <c r="B14" s="1768"/>
      <c r="C14" s="1769"/>
      <c r="D14" s="1770" t="s">
        <v>501</v>
      </c>
      <c r="E14" s="1771" t="s">
        <v>958</v>
      </c>
      <c r="F14" s="1772">
        <f>SUM(F8:F13)</f>
        <v>13585179</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157367</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26188</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187249</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35849</v>
      </c>
      <c r="G52" s="862"/>
    </row>
    <row r="53" spans="1:7" x14ac:dyDescent="0.2">
      <c r="A53" s="866" t="s">
        <v>459</v>
      </c>
      <c r="B53" s="866" t="s">
        <v>1475</v>
      </c>
      <c r="C53" s="886">
        <f>'Expenditures 15-22'!B102</f>
        <v>4000</v>
      </c>
      <c r="D53" s="885" t="str">
        <f>'Expenditures 15-22'!A102</f>
        <v>Total Payments to Other Govt Units</v>
      </c>
      <c r="E53" s="865"/>
      <c r="F53" s="1910">
        <f>'Expenditures 15-22'!K102</f>
        <v>130434</v>
      </c>
      <c r="G53" s="862"/>
    </row>
    <row r="54" spans="1:7" x14ac:dyDescent="0.2">
      <c r="A54" s="866" t="s">
        <v>459</v>
      </c>
      <c r="B54" s="866" t="s">
        <v>1476</v>
      </c>
      <c r="C54" s="886" t="s">
        <v>982</v>
      </c>
      <c r="D54" s="882" t="s">
        <v>1095</v>
      </c>
      <c r="E54" s="865"/>
      <c r="F54" s="1910">
        <f>'Expenditures 15-22'!G114</f>
        <v>100551</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28005</v>
      </c>
      <c r="G57" s="862"/>
    </row>
    <row r="58" spans="1:7" x14ac:dyDescent="0.2">
      <c r="A58" s="866" t="s">
        <v>460</v>
      </c>
      <c r="B58" s="866" t="s">
        <v>1883</v>
      </c>
      <c r="C58" s="883" t="s">
        <v>982</v>
      </c>
      <c r="D58" s="882" t="s">
        <v>1095</v>
      </c>
      <c r="E58" s="865"/>
      <c r="F58" s="1912">
        <f>'Expenditures 15-22'!G151</f>
        <v>186646</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1060533</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9126</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6625</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1928573</v>
      </c>
      <c r="G76" s="862"/>
    </row>
    <row r="77" spans="1:8" s="890" customFormat="1" ht="12" customHeight="1" thickTop="1" thickBot="1" x14ac:dyDescent="0.25">
      <c r="A77" s="1776"/>
      <c r="B77" s="1773"/>
      <c r="C77" s="1769"/>
      <c r="D77" s="1774" t="s">
        <v>1900</v>
      </c>
      <c r="E77" s="1771"/>
      <c r="F77" s="1777">
        <f>(F14-F76)</f>
        <v>11656606</v>
      </c>
      <c r="G77" s="866"/>
    </row>
    <row r="78" spans="1:8" s="890" customFormat="1" ht="12" customHeight="1" thickTop="1" x14ac:dyDescent="0.2">
      <c r="A78" s="1778"/>
      <c r="B78" s="1773"/>
      <c r="C78" s="1769"/>
      <c r="D78" s="1774" t="s">
        <v>2062</v>
      </c>
      <c r="E78" s="1771"/>
      <c r="F78" s="895">
        <v>607.1</v>
      </c>
      <c r="G78" s="896"/>
      <c r="H78" s="866"/>
    </row>
    <row r="79" spans="1:8" s="890" customFormat="1" ht="12" customHeight="1" thickBot="1" x14ac:dyDescent="0.25">
      <c r="A79" s="1779"/>
      <c r="B79" s="1773"/>
      <c r="C79" s="1769"/>
      <c r="D79" s="1774" t="s">
        <v>1901</v>
      </c>
      <c r="E79" s="1771" t="s">
        <v>958</v>
      </c>
      <c r="F79" s="1780">
        <f>IF(F78&gt;0,F77/F78," Complete Line 78")</f>
        <v>19200.471092077089</v>
      </c>
      <c r="G79" s="866"/>
    </row>
    <row r="80" spans="1:8" s="890" customFormat="1" ht="8.25" customHeight="1" thickTop="1" x14ac:dyDescent="0.2">
      <c r="A80" s="897"/>
      <c r="B80" s="866"/>
      <c r="C80" s="868"/>
      <c r="D80" s="898"/>
      <c r="E80" s="865"/>
      <c r="F80" s="899"/>
      <c r="G80" s="866"/>
    </row>
    <row r="81" spans="1:7" s="890" customFormat="1" ht="12" thickBot="1" x14ac:dyDescent="0.25">
      <c r="A81" s="2302" t="s">
        <v>1105</v>
      </c>
      <c r="B81" s="2303"/>
      <c r="C81" s="2303"/>
      <c r="D81" s="2303"/>
      <c r="E81" s="2303"/>
      <c r="F81" s="230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130931</v>
      </c>
      <c r="G94" s="909"/>
    </row>
    <row r="95" spans="1:7" x14ac:dyDescent="0.2">
      <c r="A95" s="905" t="s">
        <v>140</v>
      </c>
      <c r="B95" s="905" t="s">
        <v>175</v>
      </c>
      <c r="C95" s="907">
        <v>1700</v>
      </c>
      <c r="D95" s="915" t="str">
        <f>'Revenues 9-14'!A82</f>
        <v>Total District/School Activity Income</v>
      </c>
      <c r="E95" s="903"/>
      <c r="F95" s="1786">
        <f>SUM('Revenues 9-14'!C82,'Revenues 9-14'!D82)</f>
        <v>26810</v>
      </c>
      <c r="G95" s="909"/>
    </row>
    <row r="96" spans="1:7" x14ac:dyDescent="0.2">
      <c r="A96" s="905" t="s">
        <v>459</v>
      </c>
      <c r="B96" s="905" t="s">
        <v>176</v>
      </c>
      <c r="C96" s="907">
        <f>'Revenues 9-14'!B84</f>
        <v>1811</v>
      </c>
      <c r="D96" s="908" t="str">
        <f>'Revenues 9-14'!A84</f>
        <v>Rentals - Regular Textbooks</v>
      </c>
      <c r="E96" s="903"/>
      <c r="F96" s="1786">
        <f>'Revenues 9-14'!C84</f>
        <v>33001</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13892</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555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42163</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4985</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9279</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1388</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8539</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269562</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100333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78070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216541</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23815</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17028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14392</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190360.35</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1182394.3500000001</v>
      </c>
    </row>
    <row r="175" spans="1:7" ht="12" customHeight="1" x14ac:dyDescent="0.2">
      <c r="A175" s="1767"/>
      <c r="B175" s="1781"/>
      <c r="C175" s="1782"/>
      <c r="D175" s="1783" t="s">
        <v>2057</v>
      </c>
      <c r="E175" s="1784"/>
      <c r="F175" s="1786">
        <f>'PCTC-OEPP 27-28'!F77-F174</f>
        <v>10474211.65</v>
      </c>
    </row>
    <row r="176" spans="1:7" ht="12" customHeight="1" x14ac:dyDescent="0.2">
      <c r="A176" s="1767"/>
      <c r="B176" s="1781"/>
      <c r="C176" s="1782"/>
      <c r="D176" s="1783" t="s">
        <v>1817</v>
      </c>
      <c r="E176" s="1784"/>
      <c r="F176" s="1786">
        <f>'Cap Outlay Deprec 26'!I18</f>
        <v>1090555</v>
      </c>
    </row>
    <row r="177" spans="1:7" ht="12" customHeight="1" x14ac:dyDescent="0.2">
      <c r="A177" s="1767"/>
      <c r="B177" s="1781"/>
      <c r="C177" s="1782"/>
      <c r="D177" s="1783" t="s">
        <v>2058</v>
      </c>
      <c r="E177" s="1784"/>
      <c r="F177" s="1786">
        <f>F175+F176</f>
        <v>11564766.65</v>
      </c>
    </row>
    <row r="178" spans="1:7" ht="12" customHeight="1" x14ac:dyDescent="0.2">
      <c r="A178" s="1767"/>
      <c r="B178" s="1787"/>
      <c r="C178" s="1782"/>
      <c r="D178" s="1783" t="str">
        <f>D78</f>
        <v>9 Month ADA from District Average Daily Attendance/Prior General State Aid Inquiry 2018-2019</v>
      </c>
      <c r="E178" s="1784"/>
      <c r="F178" s="1788">
        <f>'PCTC-OEPP 27-28'!F78</f>
        <v>607.1</v>
      </c>
      <c r="G178" s="927"/>
    </row>
    <row r="179" spans="1:7" ht="12" customHeight="1" thickBot="1" x14ac:dyDescent="0.25">
      <c r="A179" s="1767"/>
      <c r="B179" s="1787"/>
      <c r="C179" s="1782"/>
      <c r="D179" s="1783" t="s">
        <v>2059</v>
      </c>
      <c r="E179" s="1784" t="s">
        <v>1545</v>
      </c>
      <c r="F179" s="1789">
        <f>F177/F178</f>
        <v>19049.195602042499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H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6" t="s">
        <v>1818</v>
      </c>
      <c r="B4" s="2317"/>
      <c r="C4" s="2317"/>
      <c r="D4" s="2317"/>
      <c r="E4" s="2317"/>
      <c r="F4" s="2317"/>
      <c r="G4" s="2318"/>
    </row>
    <row r="5" spans="1:7" x14ac:dyDescent="0.25">
      <c r="A5" s="2319"/>
      <c r="B5" s="2320"/>
      <c r="C5" s="2320"/>
      <c r="D5" s="2320"/>
      <c r="E5" s="2320"/>
      <c r="F5" s="2320"/>
      <c r="G5" s="2321"/>
    </row>
    <row r="6" spans="1:7" ht="18.75" x14ac:dyDescent="0.25">
      <c r="A6" s="1531" t="s">
        <v>1819</v>
      </c>
      <c r="B6" s="1532"/>
      <c r="C6" s="1532"/>
      <c r="D6" s="1532"/>
      <c r="E6" s="1532"/>
      <c r="F6" s="1532"/>
      <c r="G6" s="1533"/>
    </row>
    <row r="7" spans="1:7" ht="30.75" customHeight="1" x14ac:dyDescent="0.25">
      <c r="A7" s="2322" t="s">
        <v>1932</v>
      </c>
      <c r="B7" s="2323"/>
      <c r="C7" s="2323"/>
      <c r="D7" s="2323"/>
      <c r="E7" s="2323"/>
      <c r="F7" s="2323"/>
      <c r="G7" s="2324"/>
    </row>
    <row r="8" spans="1:7" ht="15.75" customHeight="1" x14ac:dyDescent="0.25">
      <c r="A8" s="2325" t="s">
        <v>1907</v>
      </c>
      <c r="B8" s="2326"/>
      <c r="C8" s="2326"/>
      <c r="D8" s="2326"/>
      <c r="E8" s="2326"/>
      <c r="F8" s="2326"/>
      <c r="G8" s="2327"/>
    </row>
    <row r="9" spans="1:7" ht="35.25" customHeight="1" x14ac:dyDescent="0.25">
      <c r="A9" s="2322" t="s">
        <v>1935</v>
      </c>
      <c r="B9" s="2323"/>
      <c r="C9" s="2323"/>
      <c r="D9" s="2323"/>
      <c r="E9" s="2323"/>
      <c r="F9" s="2323"/>
      <c r="G9" s="2324"/>
    </row>
    <row r="10" spans="1:7" ht="15" customHeight="1" x14ac:dyDescent="0.25">
      <c r="A10" s="1534" t="s">
        <v>1820</v>
      </c>
      <c r="B10" s="1535"/>
      <c r="C10" s="1535"/>
      <c r="D10" s="1535"/>
      <c r="E10" s="1535"/>
      <c r="F10" s="1535"/>
      <c r="G10" s="1536"/>
    </row>
    <row r="11" spans="1:7" ht="17.25" customHeight="1" x14ac:dyDescent="0.25">
      <c r="A11" s="2322" t="s">
        <v>1934</v>
      </c>
      <c r="B11" s="2323"/>
      <c r="C11" s="2323"/>
      <c r="D11" s="2323"/>
      <c r="E11" s="2323"/>
      <c r="F11" s="2323"/>
      <c r="G11" s="2324"/>
    </row>
    <row r="12" spans="1:7" ht="15" customHeight="1" x14ac:dyDescent="0.25">
      <c r="A12" s="1534" t="s">
        <v>1825</v>
      </c>
      <c r="B12" s="1535"/>
      <c r="C12" s="1535"/>
      <c r="D12" s="1535"/>
      <c r="E12" s="1535"/>
      <c r="F12" s="1535"/>
      <c r="G12" s="1536"/>
    </row>
    <row r="13" spans="1:7" ht="32.25" customHeight="1" x14ac:dyDescent="0.25">
      <c r="A13" s="2313" t="s">
        <v>1976</v>
      </c>
      <c r="B13" s="2314"/>
      <c r="C13" s="2314"/>
      <c r="D13" s="2314"/>
      <c r="E13" s="2314"/>
      <c r="F13" s="2314"/>
      <c r="G13" s="231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6" t="s">
        <v>2145</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8" t="s">
        <v>1679</v>
      </c>
      <c r="B5" s="2329"/>
      <c r="C5" s="2329"/>
      <c r="D5" s="2329"/>
      <c r="E5" s="2329"/>
      <c r="F5" s="2329"/>
      <c r="G5" s="233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151743</v>
      </c>
      <c r="F10" s="971"/>
      <c r="G10" s="972"/>
      <c r="H10" s="162"/>
      <c r="I10" s="162"/>
    </row>
    <row r="11" spans="1:9" s="665" customFormat="1" ht="22.5" customHeight="1" x14ac:dyDescent="0.2">
      <c r="A11" s="2333" t="s">
        <v>1977</v>
      </c>
      <c r="B11" s="2334"/>
      <c r="C11" s="2334"/>
      <c r="D11" s="2335"/>
      <c r="E11" s="974">
        <v>25587</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7235574</v>
      </c>
      <c r="F19" s="1796"/>
      <c r="G19" s="1798">
        <f>'Expenditures 15-22'!K33-SUM('Expenditures 15-22'!G33,'Expenditures 15-22'!I33)+'Expenditures 15-22'!D229</f>
        <v>7235574</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575347</v>
      </c>
      <c r="F21" s="1799"/>
      <c r="G21" s="1802">
        <f>'Expenditures 15-22'!K42-SUM('Expenditures 15-22'!G42,'Expenditures 15-22'!I42)+'Expenditures 15-22'!K120-SUM('Expenditures 15-22'!G120,'Expenditures 15-22'!I120)+'Expenditures 15-22'!K180-SUM('Expenditures 15-22'!G180,'Expenditures 15-22'!I180)+'Expenditures 15-22'!D238</f>
        <v>575347</v>
      </c>
      <c r="H21" s="984"/>
      <c r="I21" s="162"/>
    </row>
    <row r="22" spans="1:9" s="665" customFormat="1" ht="12" customHeight="1" x14ac:dyDescent="0.2">
      <c r="A22" s="991" t="s">
        <v>564</v>
      </c>
      <c r="B22" s="992"/>
      <c r="C22" s="990">
        <v>2200</v>
      </c>
      <c r="D22" s="1799"/>
      <c r="E22" s="1801">
        <f>'Expenditures 15-22'!K47-SUM('Expenditures 15-22'!G47,'Expenditures 15-22'!I47)+'Expenditures 15-22'!D243</f>
        <v>157930</v>
      </c>
      <c r="F22" s="1799"/>
      <c r="G22" s="1802">
        <f>'Expenditures 15-22'!K47-SUM('Expenditures 15-22'!G47,'Expenditures 15-22'!I47)+'Expenditures 15-22'!D243</f>
        <v>157930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529874</v>
      </c>
      <c r="F23" s="1799"/>
      <c r="G23" s="1801">
        <f>'Expenditures 15-22'!K53-SUM('Expenditures 15-22'!G53,'Expenditures 15-22'!I53)+'Expenditures 15-22'!D257+'Expenditures 15-22'!K330-SUM('Expenditures 15-22'!G330,'Expenditures 15-22'!I330)</f>
        <v>529874</v>
      </c>
      <c r="H23" s="984"/>
      <c r="I23" s="162"/>
    </row>
    <row r="24" spans="1:9" s="665" customFormat="1" ht="12" customHeight="1" x14ac:dyDescent="0.2">
      <c r="A24" s="991" t="s">
        <v>566</v>
      </c>
      <c r="B24" s="992"/>
      <c r="C24" s="990">
        <v>2400</v>
      </c>
      <c r="D24" s="1799"/>
      <c r="E24" s="1801">
        <f>'Expenditures 15-22'!K57-SUM('Expenditures 15-22'!G57,'Expenditures 15-22'!I57)+'Expenditures 15-22'!D261</f>
        <v>818077</v>
      </c>
      <c r="F24" s="1799"/>
      <c r="G24" s="1802">
        <f>'Expenditures 15-22'!K57-SUM('Expenditures 15-22'!G57,'Expenditures 15-22'!I57)+'Expenditures 15-22'!D261</f>
        <v>818077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88045</v>
      </c>
      <c r="E27" s="1801">
        <f>E8</f>
        <v>0</v>
      </c>
      <c r="F27" s="1801">
        <f>'Expenditures 15-22'!K60-SUM('Expenditures 15-22'!G60,'Expenditures 15-22'!I60)+'Expenditures 15-22'!D264-E8</f>
        <v>88045</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1184354</v>
      </c>
      <c r="F28" s="1803">
        <f>'Expenditures 15-22'!K61-SUM('Expenditures 15-22'!G61,'Expenditures 15-22'!I61)+'Expenditures 15-22'!K124-SUM('Expenditures 15-22'!G124,'Expenditures 15-22'!I124)+'Expenditures 15-22'!D266-E9</f>
        <v>1184354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677602</v>
      </c>
      <c r="F29" s="1799"/>
      <c r="G29" s="1802">
        <f>'Expenditures 15-22'!K62-SUM('Expenditures 15-22'!G62,'Expenditures 15-22'!I62)+'Expenditures 15-22'!K125-SUM('Expenditures 15-22'!G125,'Expenditures 15-22'!I125)+'Expenditures 15-22'!K182-SUM('Expenditures 15-22'!G182,'Expenditures 15-22'!I182)+'Expenditures 15-22'!D267</f>
        <v>677602</v>
      </c>
      <c r="H29" s="982"/>
    </row>
    <row r="30" spans="1:9" ht="12" customHeight="1" x14ac:dyDescent="0.2">
      <c r="A30" s="991" t="s">
        <v>100</v>
      </c>
      <c r="B30" s="994"/>
      <c r="C30" s="990">
        <v>2560</v>
      </c>
      <c r="D30" s="1799"/>
      <c r="E30" s="1801">
        <f>'Expenditures 15-22'!K63-SUM('Expenditures 15-22'!G63,'Expenditures 15-22'!I63)+'Expenditures 15-22'!D268-E10</f>
        <v>197609</v>
      </c>
      <c r="F30" s="1799"/>
      <c r="G30" s="1801">
        <f>'Expenditures 15-22'!K63-SUM('Expenditures 15-22'!G63,'Expenditures 15-22'!I63)+'Expenditures 15-22'!D268-E10</f>
        <v>197609</v>
      </c>
    </row>
    <row r="31" spans="1:9" ht="12" customHeight="1" x14ac:dyDescent="0.2">
      <c r="A31" s="991" t="s">
        <v>101</v>
      </c>
      <c r="B31" s="994"/>
      <c r="C31" s="990">
        <v>2570</v>
      </c>
      <c r="D31" s="1801">
        <f>'Expenditures 15-22'!K64-SUM('Expenditures 15-22'!G64,'Expenditures 15-22'!I64)+'Expenditures 15-22'!D269-E12</f>
        <v>2088</v>
      </c>
      <c r="E31" s="1801">
        <f>E12</f>
        <v>0</v>
      </c>
      <c r="F31" s="1801">
        <f>'Expenditures 15-22'!K64-SUM('Expenditures 15-22'!G64,'Expenditures 15-22'!I64)+'Expenditures 15-22'!D269-E12</f>
        <v>2088</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13014</v>
      </c>
      <c r="F34" s="1799"/>
      <c r="G34" s="1801">
        <f>'Expenditures 15-22'!K68-SUM('Expenditures 15-22'!G68,'Expenditures 15-22'!I68)+'Expenditures 15-22'!D273</f>
        <v>13014</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338088</v>
      </c>
      <c r="E36" s="1801">
        <f>E13</f>
        <v>0</v>
      </c>
      <c r="F36" s="1801">
        <f>'Expenditures 15-22'!K70-SUM('Expenditures 15-22'!G70,'Expenditures 15-22'!I70)+'Expenditures 15-22'!D275-E13</f>
        <v>338088</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42474</v>
      </c>
      <c r="F39" s="1799"/>
      <c r="G39" s="1801">
        <f>'Expenditures 15-22'!K75-SUM('Expenditures 15-22'!G75,'Expenditures 15-22'!I75)+'Expenditures 15-22'!K130-SUM('Expenditures 15-22'!G130,'Expenditures 15-22'!I130)+'Expenditures 15-22'!K185-SUM('Expenditures 15-22'!G185,'Expenditures 15-22'!I185)+'Expenditures 15-22'!D280</f>
        <v>42474</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428221</v>
      </c>
      <c r="E41" s="1803">
        <f>SUM(E19:E40)</f>
        <v>11431855</v>
      </c>
      <c r="F41" s="1803">
        <f>SUM(F19:F39)</f>
        <v>1612575</v>
      </c>
      <c r="G41" s="1803">
        <f>SUM(G19:G40)</f>
        <v>10247501</v>
      </c>
    </row>
    <row r="42" spans="1:7" x14ac:dyDescent="0.2">
      <c r="A42" s="984"/>
      <c r="B42" s="162"/>
      <c r="C42" s="998"/>
      <c r="D42" s="2331" t="s">
        <v>522</v>
      </c>
      <c r="E42" s="2332"/>
      <c r="F42" s="999" t="s">
        <v>523</v>
      </c>
      <c r="G42" s="1000"/>
    </row>
    <row r="43" spans="1:7" ht="12" customHeight="1" x14ac:dyDescent="0.2">
      <c r="A43" s="984"/>
      <c r="B43" s="162"/>
      <c r="C43" s="998"/>
      <c r="D43" s="1804" t="s">
        <v>473</v>
      </c>
      <c r="E43" s="1805">
        <f>D41</f>
        <v>428221</v>
      </c>
      <c r="F43" s="1804" t="s">
        <v>473</v>
      </c>
      <c r="G43" s="1805">
        <f>F41</f>
        <v>1612575</v>
      </c>
    </row>
    <row r="44" spans="1:7" ht="12" customHeight="1" x14ac:dyDescent="0.2">
      <c r="A44" s="984"/>
      <c r="B44" s="162"/>
      <c r="C44" s="998"/>
      <c r="D44" s="1804" t="s">
        <v>474</v>
      </c>
      <c r="E44" s="1805">
        <f>E41</f>
        <v>11431855</v>
      </c>
      <c r="F44" s="1804" t="s">
        <v>474</v>
      </c>
      <c r="G44" s="1805">
        <f>G41</f>
        <v>10247501</v>
      </c>
    </row>
    <row r="45" spans="1:7" ht="12" customHeight="1" x14ac:dyDescent="0.2">
      <c r="A45" s="984"/>
      <c r="B45" s="162"/>
      <c r="C45" s="162"/>
      <c r="D45" s="1806" t="s">
        <v>1006</v>
      </c>
      <c r="E45" s="1807">
        <f>(E43/E44)</f>
        <v>3.7458575183117702E-2</v>
      </c>
      <c r="F45" s="1806" t="s">
        <v>1006</v>
      </c>
      <c r="G45" s="1807">
        <f>(G43/G44)</f>
        <v>0.15736275605145097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7" sqref="A17:H1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51" t="s">
        <v>1379</v>
      </c>
      <c r="B1" s="2351"/>
      <c r="C1" s="2351"/>
      <c r="D1" s="2351"/>
      <c r="E1" s="2351"/>
      <c r="F1" s="235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52" t="s">
        <v>1546</v>
      </c>
      <c r="B5" s="2353"/>
      <c r="C5" s="2354"/>
      <c r="D5" s="2354"/>
      <c r="E5" s="2354"/>
      <c r="F5" s="2354"/>
    </row>
    <row r="6" spans="1:10" ht="12" customHeight="1" x14ac:dyDescent="0.25">
      <c r="A6" s="1847"/>
      <c r="B6" s="1848"/>
      <c r="C6" s="2355" t="str">
        <f>COVER!A17</f>
        <v>Erie CUSD 1</v>
      </c>
      <c r="D6" s="2355"/>
      <c r="E6" s="2355"/>
      <c r="F6" s="1849"/>
    </row>
    <row r="7" spans="1:10" ht="11.25" customHeight="1" thickBot="1" x14ac:dyDescent="0.3">
      <c r="A7" s="1847"/>
      <c r="B7" s="1848"/>
      <c r="C7" s="2356">
        <f>COVER!A13</f>
        <v>47098001026</v>
      </c>
      <c r="D7" s="2356"/>
      <c r="E7" s="235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t="s">
        <v>2070</v>
      </c>
      <c r="E13" s="1865"/>
      <c r="F13" s="1864" t="s">
        <v>2088</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934" t="s">
        <v>2093</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2087</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2086</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2070</v>
      </c>
      <c r="D31" s="1862" t="s">
        <v>2070</v>
      </c>
      <c r="E31" s="1865"/>
      <c r="F31" s="1864" t="s">
        <v>2085</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2070</v>
      </c>
      <c r="D33" s="1862" t="s">
        <v>2070</v>
      </c>
      <c r="E33" s="1865"/>
      <c r="F33" s="1864" t="s">
        <v>2084</v>
      </c>
      <c r="H33" s="1875">
        <f t="shared" si="0"/>
        <v>5</v>
      </c>
      <c r="I33" s="1875">
        <f t="shared" si="1"/>
        <v>5</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57"/>
      <c r="D35" s="2357"/>
      <c r="E35" s="2357"/>
      <c r="F35" s="2358"/>
    </row>
    <row r="36" spans="1:11" ht="12" customHeight="1" x14ac:dyDescent="0.2">
      <c r="A36" s="2350" t="s">
        <v>2094</v>
      </c>
      <c r="B36" s="2340"/>
      <c r="C36" s="2340"/>
      <c r="D36" s="2340"/>
      <c r="E36" s="2340"/>
      <c r="F36" s="2341"/>
    </row>
    <row r="37" spans="1:11" ht="12" customHeight="1" x14ac:dyDescent="0.2">
      <c r="A37" s="2339"/>
      <c r="B37" s="2340"/>
      <c r="C37" s="2340"/>
      <c r="D37" s="2340"/>
      <c r="E37" s="2340"/>
      <c r="F37" s="2341"/>
    </row>
    <row r="38" spans="1:11" ht="12" customHeight="1" x14ac:dyDescent="0.2">
      <c r="A38" s="2342"/>
      <c r="B38" s="2343"/>
      <c r="C38" s="2343"/>
      <c r="D38" s="2343"/>
      <c r="E38" s="2343"/>
      <c r="F38" s="2344"/>
    </row>
    <row r="39" spans="1:11" ht="4.5" hidden="1" customHeight="1" x14ac:dyDescent="0.2">
      <c r="A39" s="1870"/>
      <c r="B39" s="1870"/>
      <c r="C39" s="1870"/>
      <c r="D39" s="1870"/>
      <c r="E39" s="1870"/>
      <c r="F39" s="1870"/>
    </row>
    <row r="40" spans="1:11" s="1867" customFormat="1" ht="12" customHeight="1" x14ac:dyDescent="0.25">
      <c r="A40" s="1871" t="s">
        <v>1391</v>
      </c>
      <c r="B40" s="1872"/>
      <c r="C40" s="2345"/>
      <c r="D40" s="2345"/>
      <c r="E40" s="2345"/>
      <c r="F40" s="2346"/>
      <c r="H40" s="1876"/>
      <c r="I40" s="1876"/>
      <c r="J40" s="1876"/>
      <c r="K40" s="1876"/>
    </row>
    <row r="41" spans="1:11" s="1867" customFormat="1" ht="12" customHeight="1" x14ac:dyDescent="0.25">
      <c r="A41" s="2347"/>
      <c r="B41" s="2348"/>
      <c r="C41" s="2348"/>
      <c r="D41" s="2348"/>
      <c r="E41" s="2348"/>
      <c r="F41" s="2349"/>
      <c r="H41" s="1876"/>
      <c r="I41" s="1876"/>
      <c r="J41" s="1876"/>
      <c r="K41" s="1876"/>
    </row>
    <row r="42" spans="1:11" s="1867" customFormat="1" ht="12" customHeight="1" x14ac:dyDescent="0.25">
      <c r="A42" s="2347"/>
      <c r="B42" s="2348"/>
      <c r="C42" s="2348"/>
      <c r="D42" s="2348"/>
      <c r="E42" s="2348"/>
      <c r="F42" s="2349"/>
      <c r="H42" s="1876"/>
      <c r="I42" s="1876"/>
      <c r="J42" s="1876"/>
      <c r="K42" s="1876"/>
    </row>
    <row r="43" spans="1:11" s="1867" customFormat="1" ht="15" x14ac:dyDescent="0.25">
      <c r="A43" s="2336"/>
      <c r="B43" s="2337"/>
      <c r="C43" s="2337"/>
      <c r="D43" s="2337"/>
      <c r="E43" s="2337"/>
      <c r="F43" s="2338"/>
      <c r="H43" s="1876"/>
      <c r="I43" s="1876"/>
      <c r="J43" s="1876"/>
      <c r="K43" s="1876"/>
    </row>
    <row r="44" spans="1:11" s="1867" customFormat="1" ht="12" hidden="1" customHeight="1" x14ac:dyDescent="0.25">
      <c r="A44" s="2336"/>
      <c r="B44" s="2337"/>
      <c r="C44" s="2337"/>
      <c r="D44" s="2337"/>
      <c r="E44" s="2337"/>
      <c r="F44" s="233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64" t="str">
        <f>COVER!A17</f>
        <v>Erie CUSD 1</v>
      </c>
      <c r="J6" s="2365"/>
      <c r="Q6" s="1661"/>
    </row>
    <row r="7" spans="1:17" x14ac:dyDescent="0.2">
      <c r="A7" s="2366" t="s">
        <v>869</v>
      </c>
      <c r="B7" s="2367"/>
      <c r="C7" s="2367"/>
      <c r="D7" s="2367"/>
      <c r="E7" s="2368"/>
      <c r="F7" s="1014"/>
      <c r="G7" s="1006"/>
      <c r="H7" s="1013" t="s">
        <v>372</v>
      </c>
      <c r="I7" s="2369">
        <f>COVER!A13</f>
        <v>47098001026</v>
      </c>
      <c r="J7" s="236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70" t="s">
        <v>481</v>
      </c>
      <c r="B11" s="2371"/>
      <c r="C11" s="237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297011</v>
      </c>
      <c r="F12" s="1036"/>
      <c r="G12" s="1808">
        <f t="shared" ref="G12:G18" si="0">SUM(E12:F12)</f>
        <v>297011</v>
      </c>
      <c r="H12" s="1037">
        <v>295411</v>
      </c>
      <c r="I12" s="1036"/>
      <c r="J12" s="1808">
        <f t="shared" ref="J12:J18" si="1">SUM(H12:I12)</f>
        <v>295411</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2088</v>
      </c>
      <c r="F16" s="1036"/>
      <c r="G16" s="1808">
        <f t="shared" si="0"/>
        <v>2088</v>
      </c>
      <c r="H16" s="1037">
        <v>2088</v>
      </c>
      <c r="I16" s="1036"/>
      <c r="J16" s="1808">
        <f t="shared" si="1"/>
        <v>2088</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73" t="s">
        <v>7</v>
      </c>
      <c r="C18" s="2374"/>
      <c r="D18" s="237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299099</v>
      </c>
      <c r="F19" s="1810">
        <f t="shared" si="2"/>
        <v>0</v>
      </c>
      <c r="G19" s="1810">
        <f t="shared" si="2"/>
        <v>299099</v>
      </c>
      <c r="H19" s="1810">
        <f t="shared" si="2"/>
        <v>297499</v>
      </c>
      <c r="I19" s="1810">
        <f t="shared" si="2"/>
        <v>0</v>
      </c>
      <c r="J19" s="1810">
        <f t="shared" si="2"/>
        <v>297499</v>
      </c>
    </row>
    <row r="20" spans="1:10" ht="13.5" thickTop="1" x14ac:dyDescent="0.2">
      <c r="A20" s="1032">
        <v>9</v>
      </c>
      <c r="B20" s="2376" t="s">
        <v>1981</v>
      </c>
      <c r="C20" s="2376"/>
      <c r="D20" s="2377"/>
      <c r="E20" s="1043"/>
      <c r="F20" s="1043"/>
      <c r="G20" s="1043"/>
      <c r="H20" s="1043"/>
      <c r="I20" s="1043"/>
      <c r="J20" s="1811">
        <f>IF(AND(G19&gt;0,J19&gt;0),(((J19-G19)/G19)),"Enter Budget Data")</f>
        <v>-5.3493993627528012E-3</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82"/>
      <c r="D26" s="2382"/>
      <c r="E26" s="1047"/>
      <c r="F26" s="2381"/>
      <c r="G26" s="2381"/>
    </row>
    <row r="27" spans="1:10" x14ac:dyDescent="0.2">
      <c r="B27" s="1044"/>
      <c r="C27" s="1048" t="s">
        <v>1033</v>
      </c>
      <c r="D27" s="1049"/>
      <c r="E27" s="1050"/>
      <c r="F27" s="2378" t="s">
        <v>1509</v>
      </c>
      <c r="G27" s="2378"/>
    </row>
    <row r="28" spans="1:10" ht="28.5" customHeight="1" x14ac:dyDescent="0.2">
      <c r="B28" s="1044"/>
      <c r="C28" s="2380"/>
      <c r="D28" s="2380"/>
      <c r="E28" s="1051"/>
      <c r="F28" s="2380"/>
      <c r="G28" s="2380"/>
    </row>
    <row r="29" spans="1:10" x14ac:dyDescent="0.2">
      <c r="B29" s="1044"/>
      <c r="C29" s="1052" t="s">
        <v>1561</v>
      </c>
      <c r="E29" s="1053"/>
      <c r="F29" s="2379" t="s">
        <v>1510</v>
      </c>
      <c r="G29" s="237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61" t="s">
        <v>132</v>
      </c>
      <c r="D33" s="2362"/>
      <c r="E33" s="2362"/>
      <c r="F33" s="2362"/>
      <c r="G33" s="2362"/>
      <c r="H33" s="2362"/>
      <c r="I33" s="2362"/>
    </row>
    <row r="34" spans="1:10" ht="10.35" customHeight="1" x14ac:dyDescent="0.2">
      <c r="C34" s="2362"/>
      <c r="D34" s="2362"/>
      <c r="E34" s="2362"/>
      <c r="F34" s="2362"/>
      <c r="G34" s="2362"/>
      <c r="H34" s="2362"/>
      <c r="I34" s="2362"/>
    </row>
    <row r="35" spans="1:10" ht="7.5" customHeight="1" x14ac:dyDescent="0.2">
      <c r="C35" s="1059"/>
    </row>
    <row r="36" spans="1:10" ht="13.5" customHeight="1" x14ac:dyDescent="0.2">
      <c r="B36" s="1058"/>
      <c r="C36" s="2363" t="s">
        <v>1983</v>
      </c>
      <c r="D36" s="2362"/>
      <c r="E36" s="2362"/>
      <c r="F36" s="2362"/>
      <c r="G36" s="2362"/>
      <c r="H36" s="2362"/>
      <c r="I36" s="2362"/>
      <c r="J36" s="1060"/>
    </row>
    <row r="37" spans="1:10" ht="22.5" customHeight="1" x14ac:dyDescent="0.2">
      <c r="C37" s="2362"/>
      <c r="D37" s="2362"/>
      <c r="E37" s="2362"/>
      <c r="F37" s="2362"/>
      <c r="G37" s="2362"/>
      <c r="H37" s="2362"/>
      <c r="I37" s="2362"/>
      <c r="J37" s="1060"/>
    </row>
    <row r="38" spans="1:10" ht="7.5" customHeight="1" x14ac:dyDescent="0.2">
      <c r="C38" s="1059"/>
      <c r="D38" s="1061"/>
      <c r="E38" s="1062"/>
      <c r="F38" s="1063"/>
      <c r="G38" s="1062"/>
    </row>
    <row r="39" spans="1:10" ht="13.5" customHeight="1" x14ac:dyDescent="0.2">
      <c r="B39" s="1058"/>
      <c r="C39" s="2359" t="s">
        <v>882</v>
      </c>
      <c r="D39" s="2360"/>
      <c r="E39" s="2360"/>
      <c r="F39" s="2360"/>
      <c r="G39" s="2360"/>
      <c r="H39" s="2360"/>
      <c r="I39" s="236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2142</v>
      </c>
    </row>
    <row r="6" spans="1:2" x14ac:dyDescent="0.2">
      <c r="A6" s="1065">
        <v>2</v>
      </c>
      <c r="B6" s="329" t="s">
        <v>2146</v>
      </c>
    </row>
    <row r="7" spans="1:2" x14ac:dyDescent="0.2">
      <c r="A7" s="1065">
        <v>3</v>
      </c>
      <c r="B7" s="329" t="s">
        <v>2147</v>
      </c>
    </row>
    <row r="8" spans="1:2" x14ac:dyDescent="0.2">
      <c r="A8" s="1065">
        <v>4</v>
      </c>
      <c r="B8" s="1985" t="s">
        <v>2151</v>
      </c>
    </row>
    <row r="9" spans="1:2" x14ac:dyDescent="0.2">
      <c r="A9" s="1065"/>
      <c r="B9" s="329" t="s">
        <v>2152</v>
      </c>
    </row>
    <row r="10" spans="1:2" x14ac:dyDescent="0.2">
      <c r="A10" s="1065"/>
      <c r="B10" s="329" t="s">
        <v>2154</v>
      </c>
    </row>
    <row r="11" spans="1:2" x14ac:dyDescent="0.2">
      <c r="A11" s="1065"/>
      <c r="B11" s="329" t="s">
        <v>2153</v>
      </c>
    </row>
    <row r="12" spans="1:2" x14ac:dyDescent="0.2">
      <c r="A12" s="1065">
        <v>5</v>
      </c>
      <c r="B12" s="329" t="s">
        <v>2148</v>
      </c>
    </row>
    <row r="13" spans="1:2" x14ac:dyDescent="0.2">
      <c r="A13" s="1065">
        <v>6</v>
      </c>
      <c r="B13" s="329" t="s">
        <v>2149</v>
      </c>
    </row>
    <row r="14" spans="1:2" x14ac:dyDescent="0.2">
      <c r="A14" s="1065">
        <v>7</v>
      </c>
      <c r="B14" s="329" t="s">
        <v>2150</v>
      </c>
    </row>
    <row r="15" spans="1:2" x14ac:dyDescent="0.2">
      <c r="A15" s="1065">
        <v>8</v>
      </c>
      <c r="B15" s="329" t="s">
        <v>2143</v>
      </c>
    </row>
    <row r="16" spans="1:2" x14ac:dyDescent="0.2">
      <c r="A16" s="1065"/>
      <c r="B16" s="329" t="s">
        <v>2144</v>
      </c>
    </row>
    <row r="17" spans="1:2" x14ac:dyDescent="0.2">
      <c r="A17" s="1065"/>
    </row>
    <row r="18" spans="1:2" x14ac:dyDescent="0.2">
      <c r="A18" s="1066"/>
      <c r="B18" s="389"/>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Erie CUSD 1</v>
      </c>
    </row>
    <row r="65" spans="2:2" x14ac:dyDescent="0.2">
      <c r="B65" s="1067">
        <f>COVER!A13</f>
        <v>47098001026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9" t="s">
        <v>1065</v>
      </c>
      <c r="B35" s="2099"/>
      <c r="C35" s="2099"/>
      <c r="D35" s="2099"/>
      <c r="E35" s="209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6" t="s">
        <v>691</v>
      </c>
      <c r="B40" s="2096"/>
      <c r="C40" s="2096"/>
      <c r="D40" s="2096"/>
      <c r="E40" s="2096"/>
    </row>
    <row r="41" spans="1:5" x14ac:dyDescent="0.2">
      <c r="A41" s="2097" t="s">
        <v>1608</v>
      </c>
      <c r="B41" s="2097"/>
      <c r="C41" s="2097"/>
      <c r="D41" s="2097"/>
      <c r="E41" s="2097"/>
    </row>
    <row r="42" spans="1:5" ht="12.75" customHeight="1" x14ac:dyDescent="0.2">
      <c r="A42" s="2098" t="s">
        <v>1022</v>
      </c>
      <c r="B42" s="2098"/>
      <c r="C42" s="2098"/>
      <c r="D42" s="2098"/>
      <c r="E42" s="209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83" t="s">
        <v>1685</v>
      </c>
      <c r="B18" s="238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238125</xdr:colOff>
                <xdr:row>4</xdr:row>
                <xdr:rowOff>47625</xdr:rowOff>
              </from>
              <to>
                <xdr:col>1</xdr:col>
                <xdr:colOff>1152525</xdr:colOff>
                <xdr:row>8</xdr:row>
                <xdr:rowOff>85725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1285875</xdr:colOff>
                <xdr:row>4</xdr:row>
                <xdr:rowOff>47625</xdr:rowOff>
              </from>
              <to>
                <xdr:col>1</xdr:col>
                <xdr:colOff>2200275</xdr:colOff>
                <xdr:row>8</xdr:row>
                <xdr:rowOff>85725</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4" t="s">
        <v>1690</v>
      </c>
      <c r="B1" s="2385"/>
      <c r="C1" s="2385"/>
      <c r="D1" s="2385"/>
      <c r="E1" s="2385"/>
      <c r="F1" s="2386"/>
    </row>
    <row r="2" spans="1:8" ht="45" customHeight="1" x14ac:dyDescent="0.2">
      <c r="A2" s="2394" t="s">
        <v>1987</v>
      </c>
      <c r="B2" s="2395"/>
      <c r="C2" s="2395"/>
      <c r="D2" s="2395"/>
      <c r="E2" s="2395"/>
      <c r="F2" s="2396"/>
      <c r="G2" s="1071"/>
      <c r="H2" s="1071"/>
    </row>
    <row r="3" spans="1:8" ht="57" customHeight="1" x14ac:dyDescent="0.2">
      <c r="A3" s="2397" t="s">
        <v>1686</v>
      </c>
      <c r="B3" s="2398"/>
      <c r="C3" s="2398"/>
      <c r="D3" s="2398"/>
      <c r="E3" s="2398"/>
      <c r="F3" s="2399"/>
      <c r="G3" s="1071"/>
      <c r="H3" s="1071"/>
    </row>
    <row r="4" spans="1:8" ht="14.25" customHeight="1" x14ac:dyDescent="0.2">
      <c r="A4" s="2403" t="s">
        <v>1988</v>
      </c>
      <c r="B4" s="2404"/>
      <c r="C4" s="2404"/>
      <c r="D4" s="2404"/>
      <c r="E4" s="2404"/>
      <c r="F4" s="2405"/>
      <c r="G4" s="1071"/>
      <c r="H4" s="1071"/>
    </row>
    <row r="5" spans="1:8" ht="14.25" customHeight="1" x14ac:dyDescent="0.2">
      <c r="A5" s="2406" t="s">
        <v>1984</v>
      </c>
      <c r="B5" s="2407"/>
      <c r="C5" s="2407"/>
      <c r="D5" s="2407"/>
      <c r="E5" s="2407"/>
      <c r="F5" s="2408"/>
      <c r="G5" s="1071"/>
      <c r="H5" s="1071"/>
    </row>
    <row r="6" spans="1:8" s="1072" customFormat="1" ht="41.25" customHeight="1" x14ac:dyDescent="0.2">
      <c r="A6" s="2400" t="s">
        <v>1691</v>
      </c>
      <c r="B6" s="2401"/>
      <c r="C6" s="2401"/>
      <c r="D6" s="2401"/>
      <c r="E6" s="2401"/>
      <c r="F6" s="240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10448663</v>
      </c>
      <c r="C8" s="1812">
        <f>'Acct Summary 7-8'!D8</f>
        <v>3576593</v>
      </c>
      <c r="D8" s="1812">
        <f>'Acct Summary 7-8'!F8</f>
        <v>1006621</v>
      </c>
      <c r="E8" s="1812">
        <f>'Acct Summary 7-8'!I8</f>
        <v>237592</v>
      </c>
      <c r="F8" s="1812">
        <f>SUM(B8:E8)</f>
        <v>15269469</v>
      </c>
    </row>
    <row r="9" spans="1:8" s="1076" customFormat="1" ht="14.25" customHeight="1" thickBot="1" x14ac:dyDescent="0.25">
      <c r="A9" s="1075" t="s">
        <v>1369</v>
      </c>
      <c r="B9" s="1813">
        <f>'Acct Summary 7-8'!C17</f>
        <v>10467089</v>
      </c>
      <c r="C9" s="1813">
        <f>'Acct Summary 7-8'!D17</f>
        <v>850261</v>
      </c>
      <c r="D9" s="1813">
        <f>'Acct Summary 7-8'!F17</f>
        <v>607785</v>
      </c>
      <c r="E9" s="1812"/>
      <c r="F9" s="1812">
        <f>SUM(B9:E9)</f>
        <v>11925135</v>
      </c>
    </row>
    <row r="10" spans="1:8" s="1076" customFormat="1" ht="14.25" thickTop="1" thickBot="1" x14ac:dyDescent="0.25">
      <c r="A10" s="1077" t="s">
        <v>1370</v>
      </c>
      <c r="B10" s="1814">
        <f>(B8-B9)</f>
        <v>-18426</v>
      </c>
      <c r="C10" s="1814">
        <f>(C8-C9)</f>
        <v>2726332</v>
      </c>
      <c r="D10" s="1814">
        <f>(D8-D9)</f>
        <v>398836</v>
      </c>
      <c r="E10" s="1813">
        <f>(E8-E9)</f>
        <v>237592</v>
      </c>
      <c r="F10" s="1815">
        <f>SUM(F8-F9)</f>
        <v>3344334</v>
      </c>
    </row>
    <row r="11" spans="1:8" s="1076" customFormat="1" ht="14.25" thickTop="1" thickBot="1" x14ac:dyDescent="0.25">
      <c r="A11" s="1078" t="s">
        <v>1985</v>
      </c>
      <c r="B11" s="1816">
        <f>'Acct Summary 7-8'!C81</f>
        <v>5987237</v>
      </c>
      <c r="C11" s="1816">
        <f>'Acct Summary 7-8'!D81</f>
        <v>1484684</v>
      </c>
      <c r="D11" s="1816">
        <f>'Acct Summary 7-8'!F81</f>
        <v>1777741</v>
      </c>
      <c r="E11" s="1816">
        <f>'Acct Summary 7-8'!I81</f>
        <v>3400009</v>
      </c>
      <c r="F11" s="1817">
        <f>SUM(B11:E11)</f>
        <v>12649671</v>
      </c>
    </row>
    <row r="12" spans="1:8" ht="16.5" customHeight="1" thickTop="1" x14ac:dyDescent="0.2">
      <c r="A12" s="1079"/>
      <c r="B12" s="1080"/>
      <c r="C12" s="2388" t="str">
        <f>IF(AND(F10&lt;0,F11&gt;=0,ABS(F10*3)&gt;ABS(F11)),A16,IF(AND(F10&lt;0,F11&gt;0,ABS(F10*3)&lt;=ABS(F11)),A17,IF(AND(F10&lt;0,F11&lt;0),A16,IF(F11=0,A19,A18))))</f>
        <v>Balanced - no deficit reduction plan is required.</v>
      </c>
      <c r="D12" s="2389"/>
      <c r="E12" s="2389"/>
      <c r="F12" s="2390"/>
    </row>
    <row r="13" spans="1:8" ht="19.5" customHeight="1" x14ac:dyDescent="0.2">
      <c r="A13" s="1081"/>
      <c r="B13" s="1082"/>
      <c r="C13" s="2388"/>
      <c r="D13" s="2389"/>
      <c r="E13" s="2389"/>
      <c r="F13" s="2390"/>
      <c r="H13" s="1071"/>
    </row>
    <row r="14" spans="1:8" ht="19.5" customHeight="1" x14ac:dyDescent="0.2">
      <c r="A14" s="1081"/>
      <c r="B14" s="1082"/>
      <c r="C14" s="2388"/>
      <c r="D14" s="2389"/>
      <c r="E14" s="2389"/>
      <c r="F14" s="2390"/>
      <c r="H14" s="1071"/>
    </row>
    <row r="15" spans="1:8" ht="17.25" customHeight="1" x14ac:dyDescent="0.2">
      <c r="A15" s="1081"/>
      <c r="B15" s="1082"/>
      <c r="C15" s="2391"/>
      <c r="D15" s="2392"/>
      <c r="E15" s="2392"/>
      <c r="F15" s="2393"/>
      <c r="H15" s="1071"/>
    </row>
    <row r="16" spans="1:8" s="310" customFormat="1" ht="51.75" hidden="1" customHeight="1" x14ac:dyDescent="0.2">
      <c r="A16" s="2387" t="s">
        <v>1687</v>
      </c>
      <c r="B16" s="2387"/>
      <c r="C16" s="2387"/>
      <c r="D16" s="2387"/>
      <c r="E16" s="238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9" t="s">
        <v>665</v>
      </c>
      <c r="B3" s="2410"/>
      <c r="C3" s="2410"/>
      <c r="D3" s="2411"/>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20" t="s">
        <v>1504</v>
      </c>
      <c r="D7" s="2421"/>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12" t="s">
        <v>1008</v>
      </c>
      <c r="B15" s="2413"/>
      <c r="C15" s="2413"/>
      <c r="D15" s="2414"/>
    </row>
    <row r="16" spans="1:4" s="665" customFormat="1" ht="24" customHeight="1" x14ac:dyDescent="0.2">
      <c r="A16" s="2415" t="s">
        <v>663</v>
      </c>
      <c r="B16" s="2416"/>
      <c r="C16" s="2416"/>
      <c r="D16" s="241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24" t="s">
        <v>314</v>
      </c>
      <c r="D21" s="2425"/>
    </row>
    <row r="22" spans="1:10" ht="12.75" x14ac:dyDescent="0.2">
      <c r="A22" s="1136"/>
      <c r="B22" s="1137">
        <v>2</v>
      </c>
      <c r="C22" s="2422" t="s">
        <v>1524</v>
      </c>
      <c r="D22" s="242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6" t="s">
        <v>536</v>
      </c>
      <c r="D43" s="242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8" t="s">
        <v>784</v>
      </c>
      <c r="D56" s="241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8" t="s">
        <v>1696</v>
      </c>
      <c r="D70" s="241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47098001026</v>
      </c>
    </row>
    <row r="3" spans="1:2" x14ac:dyDescent="0.2">
      <c r="A3" t="s">
        <v>956</v>
      </c>
      <c r="B3" s="138" t="str">
        <f>COVER!A15</f>
        <v>Whiteside</v>
      </c>
    </row>
    <row r="4" spans="1:2" x14ac:dyDescent="0.2">
      <c r="A4" t="s">
        <v>1007</v>
      </c>
      <c r="B4" s="138" t="str">
        <f>COVER!A17</f>
        <v>Erie CUSD 1</v>
      </c>
    </row>
    <row r="5" spans="1:2" x14ac:dyDescent="0.2">
      <c r="A5" t="s">
        <v>704</v>
      </c>
      <c r="B5" s="138" t="str">
        <f>COVER!A38</f>
        <v>Marty Felesena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5987237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5987237</v>
      </c>
      <c r="D92" s="2" t="str">
        <f t="shared" si="0"/>
        <v>Error?</v>
      </c>
    </row>
    <row r="93" spans="1:4" x14ac:dyDescent="0.2">
      <c r="A93" s="5">
        <v>32</v>
      </c>
      <c r="B93" s="138">
        <f>'Assets-Liab 5-6'!C41</f>
        <v>5987237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1484684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1484684</v>
      </c>
      <c r="D123" s="2" t="str">
        <f t="shared" si="0"/>
        <v>Error?</v>
      </c>
    </row>
    <row r="124" spans="1:4" x14ac:dyDescent="0.2">
      <c r="A124" s="5">
        <v>63</v>
      </c>
      <c r="B124" s="138">
        <f>'Assets-Liab 5-6'!D41</f>
        <v>1484684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355118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355118</v>
      </c>
      <c r="D140" s="2" t="str">
        <f t="shared" si="1"/>
        <v>Error?</v>
      </c>
    </row>
    <row r="141" spans="1:4" x14ac:dyDescent="0.2">
      <c r="A141" s="5">
        <v>80</v>
      </c>
      <c r="B141" s="138">
        <f>'Assets-Liab 5-6'!E41</f>
        <v>355118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1777741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1777741</v>
      </c>
      <c r="D170" s="2" t="str">
        <f t="shared" si="1"/>
        <v>Error?</v>
      </c>
    </row>
    <row r="171" spans="1:4" x14ac:dyDescent="0.2">
      <c r="A171" s="5">
        <v>110</v>
      </c>
      <c r="B171" s="138">
        <f>'Assets-Liab 5-6'!F41</f>
        <v>1777741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16410</v>
      </c>
      <c r="D179" s="2" t="str">
        <f t="shared" si="1"/>
        <v>Error?</v>
      </c>
    </row>
    <row r="180" spans="1:4" x14ac:dyDescent="0.2">
      <c r="A180" s="5">
        <v>119</v>
      </c>
      <c r="B180" s="138">
        <f>'Assets-Liab 5-6'!G13</f>
        <v>239140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6586</v>
      </c>
      <c r="D189" s="2" t="str">
        <f t="shared" si="1"/>
        <v>Error?</v>
      </c>
    </row>
    <row r="190" spans="1:4" x14ac:dyDescent="0.2">
      <c r="A190" s="5">
        <v>129</v>
      </c>
      <c r="B190" s="138">
        <f>'Assets-Liab 5-6'!G41</f>
        <v>239140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502313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502313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190042</v>
      </c>
      <c r="D273" s="2" t="str">
        <f t="shared" si="3"/>
        <v>Error?</v>
      </c>
    </row>
    <row r="274" spans="1:4" x14ac:dyDescent="0.2">
      <c r="A274" s="5">
        <v>213</v>
      </c>
      <c r="B274" s="138">
        <f>'Assets-Liab 5-6'!M17</f>
        <v>20821072</v>
      </c>
      <c r="D274" s="2" t="str">
        <f t="shared" si="3"/>
        <v>Error?</v>
      </c>
    </row>
    <row r="275" spans="1:4" x14ac:dyDescent="0.2">
      <c r="A275" s="5">
        <v>214</v>
      </c>
      <c r="B275" s="138">
        <f>'Assets-Liab 5-6'!M18</f>
        <v>7098643</v>
      </c>
      <c r="D275" s="2" t="str">
        <f t="shared" si="3"/>
        <v>Error?</v>
      </c>
    </row>
    <row r="276" spans="1:4" x14ac:dyDescent="0.2">
      <c r="A276" s="5">
        <v>215</v>
      </c>
      <c r="B276" s="138">
        <f>'Assets-Liab 5-6'!M19</f>
        <v>3930415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35741662</v>
      </c>
      <c r="C279" s="2" t="s">
        <v>573</v>
      </c>
      <c r="D279" s="2" t="str">
        <f t="shared" si="3"/>
        <v>Error?</v>
      </c>
    </row>
    <row r="280" spans="1:4" x14ac:dyDescent="0.2">
      <c r="A280" s="5">
        <v>219</v>
      </c>
      <c r="B280" s="138">
        <f>'Assets-Liab 5-6'!M40</f>
        <v>35741662</v>
      </c>
      <c r="D280" s="2" t="str">
        <f t="shared" si="3"/>
        <v>Error?</v>
      </c>
    </row>
    <row r="281" spans="1:4" x14ac:dyDescent="0.2">
      <c r="A281" s="5">
        <v>220</v>
      </c>
      <c r="B281" s="138">
        <f>'Assets-Liab 5-6'!M41</f>
        <v>35741662</v>
      </c>
      <c r="C281" s="2" t="s">
        <v>573</v>
      </c>
      <c r="D281" s="2" t="str">
        <f t="shared" si="3"/>
        <v>Error?</v>
      </c>
    </row>
    <row r="282" spans="1:4" x14ac:dyDescent="0.2">
      <c r="A282" s="5">
        <v>221</v>
      </c>
      <c r="B282" s="138">
        <f>'Assets-Liab 5-6'!N21</f>
        <v>355118</v>
      </c>
      <c r="D282" s="2" t="str">
        <f t="shared" si="3"/>
        <v>Error?</v>
      </c>
    </row>
    <row r="283" spans="1:4" x14ac:dyDescent="0.2">
      <c r="A283" s="5">
        <v>222</v>
      </c>
      <c r="B283" s="138">
        <f>'Assets-Liab 5-6'!N22</f>
        <v>1290994</v>
      </c>
      <c r="D283" s="2" t="str">
        <f t="shared" si="3"/>
        <v>Error?</v>
      </c>
    </row>
    <row r="284" spans="1:4" x14ac:dyDescent="0.2">
      <c r="A284" s="5">
        <v>223</v>
      </c>
      <c r="B284" s="138">
        <f>'Assets-Liab 5-6'!N23</f>
        <v>1646112</v>
      </c>
      <c r="C284" s="2" t="s">
        <v>573</v>
      </c>
      <c r="D284" s="2" t="str">
        <f t="shared" si="3"/>
        <v>Error?</v>
      </c>
    </row>
    <row r="285" spans="1:4" x14ac:dyDescent="0.2">
      <c r="A285" s="5">
        <v>224</v>
      </c>
      <c r="B285" s="138">
        <f>'Assets-Liab 5-6'!N36</f>
        <v>1646112</v>
      </c>
      <c r="D285" s="2" t="str">
        <f t="shared" si="3"/>
        <v>Error?</v>
      </c>
    </row>
    <row r="286" spans="1:4" x14ac:dyDescent="0.2">
      <c r="A286" s="10">
        <v>225</v>
      </c>
      <c r="D286" s="2" t="str">
        <f t="shared" si="3"/>
        <v>OK</v>
      </c>
    </row>
    <row r="287" spans="1:4" x14ac:dyDescent="0.2">
      <c r="A287" s="5">
        <v>226</v>
      </c>
      <c r="B287" s="138">
        <f>'Assets-Liab 5-6'!N37</f>
        <v>1646112</v>
      </c>
      <c r="C287" s="2" t="s">
        <v>573</v>
      </c>
      <c r="D287" s="2" t="str">
        <f t="shared" si="3"/>
        <v>Error?</v>
      </c>
    </row>
    <row r="288" spans="1:4" x14ac:dyDescent="0.2">
      <c r="A288" s="5">
        <v>227</v>
      </c>
      <c r="B288" s="138">
        <f>'Assets-Liab 5-6'!N41</f>
        <v>1646112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3697122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239765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5150839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265585</v>
      </c>
      <c r="D722" s="2" t="str">
        <f t="shared" si="10"/>
        <v>Error?</v>
      </c>
    </row>
    <row r="723" spans="1:4" x14ac:dyDescent="0.2">
      <c r="A723" s="5">
        <v>662</v>
      </c>
      <c r="B723" s="138">
        <f>'Expenditures 15-22'!C38</f>
        <v>85026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69057</v>
      </c>
      <c r="D725" s="2" t="str">
        <f t="shared" si="10"/>
        <v>Error?</v>
      </c>
    </row>
    <row r="726" spans="1:4" x14ac:dyDescent="0.2">
      <c r="A726" s="5">
        <v>665</v>
      </c>
      <c r="B726" s="138">
        <f>'Expenditures 15-22'!C41</f>
        <v>2821</v>
      </c>
      <c r="D726" s="2" t="str">
        <f t="shared" si="10"/>
        <v>Error?</v>
      </c>
    </row>
    <row r="727" spans="1:4" x14ac:dyDescent="0.2">
      <c r="A727" s="5">
        <v>666</v>
      </c>
      <c r="B727" s="138">
        <f>'Expenditures 15-22'!C42</f>
        <v>422489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108979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108979</v>
      </c>
      <c r="C731" s="2" t="s">
        <v>573</v>
      </c>
      <c r="D731" s="2" t="str">
        <f t="shared" si="10"/>
        <v>Error?</v>
      </c>
    </row>
    <row r="732" spans="1:4" x14ac:dyDescent="0.2">
      <c r="A732" s="5">
        <v>671</v>
      </c>
      <c r="B732" s="138">
        <f>'Expenditures 15-22'!C49</f>
        <v>35491</v>
      </c>
      <c r="D732" s="2" t="str">
        <f t="shared" si="10"/>
        <v>Error?</v>
      </c>
    </row>
    <row r="733" spans="1:4" x14ac:dyDescent="0.2">
      <c r="A733" s="5">
        <v>672</v>
      </c>
      <c r="B733" s="138">
        <f>'Expenditures 15-22'!C50</f>
        <v>204868</v>
      </c>
      <c r="D733" s="2" t="str">
        <f t="shared" si="10"/>
        <v>Error?</v>
      </c>
    </row>
    <row r="734" spans="1:4" x14ac:dyDescent="0.2">
      <c r="A734" s="5">
        <v>673</v>
      </c>
      <c r="B734" s="138">
        <f>'Expenditures 15-22'!C53</f>
        <v>240359</v>
      </c>
      <c r="C734" s="2" t="s">
        <v>573</v>
      </c>
      <c r="D734" s="2" t="str">
        <f t="shared" si="10"/>
        <v>Error?</v>
      </c>
    </row>
    <row r="735" spans="1:4" x14ac:dyDescent="0.2">
      <c r="A735" s="5">
        <v>674</v>
      </c>
      <c r="B735" s="138">
        <f>'Expenditures 15-22'!C55</f>
        <v>610659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610659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72714</v>
      </c>
      <c r="D739" s="2" t="str">
        <f t="shared" si="10"/>
        <v>Error?</v>
      </c>
    </row>
    <row r="740" spans="1:4" x14ac:dyDescent="0.2">
      <c r="A740" s="5">
        <v>679</v>
      </c>
      <c r="B740" s="138">
        <f>'Expenditures 15-22'!C61</f>
        <v>468237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167648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708599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8807</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135875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144682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2235767</v>
      </c>
      <c r="C755" s="2" t="s">
        <v>573</v>
      </c>
      <c r="D755" s="2" t="str">
        <f t="shared" si="10"/>
        <v>Error?</v>
      </c>
    </row>
    <row r="756" spans="1:4" x14ac:dyDescent="0.2">
      <c r="A756" s="5">
        <v>695</v>
      </c>
      <c r="B756" s="138">
        <f>'Expenditures 15-22'!C75</f>
        <v>32976</v>
      </c>
      <c r="D756" s="2" t="str">
        <f t="shared" si="10"/>
        <v>Error?</v>
      </c>
    </row>
    <row r="757" spans="1:4" x14ac:dyDescent="0.2">
      <c r="A757" s="5">
        <v>696</v>
      </c>
      <c r="B757" s="138">
        <f>'Expenditures 15-22'!C114</f>
        <v>7419582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1040102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20598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1266670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64531</v>
      </c>
      <c r="D780" s="2" t="str">
        <f t="shared" si="11"/>
        <v>Error?</v>
      </c>
    </row>
    <row r="781" spans="1:4" x14ac:dyDescent="0.2">
      <c r="A781" s="5">
        <v>720</v>
      </c>
      <c r="B781" s="138">
        <f>'Expenditures 15-22'!D38</f>
        <v>13580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21893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100004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19389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19389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54773</v>
      </c>
      <c r="D791" s="2" t="str">
        <f t="shared" si="11"/>
        <v>Error?</v>
      </c>
    </row>
    <row r="792" spans="1:4" x14ac:dyDescent="0.2">
      <c r="A792" s="5">
        <v>731</v>
      </c>
      <c r="B792" s="138">
        <f>'Expenditures 15-22'!D53</f>
        <v>54773</v>
      </c>
      <c r="C792" s="2" t="s">
        <v>573</v>
      </c>
      <c r="D792" s="2" t="str">
        <f t="shared" si="11"/>
        <v>Error?</v>
      </c>
    </row>
    <row r="793" spans="1:4" x14ac:dyDescent="0.2">
      <c r="A793" s="5">
        <v>732</v>
      </c>
      <c r="B793" s="138">
        <f>'Expenditures 15-22'!D55</f>
        <v>137215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137215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v>
      </c>
      <c r="D797" s="2" t="str">
        <f t="shared" si="11"/>
        <v>Error?</v>
      </c>
    </row>
    <row r="798" spans="1:4" x14ac:dyDescent="0.2">
      <c r="A798" s="5">
        <v>737</v>
      </c>
      <c r="B798" s="138">
        <f>'Expenditures 15-22'!D61</f>
        <v>266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1168</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153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1321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313245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1579915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53045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59767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113591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4308</v>
      </c>
      <c r="D838" s="2" t="str">
        <f t="shared" si="12"/>
        <v>Error?</v>
      </c>
    </row>
    <row r="839" spans="1:4" x14ac:dyDescent="0.2">
      <c r="A839" s="5">
        <v>778</v>
      </c>
      <c r="B839" s="138">
        <f>'Expenditures 15-22'!E38</f>
        <v>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4418</v>
      </c>
      <c r="C843" s="2" t="s">
        <v>573</v>
      </c>
      <c r="D843" s="2" t="str">
        <f t="shared" si="12"/>
        <v>Error?</v>
      </c>
    </row>
    <row r="844" spans="1:4" x14ac:dyDescent="0.2">
      <c r="A844" s="5">
        <v>783</v>
      </c>
      <c r="B844" s="138">
        <f>'Expenditures 15-22'!E44</f>
        <v>7899</v>
      </c>
      <c r="D844" s="2" t="str">
        <f t="shared" si="12"/>
        <v>Error?</v>
      </c>
    </row>
    <row r="845" spans="1:4" x14ac:dyDescent="0.2">
      <c r="A845" s="5">
        <v>784</v>
      </c>
      <c r="B845" s="138">
        <f>'Expenditures 15-22'!E45</f>
        <v>162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8061</v>
      </c>
      <c r="C847" s="2" t="s">
        <v>573</v>
      </c>
      <c r="D847" s="2" t="str">
        <f t="shared" si="12"/>
        <v>Error?</v>
      </c>
    </row>
    <row r="848" spans="1:4" x14ac:dyDescent="0.2">
      <c r="A848" s="5">
        <v>787</v>
      </c>
      <c r="B848" s="138">
        <f>'Expenditures 15-22'!E49</f>
        <v>136416</v>
      </c>
      <c r="D848" s="2" t="str">
        <f t="shared" si="12"/>
        <v>Error?</v>
      </c>
    </row>
    <row r="849" spans="1:4" x14ac:dyDescent="0.2">
      <c r="A849" s="5">
        <v>788</v>
      </c>
      <c r="B849" s="138">
        <f>'Expenditures 15-22'!E50</f>
        <v>23075</v>
      </c>
      <c r="D849" s="2" t="str">
        <f t="shared" si="12"/>
        <v>Error?</v>
      </c>
    </row>
    <row r="850" spans="1:4" x14ac:dyDescent="0.2">
      <c r="A850" s="5">
        <v>789</v>
      </c>
      <c r="B850" s="138">
        <f>'Expenditures 15-22'!E53</f>
        <v>159491</v>
      </c>
      <c r="C850" s="2" t="s">
        <v>573</v>
      </c>
      <c r="D850" s="2" t="str">
        <f t="shared" si="12"/>
        <v>Error?</v>
      </c>
    </row>
    <row r="851" spans="1:4" x14ac:dyDescent="0.2">
      <c r="A851" s="5">
        <v>790</v>
      </c>
      <c r="B851" s="138">
        <f>'Expenditures 15-22'!E55</f>
        <v>17588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17588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3393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2915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114917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117832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310783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424374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155709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78509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271511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12892</v>
      </c>
      <c r="D896" s="2" t="str">
        <f t="shared" si="13"/>
        <v>Error?</v>
      </c>
    </row>
    <row r="897" spans="1:4" x14ac:dyDescent="0.2">
      <c r="A897" s="5">
        <v>836</v>
      </c>
      <c r="B897" s="138">
        <f>'Expenditures 15-22'!F38</f>
        <v>2225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6259</v>
      </c>
      <c r="D900" s="2" t="str">
        <f t="shared" si="13"/>
        <v>Error?</v>
      </c>
    </row>
    <row r="901" spans="1:4" x14ac:dyDescent="0.2">
      <c r="A901" s="5">
        <v>840</v>
      </c>
      <c r="B901" s="138">
        <f>'Expenditures 15-22'!F42</f>
        <v>21376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15409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15409</v>
      </c>
      <c r="C905" s="2" t="s">
        <v>573</v>
      </c>
      <c r="D905" s="2" t="str">
        <f t="shared" si="13"/>
        <v>Error?</v>
      </c>
    </row>
    <row r="906" spans="1:4" x14ac:dyDescent="0.2">
      <c r="A906" s="5">
        <v>845</v>
      </c>
      <c r="B906" s="138">
        <f>'Expenditures 15-22'!F49</f>
        <v>4570</v>
      </c>
      <c r="D906" s="2" t="str">
        <f t="shared" si="13"/>
        <v>Error?</v>
      </c>
    </row>
    <row r="907" spans="1:4" x14ac:dyDescent="0.2">
      <c r="A907" s="5">
        <v>846</v>
      </c>
      <c r="B907" s="138">
        <f>'Expenditures 15-22'!F50</f>
        <v>14295</v>
      </c>
      <c r="D907" s="2" t="str">
        <f t="shared" si="13"/>
        <v>Error?</v>
      </c>
    </row>
    <row r="908" spans="1:4" x14ac:dyDescent="0.2">
      <c r="A908" s="5">
        <v>847</v>
      </c>
      <c r="B908" s="138">
        <f>'Expenditures 15-22'!F53</f>
        <v>18865</v>
      </c>
      <c r="C908" s="2" t="s">
        <v>573</v>
      </c>
      <c r="D908" s="2" t="str">
        <f t="shared" si="13"/>
        <v>Error?</v>
      </c>
    </row>
    <row r="909" spans="1:4" x14ac:dyDescent="0.2">
      <c r="A909" s="5">
        <v>848</v>
      </c>
      <c r="B909" s="138">
        <f>'Expenditures 15-22'!F55</f>
        <v>7043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7043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151744</v>
      </c>
      <c r="D916" s="2" t="str">
        <f t="shared" si="13"/>
        <v>Error?</v>
      </c>
    </row>
    <row r="917" spans="1:4" x14ac:dyDescent="0.2">
      <c r="A917" s="5">
        <v>856</v>
      </c>
      <c r="B917" s="138">
        <f>'Expenditures 15-22'!F64</f>
        <v>2088</v>
      </c>
      <c r="D917" s="2" t="str">
        <f t="shared" si="13"/>
        <v>Error?</v>
      </c>
    </row>
    <row r="918" spans="1:4" x14ac:dyDescent="0.2">
      <c r="A918" s="10">
        <v>857</v>
      </c>
      <c r="D918" s="2" t="str">
        <f t="shared" si="13"/>
        <v>OK</v>
      </c>
    </row>
    <row r="919" spans="1:4" x14ac:dyDescent="0.2">
      <c r="A919" s="5">
        <v>858</v>
      </c>
      <c r="B919" s="138">
        <f>'Expenditures 15-22'!F65</f>
        <v>155590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62841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62841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281124</v>
      </c>
      <c r="C929" s="2" t="s">
        <v>573</v>
      </c>
      <c r="D929" s="2" t="str">
        <f t="shared" si="13"/>
        <v>Error?</v>
      </c>
    </row>
    <row r="930" spans="1:4" x14ac:dyDescent="0.2">
      <c r="A930" s="5">
        <v>869</v>
      </c>
      <c r="B930" s="138">
        <f>'Expenditures 15-22'!F75</f>
        <v>2873</v>
      </c>
      <c r="D930" s="2" t="str">
        <f t="shared" si="13"/>
        <v>Error?</v>
      </c>
    </row>
    <row r="931" spans="1:4" x14ac:dyDescent="0.2">
      <c r="A931" s="5">
        <v>870</v>
      </c>
      <c r="B931" s="138">
        <f>'Expenditures 15-22'!F114</f>
        <v>555508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29642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29642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1000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1000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69811</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69811</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70909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100551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213437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39024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39024</v>
      </c>
      <c r="C1024" s="2" t="s">
        <v>573</v>
      </c>
      <c r="D1024" s="2" t="str">
        <f t="shared" si="15"/>
        <v>Error?</v>
      </c>
    </row>
    <row r="1025" spans="1:4" x14ac:dyDescent="0.2">
      <c r="A1025" s="5">
        <v>964</v>
      </c>
      <c r="B1025" s="138">
        <f>'Expenditures 15-22'!H55</f>
        <v>4264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43288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130434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387159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4975620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398639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7045690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347316</v>
      </c>
      <c r="C1110" s="2" t="s">
        <v>573</v>
      </c>
      <c r="D1110" s="2" t="str">
        <f t="shared" si="16"/>
        <v>Error?</v>
      </c>
    </row>
    <row r="1111" spans="1:4" x14ac:dyDescent="0.2">
      <c r="A1111" s="5">
        <v>1050</v>
      </c>
      <c r="B1111" s="138">
        <f>'Expenditures 15-22'!K38</f>
        <v>100941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90950</v>
      </c>
      <c r="C1113" s="2" t="s">
        <v>573</v>
      </c>
      <c r="D1113" s="2" t="str">
        <f t="shared" si="16"/>
        <v>Error?</v>
      </c>
    </row>
    <row r="1114" spans="1:4" x14ac:dyDescent="0.2">
      <c r="A1114" s="5">
        <v>1053</v>
      </c>
      <c r="B1114" s="138">
        <f>'Expenditures 15-22'!K41</f>
        <v>9080</v>
      </c>
      <c r="C1114" s="2" t="s">
        <v>573</v>
      </c>
      <c r="D1114" s="2" t="str">
        <f t="shared" si="16"/>
        <v>Error?</v>
      </c>
    </row>
    <row r="1115" spans="1:4" x14ac:dyDescent="0.2">
      <c r="A1115" s="5">
        <v>1054</v>
      </c>
      <c r="B1115" s="138">
        <f>'Expenditures 15-22'!K42</f>
        <v>548287</v>
      </c>
      <c r="C1115" s="2" t="s">
        <v>573</v>
      </c>
      <c r="D1115" s="2" t="str">
        <f t="shared" si="16"/>
        <v>Error?</v>
      </c>
    </row>
    <row r="1116" spans="1:4" x14ac:dyDescent="0.2">
      <c r="A1116" s="5">
        <v>1055</v>
      </c>
      <c r="B1116" s="138">
        <f>'Expenditures 15-22'!K44</f>
        <v>7899</v>
      </c>
      <c r="C1116" s="2" t="s">
        <v>573</v>
      </c>
      <c r="D1116" s="2" t="str">
        <f t="shared" si="16"/>
        <v>Error?</v>
      </c>
    </row>
    <row r="1117" spans="1:4" x14ac:dyDescent="0.2">
      <c r="A1117" s="5">
        <v>1056</v>
      </c>
      <c r="B1117" s="138">
        <f>'Expenditures 15-22'!K45</f>
        <v>144037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151936</v>
      </c>
      <c r="C1119" s="2" t="s">
        <v>573</v>
      </c>
      <c r="D1119" s="2" t="str">
        <f t="shared" si="16"/>
        <v>Error?</v>
      </c>
    </row>
    <row r="1120" spans="1:4" x14ac:dyDescent="0.2">
      <c r="A1120" s="5">
        <v>1059</v>
      </c>
      <c r="B1120" s="138">
        <f>'Expenditures 15-22'!K49</f>
        <v>215501</v>
      </c>
      <c r="C1120" s="2" t="s">
        <v>573</v>
      </c>
      <c r="D1120" s="2" t="str">
        <f t="shared" si="16"/>
        <v>Error?</v>
      </c>
    </row>
    <row r="1121" spans="1:4" x14ac:dyDescent="0.2">
      <c r="A1121" s="5">
        <v>1060</v>
      </c>
      <c r="B1121" s="138">
        <f>'Expenditures 15-22'!K50</f>
        <v>297011</v>
      </c>
      <c r="C1121" s="2" t="s">
        <v>573</v>
      </c>
      <c r="D1121" s="2" t="str">
        <f t="shared" si="16"/>
        <v>Error?</v>
      </c>
    </row>
    <row r="1122" spans="1:4" x14ac:dyDescent="0.2">
      <c r="A1122" s="5">
        <v>1061</v>
      </c>
      <c r="B1122" s="138">
        <f>'Expenditures 15-22'!K53</f>
        <v>512512</v>
      </c>
      <c r="C1122" s="2" t="s">
        <v>573</v>
      </c>
      <c r="D1122" s="2" t="str">
        <f t="shared" si="16"/>
        <v>Error?</v>
      </c>
    </row>
    <row r="1123" spans="1:4" x14ac:dyDescent="0.2">
      <c r="A1123" s="5">
        <v>1062</v>
      </c>
      <c r="B1123" s="138">
        <f>'Expenditures 15-22'!K55</f>
        <v>777769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777769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74736</v>
      </c>
      <c r="C1127" s="2" t="s">
        <v>573</v>
      </c>
      <c r="D1127" s="2" t="str">
        <f t="shared" si="16"/>
        <v>Error?</v>
      </c>
    </row>
    <row r="1128" spans="1:4" x14ac:dyDescent="0.2">
      <c r="A1128" s="5">
        <v>1067</v>
      </c>
      <c r="B1128" s="138">
        <f>'Expenditures 15-22'!K61</f>
        <v>468503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322798</v>
      </c>
      <c r="C1130" s="2" t="s">
        <v>573</v>
      </c>
      <c r="D1130" s="2" t="str">
        <f t="shared" si="16"/>
        <v>Error?</v>
      </c>
    </row>
    <row r="1131" spans="1:4" x14ac:dyDescent="0.2">
      <c r="A1131" s="5">
        <v>1070</v>
      </c>
      <c r="B1131" s="138">
        <f>'Expenditures 15-22'!K64</f>
        <v>2088</v>
      </c>
      <c r="C1131" s="2" t="s">
        <v>573</v>
      </c>
      <c r="D1131" s="2" t="str">
        <f t="shared" si="16"/>
        <v>Error?</v>
      </c>
    </row>
    <row r="1132" spans="1:4" x14ac:dyDescent="0.2">
      <c r="A1132" s="10">
        <v>1071</v>
      </c>
      <c r="D1132" s="2" t="str">
        <f t="shared" si="16"/>
        <v>OK</v>
      </c>
    </row>
    <row r="1133" spans="1:4" x14ac:dyDescent="0.2">
      <c r="A1133" s="5">
        <v>1072</v>
      </c>
      <c r="B1133" s="138">
        <f>'Expenditures 15-22'!K65</f>
        <v>868125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12890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383597</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396487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3255116</v>
      </c>
      <c r="C1143" s="2" t="s">
        <v>573</v>
      </c>
      <c r="D1143" s="2" t="str">
        <f t="shared" si="16"/>
        <v>Error?</v>
      </c>
    </row>
    <row r="1144" spans="1:4" x14ac:dyDescent="0.2">
      <c r="A1144" s="5">
        <v>1083</v>
      </c>
      <c r="B1144" s="138">
        <f>'Expenditures 15-22'!K75</f>
        <v>35849</v>
      </c>
      <c r="C1144" s="2" t="s">
        <v>573</v>
      </c>
      <c r="D1144" s="2" t="str">
        <f t="shared" si="16"/>
        <v>Error?</v>
      </c>
    </row>
    <row r="1145" spans="1:4" x14ac:dyDescent="0.2">
      <c r="A1145" s="5">
        <v>1084</v>
      </c>
      <c r="B1145" s="138">
        <f>'Expenditures 15-22'!K102</f>
        <v>130434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10467089</v>
      </c>
      <c r="C1152" s="2" t="s">
        <v>573</v>
      </c>
      <c r="D1152" s="2" t="str">
        <f t="shared" si="17"/>
        <v>Error?</v>
      </c>
    </row>
    <row r="1153" spans="1:4" x14ac:dyDescent="0.2">
      <c r="A1153" s="5">
        <v>1092</v>
      </c>
      <c r="B1153" s="138">
        <f>'Expenditures 15-22'!K115</f>
        <v>-18426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277742</v>
      </c>
      <c r="D1237" s="2" t="str">
        <f t="shared" si="18"/>
        <v>Error?</v>
      </c>
    </row>
    <row r="1238" spans="1:4" x14ac:dyDescent="0.2">
      <c r="A1238" s="10">
        <v>1177</v>
      </c>
      <c r="D1238" s="2" t="str">
        <f t="shared" si="18"/>
        <v>OK</v>
      </c>
    </row>
    <row r="1239" spans="1:4" x14ac:dyDescent="0.2">
      <c r="A1239" s="5">
        <v>1178</v>
      </c>
      <c r="B1239" s="138">
        <f>'Expenditures 15-22'!E127</f>
        <v>277742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277742</v>
      </c>
      <c r="C1241" s="2" t="s">
        <v>573</v>
      </c>
      <c r="D1241" s="2" t="str">
        <f t="shared" si="18"/>
        <v>Error?</v>
      </c>
    </row>
    <row r="1242" spans="1:4" x14ac:dyDescent="0.2">
      <c r="A1242" s="5">
        <v>1181</v>
      </c>
      <c r="B1242" s="138">
        <f>'Expenditures 15-22'!E151</f>
        <v>277742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357868</v>
      </c>
      <c r="D1245" s="2" t="str">
        <f t="shared" si="18"/>
        <v>Error?</v>
      </c>
    </row>
    <row r="1246" spans="1:4" x14ac:dyDescent="0.2">
      <c r="A1246" s="10">
        <v>1185</v>
      </c>
      <c r="D1246" s="2" t="str">
        <f t="shared" si="18"/>
        <v>OK</v>
      </c>
    </row>
    <row r="1247" spans="1:4" x14ac:dyDescent="0.2">
      <c r="A1247" s="5">
        <v>1186</v>
      </c>
      <c r="B1247" s="138">
        <f>'Expenditures 15-22'!F127</f>
        <v>357868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357868</v>
      </c>
      <c r="C1249" s="2" t="s">
        <v>573</v>
      </c>
      <c r="D1249" s="2" t="str">
        <f t="shared" si="18"/>
        <v>Error?</v>
      </c>
    </row>
    <row r="1250" spans="1:4" x14ac:dyDescent="0.2">
      <c r="A1250" s="5">
        <v>1189</v>
      </c>
      <c r="B1250" s="138">
        <f>'Expenditures 15-22'!F151</f>
        <v>357868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186646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186646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186646</v>
      </c>
      <c r="C1258" s="2" t="s">
        <v>573</v>
      </c>
      <c r="D1258" s="2" t="str">
        <f t="shared" si="18"/>
        <v>Error?</v>
      </c>
    </row>
    <row r="1259" spans="1:4" x14ac:dyDescent="0.2">
      <c r="A1259" s="5">
        <v>1198</v>
      </c>
      <c r="B1259" s="138">
        <f>'Expenditures 15-22'!G151</f>
        <v>186646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28005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28005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822256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822256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822256</v>
      </c>
      <c r="C1281" s="2" t="s">
        <v>573</v>
      </c>
      <c r="D1281" s="2" t="str">
        <f t="shared" si="19"/>
        <v>Error?</v>
      </c>
    </row>
    <row r="1282" spans="1:4" x14ac:dyDescent="0.2">
      <c r="A1282" s="5">
        <v>1221</v>
      </c>
      <c r="B1282" s="138">
        <f>'Expenditures 15-22'!K139</f>
        <v>28005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850261</v>
      </c>
      <c r="C1288" s="2" t="s">
        <v>573</v>
      </c>
      <c r="D1288" s="2" t="str">
        <f t="shared" si="19"/>
        <v>Error?</v>
      </c>
    </row>
    <row r="1289" spans="1:4" x14ac:dyDescent="0.2">
      <c r="A1289" s="5">
        <v>1228</v>
      </c>
      <c r="B1289" s="138">
        <f>'Expenditures 15-22'!K152</f>
        <v>2726332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67191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1060533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1127724</v>
      </c>
      <c r="C1317" s="2" t="s">
        <v>573</v>
      </c>
      <c r="D1317" s="2" t="str">
        <f t="shared" si="19"/>
        <v>Error?</v>
      </c>
    </row>
    <row r="1318" spans="1:4" x14ac:dyDescent="0.2">
      <c r="A1318" s="5">
        <v>1257</v>
      </c>
      <c r="B1318" s="138">
        <f>'Expenditures 15-22'!H174</f>
        <v>1127724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67191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1060533</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1127724</v>
      </c>
      <c r="C1331" s="2" t="s">
        <v>573</v>
      </c>
      <c r="D1331" s="2" t="str">
        <f t="shared" si="19"/>
        <v>Error?</v>
      </c>
    </row>
    <row r="1332" spans="1:4" x14ac:dyDescent="0.2">
      <c r="A1332" s="5">
        <v>1271</v>
      </c>
      <c r="B1332" s="138">
        <f>'Expenditures 15-22'!K174</f>
        <v>1127724</v>
      </c>
      <c r="C1332" s="2" t="s">
        <v>573</v>
      </c>
      <c r="D1332" s="2" t="str">
        <f t="shared" si="19"/>
        <v>Error?</v>
      </c>
    </row>
    <row r="1333" spans="1:4" x14ac:dyDescent="0.2">
      <c r="A1333" s="5">
        <v>1272</v>
      </c>
      <c r="B1333" s="138">
        <f>'Expenditures 15-22'!K175</f>
        <v>-1125864</v>
      </c>
      <c r="C1333" s="2" t="s">
        <v>573</v>
      </c>
      <c r="D1333" s="2" t="str">
        <f t="shared" si="19"/>
        <v>Error?</v>
      </c>
    </row>
    <row r="1334" spans="1:4" x14ac:dyDescent="0.2">
      <c r="A1334" s="10">
        <v>1273</v>
      </c>
      <c r="D1334" s="2" t="str">
        <f t="shared" si="19"/>
        <v>OK</v>
      </c>
    </row>
    <row r="1335" spans="1:4" x14ac:dyDescent="0.2">
      <c r="A1335" s="5">
        <v>1274</v>
      </c>
      <c r="B1335" s="138">
        <f>'Expenditures 15-22'!C182</f>
        <v>381438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381438</v>
      </c>
      <c r="C1339" s="2" t="s">
        <v>573</v>
      </c>
      <c r="D1339" s="2" t="str">
        <f t="shared" si="19"/>
        <v>Error?</v>
      </c>
    </row>
    <row r="1340" spans="1:4" x14ac:dyDescent="0.2">
      <c r="A1340" s="5">
        <v>1279</v>
      </c>
      <c r="B1340" s="138">
        <f>'Expenditures 15-22'!C210</f>
        <v>381438</v>
      </c>
      <c r="C1340" s="2" t="s">
        <v>573</v>
      </c>
      <c r="D1340" s="2" t="str">
        <f t="shared" si="19"/>
        <v>Error?</v>
      </c>
    </row>
    <row r="1341" spans="1:4" x14ac:dyDescent="0.2">
      <c r="A1341" s="5">
        <v>1280</v>
      </c>
      <c r="B1341" s="138">
        <f>'Expenditures 15-22'!D182</f>
        <v>306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306</v>
      </c>
      <c r="C1345" s="2" t="s">
        <v>573</v>
      </c>
      <c r="D1345" s="2" t="str">
        <f t="shared" si="20"/>
        <v>Error?</v>
      </c>
    </row>
    <row r="1346" spans="1:4" x14ac:dyDescent="0.2">
      <c r="A1346" s="5">
        <v>1285</v>
      </c>
      <c r="B1346" s="138">
        <f>'Expenditures 15-22'!D210</f>
        <v>306</v>
      </c>
      <c r="C1346" s="2" t="s">
        <v>573</v>
      </c>
      <c r="D1346" s="2" t="str">
        <f t="shared" si="20"/>
        <v>Error?</v>
      </c>
    </row>
    <row r="1347" spans="1:4" x14ac:dyDescent="0.2">
      <c r="A1347" s="5">
        <v>1286</v>
      </c>
      <c r="B1347" s="138">
        <f>'Expenditures 15-22'!E182</f>
        <v>143364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143364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143364</v>
      </c>
      <c r="C1353" s="2" t="s">
        <v>573</v>
      </c>
      <c r="D1353" s="2" t="str">
        <f t="shared" si="20"/>
        <v>Error?</v>
      </c>
    </row>
    <row r="1354" spans="1:4" x14ac:dyDescent="0.2">
      <c r="A1354" s="5">
        <v>1293</v>
      </c>
      <c r="B1354" s="138">
        <f>'Expenditures 15-22'!F182</f>
        <v>82677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82677</v>
      </c>
      <c r="C1358" s="2" t="s">
        <v>573</v>
      </c>
      <c r="D1358" s="2" t="str">
        <f t="shared" si="20"/>
        <v>Error?</v>
      </c>
    </row>
    <row r="1359" spans="1:4" x14ac:dyDescent="0.2">
      <c r="A1359" s="5">
        <v>1298</v>
      </c>
      <c r="B1359" s="138">
        <f>'Expenditures 15-22'!F210</f>
        <v>82677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607785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607785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607785</v>
      </c>
      <c r="C1388" s="2" t="s">
        <v>573</v>
      </c>
      <c r="D1388" s="2" t="str">
        <f t="shared" si="20"/>
        <v>Error?</v>
      </c>
    </row>
    <row r="1389" spans="1:4" x14ac:dyDescent="0.2">
      <c r="A1389" s="5">
        <v>1328</v>
      </c>
      <c r="B1389" s="138">
        <f>'Expenditures 15-22'!K211</f>
        <v>398836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13562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219526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9158</v>
      </c>
      <c r="D1412" s="2" t="str">
        <f t="shared" si="21"/>
        <v>Error?</v>
      </c>
    </row>
    <row r="1413" spans="1:4" x14ac:dyDescent="0.2">
      <c r="A1413" s="5">
        <v>1352</v>
      </c>
      <c r="B1413" s="138">
        <f>'Expenditures 15-22'!D234</f>
        <v>16539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952</v>
      </c>
      <c r="D1415" s="2" t="str">
        <f t="shared" si="21"/>
        <v>Error?</v>
      </c>
    </row>
    <row r="1416" spans="1:4" x14ac:dyDescent="0.2">
      <c r="A1416" s="5">
        <v>1355</v>
      </c>
      <c r="B1416" s="138">
        <f>'Expenditures 15-22'!D237</f>
        <v>411</v>
      </c>
      <c r="D1416" s="2" t="str">
        <f t="shared" si="21"/>
        <v>Error?</v>
      </c>
    </row>
    <row r="1417" spans="1:4" x14ac:dyDescent="0.2">
      <c r="A1417" s="5">
        <v>1356</v>
      </c>
      <c r="B1417" s="138">
        <f>'Expenditures 15-22'!D238</f>
        <v>27060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6092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6092</v>
      </c>
      <c r="C1421" s="2" t="s">
        <v>573</v>
      </c>
      <c r="D1421" s="2" t="str">
        <f t="shared" si="21"/>
        <v>Error?</v>
      </c>
    </row>
    <row r="1422" spans="1:4" x14ac:dyDescent="0.2">
      <c r="A1422" s="5">
        <v>1361</v>
      </c>
      <c r="B1422" s="138">
        <f>'Expenditures 15-22'!D245</f>
        <v>3810</v>
      </c>
      <c r="D1422" s="2" t="str">
        <f t="shared" si="21"/>
        <v>Error?</v>
      </c>
    </row>
    <row r="1423" spans="1:4" x14ac:dyDescent="0.2">
      <c r="A1423" s="5">
        <v>1362</v>
      </c>
      <c r="B1423" s="138">
        <f>'Expenditures 15-22'!D246</f>
        <v>13102</v>
      </c>
      <c r="D1423" s="2" t="str">
        <f t="shared" si="21"/>
        <v>Error?</v>
      </c>
    </row>
    <row r="1424" spans="1:4" x14ac:dyDescent="0.2">
      <c r="A1424" s="5">
        <v>1363</v>
      </c>
      <c r="B1424" s="138">
        <f>'Expenditures 15-22'!D257</f>
        <v>16912</v>
      </c>
      <c r="C1424" s="2" t="s">
        <v>573</v>
      </c>
      <c r="D1424" s="2" t="str">
        <f t="shared" si="21"/>
        <v>Error?</v>
      </c>
    </row>
    <row r="1425" spans="1:4" x14ac:dyDescent="0.2">
      <c r="A1425" s="5">
        <v>1364</v>
      </c>
      <c r="B1425" s="138">
        <f>'Expenditures 15-22'!D259</f>
        <v>41308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41308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13309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80241</v>
      </c>
      <c r="D1431" s="2" t="str">
        <f t="shared" si="21"/>
        <v>Error?</v>
      </c>
    </row>
    <row r="1432" spans="1:4" x14ac:dyDescent="0.2">
      <c r="A1432" s="5">
        <v>1371</v>
      </c>
      <c r="B1432" s="138">
        <f>'Expenditures 15-22'!D267</f>
        <v>69817</v>
      </c>
      <c r="D1432" s="2" t="str">
        <f t="shared" si="21"/>
        <v>Error?</v>
      </c>
    </row>
    <row r="1433" spans="1:4" x14ac:dyDescent="0.2">
      <c r="A1433" s="5">
        <v>1372</v>
      </c>
      <c r="B1433" s="138">
        <f>'Expenditures 15-22'!D268</f>
        <v>26554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189921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124</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24302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24426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305719</v>
      </c>
      <c r="C1446" s="2" t="s">
        <v>573</v>
      </c>
      <c r="D1446" s="2" t="str">
        <f t="shared" si="21"/>
        <v>Error?</v>
      </c>
    </row>
    <row r="1447" spans="1:4" x14ac:dyDescent="0.2">
      <c r="A1447" s="5">
        <v>1386</v>
      </c>
      <c r="B1447" s="138">
        <f>'Expenditures 15-22'!D280</f>
        <v>6625</v>
      </c>
      <c r="D1447" s="2" t="str">
        <f t="shared" si="21"/>
        <v>Error?</v>
      </c>
    </row>
    <row r="1448" spans="1:4" x14ac:dyDescent="0.2">
      <c r="A1448" s="5">
        <v>1387</v>
      </c>
      <c r="B1448" s="138">
        <f>'Expenditures 15-22'!D295</f>
        <v>531870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13562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219526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9158</v>
      </c>
      <c r="C1476" s="2" t="s">
        <v>573</v>
      </c>
      <c r="D1476" s="2" t="str">
        <f t="shared" si="22"/>
        <v>Error?</v>
      </c>
    </row>
    <row r="1477" spans="1:4" x14ac:dyDescent="0.2">
      <c r="A1477" s="5">
        <v>1416</v>
      </c>
      <c r="B1477" s="138">
        <f>'Expenditures 15-22'!K234</f>
        <v>16539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952</v>
      </c>
      <c r="C1479" s="2" t="s">
        <v>573</v>
      </c>
      <c r="D1479" s="2" t="str">
        <f t="shared" si="22"/>
        <v>Error?</v>
      </c>
    </row>
    <row r="1480" spans="1:4" x14ac:dyDescent="0.2">
      <c r="A1480" s="5">
        <v>1419</v>
      </c>
      <c r="B1480" s="138">
        <f>'Expenditures 15-22'!K237</f>
        <v>411</v>
      </c>
      <c r="C1480" s="2" t="s">
        <v>573</v>
      </c>
      <c r="D1480" s="2" t="str">
        <f t="shared" si="22"/>
        <v>Error?</v>
      </c>
    </row>
    <row r="1481" spans="1:4" x14ac:dyDescent="0.2">
      <c r="A1481" s="5">
        <v>1420</v>
      </c>
      <c r="B1481" s="138">
        <f>'Expenditures 15-22'!K238</f>
        <v>27060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6092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6092</v>
      </c>
      <c r="C1485" s="2" t="s">
        <v>573</v>
      </c>
      <c r="D1485" s="2" t="str">
        <f t="shared" si="22"/>
        <v>Error?</v>
      </c>
    </row>
    <row r="1486" spans="1:4" x14ac:dyDescent="0.2">
      <c r="A1486" s="5">
        <v>1425</v>
      </c>
      <c r="B1486" s="138">
        <f>'Expenditures 15-22'!K245</f>
        <v>3810</v>
      </c>
      <c r="C1486" s="2" t="s">
        <v>573</v>
      </c>
      <c r="D1486" s="2" t="str">
        <f t="shared" si="22"/>
        <v>Error?</v>
      </c>
    </row>
    <row r="1487" spans="1:4" x14ac:dyDescent="0.2">
      <c r="A1487" s="5">
        <v>1426</v>
      </c>
      <c r="B1487" s="138">
        <f>'Expenditures 15-22'!K246</f>
        <v>13102</v>
      </c>
      <c r="C1487" s="2" t="s">
        <v>573</v>
      </c>
      <c r="D1487" s="2" t="str">
        <f t="shared" si="22"/>
        <v>Error?</v>
      </c>
    </row>
    <row r="1488" spans="1:4" x14ac:dyDescent="0.2">
      <c r="A1488" s="5">
        <v>1427</v>
      </c>
      <c r="B1488" s="138">
        <f>'Expenditures 15-22'!K257</f>
        <v>16912</v>
      </c>
      <c r="C1488" s="2" t="s">
        <v>573</v>
      </c>
      <c r="D1488" s="2" t="str">
        <f t="shared" si="22"/>
        <v>Error?</v>
      </c>
    </row>
    <row r="1489" spans="1:4" x14ac:dyDescent="0.2">
      <c r="A1489" s="5">
        <v>1428</v>
      </c>
      <c r="B1489" s="138">
        <f>'Expenditures 15-22'!K259</f>
        <v>41308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41308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13309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80241</v>
      </c>
      <c r="C1495" s="2" t="s">
        <v>573</v>
      </c>
      <c r="D1495" s="2" t="str">
        <f t="shared" si="22"/>
        <v>Error?</v>
      </c>
    </row>
    <row r="1496" spans="1:4" x14ac:dyDescent="0.2">
      <c r="A1496" s="5">
        <v>1435</v>
      </c>
      <c r="B1496" s="138">
        <f>'Expenditures 15-22'!K267</f>
        <v>69817</v>
      </c>
      <c r="C1496" s="2" t="s">
        <v>573</v>
      </c>
      <c r="D1496" s="2" t="str">
        <f t="shared" si="22"/>
        <v>Error?</v>
      </c>
    </row>
    <row r="1497" spans="1:4" x14ac:dyDescent="0.2">
      <c r="A1497" s="5">
        <v>1436</v>
      </c>
      <c r="B1497" s="138">
        <f>'Expenditures 15-22'!K268</f>
        <v>26554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189921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124</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24302</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24426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305719</v>
      </c>
      <c r="C1510" s="2" t="s">
        <v>573</v>
      </c>
      <c r="D1510" s="2" t="str">
        <f t="shared" si="22"/>
        <v>Error?</v>
      </c>
    </row>
    <row r="1511" spans="1:4" x14ac:dyDescent="0.2">
      <c r="A1511" s="5">
        <v>1450</v>
      </c>
      <c r="B1511" s="138">
        <f>'Expenditures 15-22'!K280</f>
        <v>6625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531870</v>
      </c>
      <c r="C1517" s="2" t="s">
        <v>573</v>
      </c>
      <c r="D1517" s="2" t="str">
        <f t="shared" si="22"/>
        <v>Error?</v>
      </c>
    </row>
    <row r="1518" spans="1:4" x14ac:dyDescent="0.2">
      <c r="A1518" s="5">
        <v>1457</v>
      </c>
      <c r="B1518" s="138">
        <f>'Expenditures 15-22'!K296</f>
        <v>-173867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7178836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7178836</v>
      </c>
      <c r="C1547" s="2" t="s">
        <v>573</v>
      </c>
      <c r="D1547" s="2" t="str">
        <f t="shared" si="23"/>
        <v>Error?</v>
      </c>
    </row>
    <row r="1548" spans="1:4" x14ac:dyDescent="0.2">
      <c r="A1548" s="5">
        <v>1487</v>
      </c>
      <c r="B1548" s="138">
        <f>'Expenditures 15-22'!G312</f>
        <v>7178836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7178836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7178836</v>
      </c>
      <c r="C1559" s="2" t="s">
        <v>573</v>
      </c>
      <c r="D1559" s="2" t="str">
        <f t="shared" si="23"/>
        <v>Error?</v>
      </c>
    </row>
    <row r="1560" spans="1:4" x14ac:dyDescent="0.2">
      <c r="A1560" s="5">
        <v>1499</v>
      </c>
      <c r="B1560" s="138">
        <f>'Expenditures 15-22'!K312</f>
        <v>7178836</v>
      </c>
      <c r="C1560" s="2" t="s">
        <v>573</v>
      </c>
      <c r="D1560" s="2" t="str">
        <f t="shared" si="23"/>
        <v>Error?</v>
      </c>
    </row>
    <row r="1561" spans="1:4" x14ac:dyDescent="0.2">
      <c r="A1561" s="5">
        <v>1500</v>
      </c>
      <c r="B1561" s="138">
        <f>'Expenditures 15-22'!K313</f>
        <v>-6838710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6005663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5987237</v>
      </c>
      <c r="C1630" s="2" t="s">
        <v>573</v>
      </c>
      <c r="D1630" s="2" t="str">
        <f t="shared" si="24"/>
        <v>Error?</v>
      </c>
    </row>
    <row r="1631" spans="1:4" x14ac:dyDescent="0.2">
      <c r="A1631" s="5">
        <v>1570</v>
      </c>
      <c r="B1631" s="138">
        <f>'Acct Summary 7-8'!D79</f>
        <v>4434216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1484684</v>
      </c>
      <c r="C1644" s="2" t="s">
        <v>573</v>
      </c>
      <c r="D1644" s="2" t="str">
        <f t="shared" si="24"/>
        <v>Error?</v>
      </c>
    </row>
    <row r="1645" spans="1:4" x14ac:dyDescent="0.2">
      <c r="A1645" s="5">
        <v>1584</v>
      </c>
      <c r="B1645" s="138">
        <f>'Acct Summary 7-8'!E79</f>
        <v>355118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355118</v>
      </c>
      <c r="C1658" s="2" t="s">
        <v>573</v>
      </c>
      <c r="D1658" s="2" t="str">
        <f t="shared" si="24"/>
        <v>Error?</v>
      </c>
    </row>
    <row r="1659" spans="1:4" x14ac:dyDescent="0.2">
      <c r="A1659" s="5">
        <v>1598</v>
      </c>
      <c r="B1659" s="138">
        <f>'Acct Summary 7-8'!F79</f>
        <v>1378905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1777741</v>
      </c>
      <c r="C1672" s="2" t="s">
        <v>573</v>
      </c>
      <c r="D1672" s="2" t="str">
        <f t="shared" si="25"/>
        <v>Error?</v>
      </c>
    </row>
    <row r="1673" spans="1:4" x14ac:dyDescent="0.2">
      <c r="A1673" s="5">
        <v>1612</v>
      </c>
      <c r="B1673" s="138">
        <f>'Acct Summary 7-8'!G79</f>
        <v>413007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239140</v>
      </c>
      <c r="C1686" s="2" t="s">
        <v>573</v>
      </c>
      <c r="D1686" s="2" t="str">
        <f t="shared" si="25"/>
        <v>Error?</v>
      </c>
    </row>
    <row r="1687" spans="1:4" x14ac:dyDescent="0.2">
      <c r="A1687" s="5">
        <v>1626</v>
      </c>
      <c r="B1687" s="138">
        <f>'Acct Summary 7-8'!H79</f>
        <v>2791023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502313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7170254</v>
      </c>
      <c r="C1744" s="2" t="s">
        <v>573</v>
      </c>
      <c r="D1744" s="2" t="str">
        <f t="shared" si="26"/>
        <v>Error?</v>
      </c>
    </row>
    <row r="1745" spans="1:5" x14ac:dyDescent="0.2">
      <c r="A1745" s="5">
        <v>1684</v>
      </c>
      <c r="B1745" s="138">
        <f>'Tax Sched 23'!B5</f>
        <v>1792545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709359</v>
      </c>
      <c r="C1747" s="2" t="s">
        <v>573</v>
      </c>
      <c r="D1747" s="2" t="str">
        <f t="shared" si="26"/>
        <v>Error?</v>
      </c>
    </row>
    <row r="1748" spans="1:5" x14ac:dyDescent="0.2">
      <c r="A1748" s="5">
        <v>1687</v>
      </c>
      <c r="B1748" s="138">
        <f>'Tax Sched 23'!B8</f>
        <v>77075</v>
      </c>
      <c r="C1748" s="2" t="s">
        <v>573</v>
      </c>
      <c r="D1748" s="2" t="str">
        <f t="shared" si="26"/>
        <v>Error?</v>
      </c>
    </row>
    <row r="1749" spans="1:5" x14ac:dyDescent="0.2">
      <c r="A1749" s="5">
        <v>1688</v>
      </c>
      <c r="B1749" s="138">
        <f>'Tax Sched 23'!B10</f>
        <v>179256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v>
      </c>
      <c r="C1752" s="2" t="s">
        <v>573</v>
      </c>
      <c r="D1752" s="2" t="str">
        <f t="shared" si="26"/>
        <v>Error?</v>
      </c>
    </row>
    <row r="1753" spans="1:5" x14ac:dyDescent="0.2">
      <c r="A1753" s="5">
        <v>1692</v>
      </c>
      <c r="B1753" s="138">
        <f>'Tax Sched 23'!B12</f>
        <v>62410</v>
      </c>
      <c r="C1753" s="2" t="s">
        <v>573</v>
      </c>
      <c r="D1753" s="2" t="str">
        <f t="shared" si="26"/>
        <v>Error?</v>
      </c>
    </row>
    <row r="1754" spans="1:5" x14ac:dyDescent="0.2">
      <c r="A1754" s="5">
        <v>1693</v>
      </c>
      <c r="B1754" s="138">
        <f>'Tax Sched 23'!B14</f>
        <v>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10056758</v>
      </c>
      <c r="C1759" s="2" t="s">
        <v>573</v>
      </c>
      <c r="D1759" s="2" t="str">
        <f t="shared" si="26"/>
        <v>Error?</v>
      </c>
    </row>
    <row r="1760" spans="1:5" x14ac:dyDescent="0.2">
      <c r="A1760" s="5">
        <v>1699</v>
      </c>
      <c r="B1760" s="138">
        <f>'Tax Sched 23'!D4</f>
        <v>929869</v>
      </c>
      <c r="C1760" s="2" t="s">
        <v>573</v>
      </c>
      <c r="D1760" s="2" t="str">
        <f t="shared" si="26"/>
        <v>Error?</v>
      </c>
    </row>
    <row r="1761" spans="1:5" x14ac:dyDescent="0.2">
      <c r="A1761" s="5">
        <v>1700</v>
      </c>
      <c r="B1761" s="138">
        <f>'Tax Sched 23'!D5</f>
        <v>232449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85320</v>
      </c>
      <c r="C1763" s="2" t="s">
        <v>573</v>
      </c>
      <c r="D1763" s="2" t="str">
        <f t="shared" si="26"/>
        <v>Error?</v>
      </c>
    </row>
    <row r="1764" spans="1:5" x14ac:dyDescent="0.2">
      <c r="A1764" s="5">
        <v>1703</v>
      </c>
      <c r="B1764" s="138">
        <f>'Tax Sched 23'!D8</f>
        <v>6</v>
      </c>
      <c r="C1764" s="2" t="s">
        <v>573</v>
      </c>
      <c r="D1764" s="2" t="str">
        <f t="shared" si="26"/>
        <v>Error?</v>
      </c>
    </row>
    <row r="1765" spans="1:5" x14ac:dyDescent="0.2">
      <c r="A1765" s="5">
        <v>1704</v>
      </c>
      <c r="B1765" s="138">
        <f>'Tax Sched 23'!D10</f>
        <v>23246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v>
      </c>
      <c r="C1768" s="2" t="s">
        <v>573</v>
      </c>
      <c r="D1768" s="2" t="str">
        <f t="shared" si="26"/>
        <v>Error?</v>
      </c>
    </row>
    <row r="1769" spans="1:5" x14ac:dyDescent="0.2">
      <c r="A1769" s="5">
        <v>1708</v>
      </c>
      <c r="B1769" s="138">
        <f>'Tax Sched 23'!D12</f>
        <v>6</v>
      </c>
      <c r="C1769" s="2" t="s">
        <v>573</v>
      </c>
      <c r="D1769" s="2" t="str">
        <f t="shared" si="26"/>
        <v>Error?</v>
      </c>
    </row>
    <row r="1770" spans="1:5" x14ac:dyDescent="0.2">
      <c r="A1770" s="5">
        <v>1709</v>
      </c>
      <c r="B1770" s="138">
        <f>'Tax Sched 23'!D14</f>
        <v>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1270919</v>
      </c>
      <c r="C1775" s="2" t="s">
        <v>573</v>
      </c>
      <c r="D1775" s="2" t="str">
        <f t="shared" si="26"/>
        <v>Error?</v>
      </c>
    </row>
    <row r="1776" spans="1:5" x14ac:dyDescent="0.2">
      <c r="A1776" s="5">
        <v>1715</v>
      </c>
      <c r="B1776" s="138">
        <f>'Tax Sched 23'!C4</f>
        <v>6240385</v>
      </c>
      <c r="D1776" s="2" t="str">
        <f t="shared" si="26"/>
        <v>Error?</v>
      </c>
    </row>
    <row r="1777" spans="1:4" x14ac:dyDescent="0.2">
      <c r="A1777" s="5">
        <v>1716</v>
      </c>
      <c r="B1777" s="138">
        <f>'Tax Sched 23'!C5</f>
        <v>1560096</v>
      </c>
      <c r="D1777" s="2" t="str">
        <f t="shared" si="26"/>
        <v>Error?</v>
      </c>
    </row>
    <row r="1778" spans="1:4" x14ac:dyDescent="0.2">
      <c r="A1778" s="5">
        <v>1717</v>
      </c>
      <c r="B1778" s="138">
        <f>'Tax Sched 23'!C6</f>
        <v>0</v>
      </c>
      <c r="D1778" s="2" t="str">
        <f t="shared" si="26"/>
        <v>Error?</v>
      </c>
    </row>
    <row r="1779" spans="1:4" x14ac:dyDescent="0.2">
      <c r="A1779" s="5">
        <v>1718</v>
      </c>
      <c r="B1779" s="138">
        <f>'Tax Sched 23'!C7</f>
        <v>624039</v>
      </c>
      <c r="D1779" s="2" t="str">
        <f t="shared" si="26"/>
        <v>Error?</v>
      </c>
    </row>
    <row r="1780" spans="1:4" x14ac:dyDescent="0.2">
      <c r="A1780" s="5">
        <v>1719</v>
      </c>
      <c r="B1780" s="138">
        <f>'Tax Sched 23'!C8</f>
        <v>77069</v>
      </c>
      <c r="D1780" s="2" t="str">
        <f t="shared" si="26"/>
        <v>Error?</v>
      </c>
    </row>
    <row r="1781" spans="1:4" x14ac:dyDescent="0.2">
      <c r="A1781" s="5">
        <v>1720</v>
      </c>
      <c r="B1781" s="138">
        <f>'Tax Sched 23'!C10</f>
        <v>156010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62404</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8785839</v>
      </c>
      <c r="C1791" s="2" t="s">
        <v>573</v>
      </c>
      <c r="D1791" s="2" t="str">
        <f t="shared" ref="D1791:D1854" si="27">IF(ISBLANK(B1791),"OK",IF(A1791-B1791=0,"OK","Error?"))</f>
        <v>Error?</v>
      </c>
    </row>
    <row r="1792" spans="1:4" x14ac:dyDescent="0.2">
      <c r="A1792" s="5">
        <v>1731</v>
      </c>
      <c r="B1792" s="138">
        <f>'Tax Sched 23'!F4</f>
        <v>1186450</v>
      </c>
      <c r="C1792" s="2" t="s">
        <v>573</v>
      </c>
      <c r="D1792" s="2" t="str">
        <f t="shared" si="27"/>
        <v>Error?</v>
      </c>
    </row>
    <row r="1793" spans="1:4" x14ac:dyDescent="0.2">
      <c r="A1793" s="5">
        <v>1732</v>
      </c>
      <c r="B1793" s="138">
        <f>'Tax Sched 23'!F5</f>
        <v>296613</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118644</v>
      </c>
      <c r="C1795" s="2" t="s">
        <v>573</v>
      </c>
      <c r="D1795" s="2" t="str">
        <f t="shared" si="27"/>
        <v>Error?</v>
      </c>
    </row>
    <row r="1796" spans="1:4" x14ac:dyDescent="0.2">
      <c r="A1796" s="5">
        <v>1735</v>
      </c>
      <c r="B1796" s="138">
        <f>'Tax Sched 23'!F8</f>
        <v>14652</v>
      </c>
      <c r="C1796" s="2" t="s">
        <v>573</v>
      </c>
      <c r="D1796" s="2" t="str">
        <f t="shared" si="27"/>
        <v>Error?</v>
      </c>
    </row>
    <row r="1797" spans="1:4" x14ac:dyDescent="0.2">
      <c r="A1797" s="5">
        <v>1736</v>
      </c>
      <c r="B1797" s="138">
        <f>'Tax Sched 23'!F10</f>
        <v>29661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11864</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1670401</v>
      </c>
      <c r="C1807" s="2" t="s">
        <v>573</v>
      </c>
      <c r="D1807" s="2" t="str">
        <f t="shared" si="27"/>
        <v>Error?</v>
      </c>
    </row>
    <row r="1808" spans="1:4" x14ac:dyDescent="0.2">
      <c r="A1808" s="5">
        <v>1747</v>
      </c>
      <c r="B1808" s="138">
        <f>'Tax Sched 23'!E4</f>
        <v>7426835</v>
      </c>
      <c r="D1808" s="2" t="str">
        <f t="shared" si="27"/>
        <v>Error?</v>
      </c>
    </row>
    <row r="1809" spans="1:4" x14ac:dyDescent="0.2">
      <c r="A1809" s="5">
        <v>1748</v>
      </c>
      <c r="B1809" s="138">
        <f>'Tax Sched 23'!E5</f>
        <v>1856709</v>
      </c>
      <c r="D1809" s="2" t="str">
        <f t="shared" si="27"/>
        <v>Error?</v>
      </c>
    </row>
    <row r="1810" spans="1:4" x14ac:dyDescent="0.2">
      <c r="A1810" s="5">
        <v>1749</v>
      </c>
      <c r="B1810" s="138">
        <f>'Tax Sched 23'!E6</f>
        <v>0</v>
      </c>
      <c r="D1810" s="2" t="str">
        <f t="shared" si="27"/>
        <v>Error?</v>
      </c>
    </row>
    <row r="1811" spans="1:4" x14ac:dyDescent="0.2">
      <c r="A1811" s="5">
        <v>1750</v>
      </c>
      <c r="B1811" s="138">
        <f>'Tax Sched 23'!E7</f>
        <v>742683</v>
      </c>
      <c r="D1811" s="2" t="str">
        <f t="shared" si="27"/>
        <v>Error?</v>
      </c>
    </row>
    <row r="1812" spans="1:4" x14ac:dyDescent="0.2">
      <c r="A1812" s="5">
        <v>1751</v>
      </c>
      <c r="B1812" s="138">
        <f>'Tax Sched 23'!E8</f>
        <v>91721</v>
      </c>
      <c r="D1812" s="2" t="str">
        <f t="shared" si="27"/>
        <v>Error?</v>
      </c>
    </row>
    <row r="1813" spans="1:4" x14ac:dyDescent="0.2">
      <c r="A1813" s="5">
        <v>1752</v>
      </c>
      <c r="B1813" s="138">
        <f>'Tax Sched 23'!E10</f>
        <v>185671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74268</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10456240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2706645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190042</v>
      </c>
      <c r="D2008" s="2" t="str">
        <f t="shared" si="30"/>
        <v>Error?</v>
      </c>
    </row>
    <row r="2009" spans="1:4" x14ac:dyDescent="0.2">
      <c r="A2009" s="5">
        <v>1948</v>
      </c>
      <c r="B2009" s="138">
        <f>'Cap Outlay Deprec 26'!C8</f>
        <v>15600718</v>
      </c>
      <c r="D2009" s="2" t="str">
        <f t="shared" si="30"/>
        <v>Error?</v>
      </c>
    </row>
    <row r="2010" spans="1:4" x14ac:dyDescent="0.2">
      <c r="A2010" s="5">
        <v>1949</v>
      </c>
      <c r="B2010" s="138">
        <f>'Cap Outlay Deprec 26'!C10</f>
        <v>7098643</v>
      </c>
      <c r="D2010" s="2" t="str">
        <f t="shared" si="30"/>
        <v>Error?</v>
      </c>
    </row>
    <row r="2011" spans="1:4" x14ac:dyDescent="0.2">
      <c r="A2011" s="5">
        <v>1950</v>
      </c>
      <c r="B2011" s="138">
        <f>'Cap Outlay Deprec 26'!C12</f>
        <v>3553487</v>
      </c>
      <c r="D2011" s="2" t="str">
        <f t="shared" si="30"/>
        <v>Error?</v>
      </c>
    </row>
    <row r="2012" spans="1:4" x14ac:dyDescent="0.2">
      <c r="A2012" s="5">
        <v>1951</v>
      </c>
      <c r="B2012" s="138">
        <f>'Cap Outlay Deprec 26'!C13</f>
        <v>601899</v>
      </c>
      <c r="D2012" s="2" t="str">
        <f t="shared" si="30"/>
        <v>Error?</v>
      </c>
    </row>
    <row r="2013" spans="1:4" x14ac:dyDescent="0.2">
      <c r="A2013" s="5">
        <v>1952</v>
      </c>
      <c r="B2013" s="138">
        <f>'Cap Outlay Deprec 26'!C16</f>
        <v>28676596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5220354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175996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9097840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400967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2032774</v>
      </c>
      <c r="C2025" s="2" t="s">
        <v>573</v>
      </c>
      <c r="D2025" s="2" t="str">
        <f t="shared" si="30"/>
        <v>Error?</v>
      </c>
    </row>
    <row r="2026" spans="1:4" x14ac:dyDescent="0.2">
      <c r="A2026" s="5">
        <v>1965</v>
      </c>
      <c r="B2026" s="138">
        <f>'Cap Outlay Deprec 26'!F5</f>
        <v>190042</v>
      </c>
      <c r="C2026" s="2" t="s">
        <v>573</v>
      </c>
      <c r="D2026" s="2" t="str">
        <f t="shared" si="30"/>
        <v>Error?</v>
      </c>
    </row>
    <row r="2027" spans="1:4" x14ac:dyDescent="0.2">
      <c r="A2027" s="5">
        <v>1966</v>
      </c>
      <c r="B2027" s="138">
        <f>'Cap Outlay Deprec 26'!F8</f>
        <v>20821072</v>
      </c>
      <c r="C2027" s="2" t="s">
        <v>573</v>
      </c>
      <c r="D2027" s="2" t="str">
        <f t="shared" si="30"/>
        <v>Error?</v>
      </c>
    </row>
    <row r="2028" spans="1:4" x14ac:dyDescent="0.2">
      <c r="A2028" s="5">
        <v>1967</v>
      </c>
      <c r="B2028" s="138">
        <f>'Cap Outlay Deprec 26'!F10</f>
        <v>7098643</v>
      </c>
      <c r="C2028" s="2" t="s">
        <v>573</v>
      </c>
      <c r="D2028" s="2" t="str">
        <f t="shared" si="30"/>
        <v>Error?</v>
      </c>
    </row>
    <row r="2029" spans="1:4" x14ac:dyDescent="0.2">
      <c r="A2029" s="5">
        <v>1968</v>
      </c>
      <c r="B2029" s="138">
        <f>'Cap Outlay Deprec 26'!F12</f>
        <v>3328516</v>
      </c>
      <c r="C2029" s="2" t="s">
        <v>573</v>
      </c>
      <c r="D2029" s="2" t="str">
        <f t="shared" si="30"/>
        <v>Error?</v>
      </c>
    </row>
    <row r="2030" spans="1:4" x14ac:dyDescent="0.2">
      <c r="A2030" s="5">
        <v>1969</v>
      </c>
      <c r="B2030" s="138">
        <f>'Cap Outlay Deprec 26'!F13</f>
        <v>601899</v>
      </c>
      <c r="C2030" s="2" t="s">
        <v>573</v>
      </c>
      <c r="D2030" s="2" t="str">
        <f t="shared" si="30"/>
        <v>Error?</v>
      </c>
    </row>
    <row r="2031" spans="1:4" x14ac:dyDescent="0.2">
      <c r="A2031" s="5">
        <v>1970</v>
      </c>
      <c r="B2031" s="138">
        <f>'Cap Outlay Deprec 26'!F16</f>
        <v>35741662</v>
      </c>
      <c r="C2031" s="2" t="s">
        <v>573</v>
      </c>
      <c r="D2031" s="2" t="str">
        <f t="shared" si="30"/>
        <v>Error?</v>
      </c>
    </row>
    <row r="2032" spans="1:4" x14ac:dyDescent="0.2">
      <c r="A2032" s="10">
        <v>1971</v>
      </c>
      <c r="D2032" s="2" t="str">
        <f t="shared" si="30"/>
        <v>OK</v>
      </c>
    </row>
    <row r="2033" spans="1:4" x14ac:dyDescent="0.2">
      <c r="A2033" s="5">
        <v>1972</v>
      </c>
      <c r="B2033" s="138">
        <f>'Cap Outlay Deprec 26'!H8</f>
        <v>8536325</v>
      </c>
      <c r="D2033" s="2" t="str">
        <f t="shared" si="30"/>
        <v>Error?</v>
      </c>
    </row>
    <row r="2034" spans="1:4" x14ac:dyDescent="0.2">
      <c r="A2034" s="5">
        <v>1973</v>
      </c>
      <c r="B2034" s="138">
        <f>'Cap Outlay Deprec 26'!H10</f>
        <v>3387114</v>
      </c>
      <c r="D2034" s="2" t="str">
        <f t="shared" si="30"/>
        <v>Error?</v>
      </c>
    </row>
    <row r="2035" spans="1:4" x14ac:dyDescent="0.2">
      <c r="A2035" s="5">
        <v>1974</v>
      </c>
      <c r="B2035" s="138">
        <f>'Cap Outlay Deprec 26'!H12</f>
        <v>2250081</v>
      </c>
      <c r="D2035" s="2" t="str">
        <f t="shared" si="30"/>
        <v>Error?</v>
      </c>
    </row>
    <row r="2036" spans="1:4" x14ac:dyDescent="0.2">
      <c r="A2036" s="5">
        <v>1975</v>
      </c>
      <c r="B2036" s="138">
        <f>'Cap Outlay Deprec 26'!H13</f>
        <v>561156</v>
      </c>
      <c r="D2036" s="2" t="str">
        <f t="shared" si="30"/>
        <v>Error?</v>
      </c>
    </row>
    <row r="2037" spans="1:4" x14ac:dyDescent="0.2">
      <c r="A2037" s="5">
        <v>1976</v>
      </c>
      <c r="B2037" s="138">
        <f>'Cap Outlay Deprec 26'!H16</f>
        <v>14734676</v>
      </c>
      <c r="C2037" s="2" t="s">
        <v>573</v>
      </c>
      <c r="D2037" s="2" t="str">
        <f t="shared" si="30"/>
        <v>Error?</v>
      </c>
    </row>
    <row r="2038" spans="1:4" x14ac:dyDescent="0.2">
      <c r="A2038" s="10">
        <v>1977</v>
      </c>
      <c r="D2038" s="2" t="str">
        <f t="shared" si="30"/>
        <v>OK</v>
      </c>
    </row>
    <row r="2039" spans="1:4" x14ac:dyDescent="0.2">
      <c r="A2039" s="5">
        <v>1978</v>
      </c>
      <c r="B2039" s="138">
        <f>'Cap Outlay Deprec 26'!I8</f>
        <v>416421</v>
      </c>
      <c r="D2039" s="2" t="str">
        <f t="shared" si="30"/>
        <v>Error?</v>
      </c>
    </row>
    <row r="2040" spans="1:4" x14ac:dyDescent="0.2">
      <c r="A2040" s="5">
        <v>1979</v>
      </c>
      <c r="B2040" s="138">
        <f>'Cap Outlay Deprec 26'!I10</f>
        <v>323620</v>
      </c>
      <c r="D2040" s="2" t="str">
        <f t="shared" si="30"/>
        <v>Error?</v>
      </c>
    </row>
    <row r="2041" spans="1:4" x14ac:dyDescent="0.2">
      <c r="A2041" s="5">
        <v>1980</v>
      </c>
      <c r="B2041" s="138">
        <f>'Cap Outlay Deprec 26'!I12</f>
        <v>332848</v>
      </c>
      <c r="D2041" s="2" t="str">
        <f t="shared" si="30"/>
        <v>Error?</v>
      </c>
    </row>
    <row r="2042" spans="1:4" x14ac:dyDescent="0.2">
      <c r="A2042" s="5">
        <v>1981</v>
      </c>
      <c r="B2042" s="138">
        <f>'Cap Outlay Deprec 26'!I13</f>
        <v>17666</v>
      </c>
      <c r="D2042" s="2" t="str">
        <f t="shared" si="30"/>
        <v>Error?</v>
      </c>
    </row>
    <row r="2043" spans="1:4" x14ac:dyDescent="0.2">
      <c r="A2043" s="5">
        <v>1982</v>
      </c>
      <c r="B2043" s="138">
        <f>'Cap Outlay Deprec 26'!I16</f>
        <v>1090555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400967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400967</v>
      </c>
      <c r="C2049" s="2" t="s">
        <v>573</v>
      </c>
      <c r="D2049" s="2" t="str">
        <f t="shared" si="31"/>
        <v>Error?</v>
      </c>
    </row>
    <row r="2050" spans="1:4" x14ac:dyDescent="0.2">
      <c r="A2050" s="10">
        <v>1989</v>
      </c>
      <c r="D2050" s="2" t="str">
        <f t="shared" si="31"/>
        <v>OK</v>
      </c>
    </row>
    <row r="2051" spans="1:4" x14ac:dyDescent="0.2">
      <c r="A2051" s="5">
        <v>1990</v>
      </c>
      <c r="B2051" s="138">
        <f>'Cap Outlay Deprec 26'!K8</f>
        <v>8952746</v>
      </c>
      <c r="C2051" s="2" t="s">
        <v>573</v>
      </c>
      <c r="D2051" s="2" t="str">
        <f t="shared" si="31"/>
        <v>Error?</v>
      </c>
    </row>
    <row r="2052" spans="1:4" x14ac:dyDescent="0.2">
      <c r="A2052" s="5">
        <v>1991</v>
      </c>
      <c r="B2052" s="138">
        <f>'Cap Outlay Deprec 26'!K10</f>
        <v>3710734</v>
      </c>
      <c r="C2052" s="2" t="s">
        <v>573</v>
      </c>
      <c r="D2052" s="2" t="str">
        <f t="shared" si="31"/>
        <v>Error?</v>
      </c>
    </row>
    <row r="2053" spans="1:4" x14ac:dyDescent="0.2">
      <c r="A2053" s="5">
        <v>1992</v>
      </c>
      <c r="B2053" s="138">
        <f>'Cap Outlay Deprec 26'!K12</f>
        <v>2181962</v>
      </c>
      <c r="C2053" s="2" t="s">
        <v>573</v>
      </c>
      <c r="D2053" s="2" t="str">
        <f t="shared" si="31"/>
        <v>Error?</v>
      </c>
    </row>
    <row r="2054" spans="1:4" x14ac:dyDescent="0.2">
      <c r="A2054" s="5">
        <v>1993</v>
      </c>
      <c r="B2054" s="138">
        <f>'Cap Outlay Deprec 26'!K13</f>
        <v>578822</v>
      </c>
      <c r="C2054" s="2" t="s">
        <v>573</v>
      </c>
      <c r="D2054" s="2" t="str">
        <f t="shared" si="31"/>
        <v>Error?</v>
      </c>
    </row>
    <row r="2055" spans="1:4" x14ac:dyDescent="0.2">
      <c r="A2055" s="5">
        <v>1994</v>
      </c>
      <c r="B2055" s="138">
        <f>'Cap Outlay Deprec 26'!K16</f>
        <v>15424264</v>
      </c>
      <c r="C2055" s="2" t="s">
        <v>573</v>
      </c>
      <c r="D2055" s="2" t="str">
        <f t="shared" si="31"/>
        <v>Error?</v>
      </c>
    </row>
    <row r="2056" spans="1:4" x14ac:dyDescent="0.2">
      <c r="A2056" s="5">
        <v>1995</v>
      </c>
      <c r="B2056" s="138">
        <f>'Cap Outlay Deprec 26'!L5</f>
        <v>190042</v>
      </c>
      <c r="C2056" s="2" t="s">
        <v>573</v>
      </c>
      <c r="D2056" s="2" t="str">
        <f t="shared" si="31"/>
        <v>Error?</v>
      </c>
    </row>
    <row r="2057" spans="1:4" x14ac:dyDescent="0.2">
      <c r="A2057" s="5">
        <v>1996</v>
      </c>
      <c r="B2057" s="138">
        <f>'Cap Outlay Deprec 26'!L8</f>
        <v>11868326</v>
      </c>
      <c r="C2057" s="2" t="s">
        <v>573</v>
      </c>
      <c r="D2057" s="2" t="str">
        <f t="shared" si="31"/>
        <v>Error?</v>
      </c>
    </row>
    <row r="2058" spans="1:4" x14ac:dyDescent="0.2">
      <c r="A2058" s="5">
        <v>1997</v>
      </c>
      <c r="B2058" s="138">
        <f>'Cap Outlay Deprec 26'!L10</f>
        <v>3387909</v>
      </c>
      <c r="C2058" s="2" t="s">
        <v>573</v>
      </c>
      <c r="D2058" s="2" t="str">
        <f t="shared" si="31"/>
        <v>Error?</v>
      </c>
    </row>
    <row r="2059" spans="1:4" x14ac:dyDescent="0.2">
      <c r="A2059" s="5">
        <v>1998</v>
      </c>
      <c r="B2059" s="138">
        <f>'Cap Outlay Deprec 26'!L12</f>
        <v>1146554</v>
      </c>
      <c r="C2059" s="2" t="s">
        <v>573</v>
      </c>
      <c r="D2059" s="2" t="str">
        <f t="shared" si="31"/>
        <v>Error?</v>
      </c>
    </row>
    <row r="2060" spans="1:4" x14ac:dyDescent="0.2">
      <c r="A2060" s="5">
        <v>1999</v>
      </c>
      <c r="B2060" s="138">
        <f>'Cap Outlay Deprec 26'!L13</f>
        <v>23077</v>
      </c>
      <c r="C2060" s="2" t="s">
        <v>573</v>
      </c>
      <c r="D2060" s="2" t="str">
        <f t="shared" si="31"/>
        <v>Error?</v>
      </c>
    </row>
    <row r="2061" spans="1:4" x14ac:dyDescent="0.2">
      <c r="A2061" s="5">
        <v>2000</v>
      </c>
      <c r="B2061" s="138">
        <f>'Cap Outlay Deprec 26'!L16</f>
        <v>20317398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140</v>
      </c>
      <c r="C2088" s="2" t="s">
        <v>573</v>
      </c>
      <c r="D2088" s="2" t="str">
        <f t="shared" si="31"/>
        <v>Error?</v>
      </c>
    </row>
    <row r="2089" spans="1:4" x14ac:dyDescent="0.2">
      <c r="A2089" s="5">
        <v>2028</v>
      </c>
      <c r="B2089" s="138">
        <f>'Expenditures 15-22'!K92</f>
        <v>130294</v>
      </c>
      <c r="C2089" s="2" t="s">
        <v>573</v>
      </c>
      <c r="D2089" s="2" t="str">
        <f t="shared" si="31"/>
        <v>Error?</v>
      </c>
    </row>
    <row r="2090" spans="1:4" x14ac:dyDescent="0.2">
      <c r="A2090" s="10">
        <v>2029</v>
      </c>
      <c r="D2090" s="2" t="str">
        <f t="shared" si="31"/>
        <v>OK</v>
      </c>
    </row>
    <row r="2091" spans="1:4" x14ac:dyDescent="0.2">
      <c r="A2091" s="5">
        <v>2030</v>
      </c>
      <c r="B2091" s="138">
        <f>'Expenditures 15-22'!H137</f>
        <v>28005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28005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232554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502313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9349979</v>
      </c>
      <c r="C2551" s="2" t="s">
        <v>573</v>
      </c>
      <c r="D2551" s="2" t="str">
        <f t="shared" si="38"/>
        <v>Error?</v>
      </c>
    </row>
    <row r="2552" spans="1:4" x14ac:dyDescent="0.2">
      <c r="A2552" s="10">
        <v>2491</v>
      </c>
      <c r="D2552" s="2" t="str">
        <f t="shared" si="38"/>
        <v>OK</v>
      </c>
    </row>
    <row r="2553" spans="1:4" x14ac:dyDescent="0.2">
      <c r="A2553" s="5">
        <v>2492</v>
      </c>
      <c r="B2553" s="138">
        <f>'Acct Summary 7-8'!C6</f>
        <v>648505</v>
      </c>
      <c r="C2553" s="2" t="s">
        <v>573</v>
      </c>
      <c r="D2553" s="2" t="str">
        <f t="shared" si="38"/>
        <v>Error?</v>
      </c>
    </row>
    <row r="2554" spans="1:4" x14ac:dyDescent="0.2">
      <c r="A2554" s="5">
        <v>2493</v>
      </c>
      <c r="B2554" s="138">
        <f>'Acct Summary 7-8'!C7</f>
        <v>450179</v>
      </c>
      <c r="C2554" s="2" t="s">
        <v>573</v>
      </c>
      <c r="D2554" s="2" t="str">
        <f t="shared" si="38"/>
        <v>Error?</v>
      </c>
    </row>
    <row r="2555" spans="1:4" x14ac:dyDescent="0.2">
      <c r="A2555" s="5">
        <v>2494</v>
      </c>
      <c r="B2555" s="138">
        <f>'Acct Summary 7-8'!C8</f>
        <v>10448663</v>
      </c>
      <c r="C2555" s="2" t="s">
        <v>573</v>
      </c>
      <c r="D2555" s="2" t="str">
        <f t="shared" si="38"/>
        <v>Error?</v>
      </c>
    </row>
    <row r="2556" spans="1:4" x14ac:dyDescent="0.2">
      <c r="A2556" s="5">
        <v>2495</v>
      </c>
      <c r="B2556" s="138">
        <f>'Acct Summary 7-8'!C12</f>
        <v>7045690</v>
      </c>
      <c r="C2556" s="2" t="s">
        <v>573</v>
      </c>
      <c r="D2556" s="2" t="str">
        <f t="shared" si="38"/>
        <v>Error?</v>
      </c>
    </row>
    <row r="2557" spans="1:4" x14ac:dyDescent="0.2">
      <c r="A2557" s="5">
        <v>2496</v>
      </c>
      <c r="B2557" s="138">
        <f>'Acct Summary 7-8'!C13</f>
        <v>3255116</v>
      </c>
      <c r="C2557" s="2" t="s">
        <v>573</v>
      </c>
      <c r="D2557" s="2" t="str">
        <f t="shared" si="38"/>
        <v>Error?</v>
      </c>
    </row>
    <row r="2558" spans="1:4" x14ac:dyDescent="0.2">
      <c r="A2558" s="5">
        <v>2497</v>
      </c>
      <c r="B2558" s="138">
        <f>'Acct Summary 7-8'!C14</f>
        <v>35849</v>
      </c>
      <c r="C2558" s="2" t="s">
        <v>573</v>
      </c>
      <c r="D2558" s="2" t="str">
        <f t="shared" si="38"/>
        <v>Error?</v>
      </c>
    </row>
    <row r="2559" spans="1:4" x14ac:dyDescent="0.2">
      <c r="A2559" s="5">
        <v>2498</v>
      </c>
      <c r="B2559" s="138">
        <f>'Acct Summary 7-8'!C15</f>
        <v>130434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10467089</v>
      </c>
      <c r="C2561" s="2" t="s">
        <v>573</v>
      </c>
      <c r="D2561" s="2" t="str">
        <f t="shared" si="39"/>
        <v>Error?</v>
      </c>
    </row>
    <row r="2562" spans="1:4" x14ac:dyDescent="0.2">
      <c r="A2562" s="5">
        <v>2501</v>
      </c>
      <c r="B2562" s="138">
        <f>'Acct Summary 7-8'!C20</f>
        <v>-18426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3533293</v>
      </c>
      <c r="C2564" s="2" t="s">
        <v>573</v>
      </c>
      <c r="D2564" s="2" t="str">
        <f t="shared" si="39"/>
        <v>Error?</v>
      </c>
    </row>
    <row r="2565" spans="1:4" x14ac:dyDescent="0.2">
      <c r="A2565" s="10">
        <v>2504</v>
      </c>
      <c r="D2565" s="2" t="str">
        <f t="shared" si="39"/>
        <v>OK</v>
      </c>
    </row>
    <row r="2566" spans="1:4" x14ac:dyDescent="0.2">
      <c r="A2566" s="5">
        <v>2505</v>
      </c>
      <c r="B2566" s="138">
        <f>'Acct Summary 7-8'!D6</f>
        <v>43300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3576593</v>
      </c>
      <c r="C2568" s="2" t="s">
        <v>573</v>
      </c>
      <c r="D2568" s="2" t="str">
        <f t="shared" si="39"/>
        <v>Error?</v>
      </c>
    </row>
    <row r="2569" spans="1:4" x14ac:dyDescent="0.2">
      <c r="A2569" s="5">
        <v>2508</v>
      </c>
      <c r="B2569" s="138">
        <f>'Acct Summary 7-8'!D13</f>
        <v>822256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28005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850261</v>
      </c>
      <c r="C2573" s="2" t="s">
        <v>573</v>
      </c>
      <c r="D2573" s="2" t="str">
        <f t="shared" si="39"/>
        <v>Error?</v>
      </c>
    </row>
    <row r="2574" spans="1:4" x14ac:dyDescent="0.2">
      <c r="A2574" s="5">
        <v>2513</v>
      </c>
      <c r="B2574" s="138">
        <f>'Acct Summary 7-8'!D20</f>
        <v>2726332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716340</v>
      </c>
      <c r="C2591" s="2" t="s">
        <v>573</v>
      </c>
      <c r="D2591" s="2" t="str">
        <f t="shared" si="39"/>
        <v>Error?</v>
      </c>
    </row>
    <row r="2592" spans="1:4" x14ac:dyDescent="0.2">
      <c r="A2592" s="10">
        <v>2531</v>
      </c>
      <c r="D2592" s="2" t="str">
        <f t="shared" si="39"/>
        <v>OK</v>
      </c>
    </row>
    <row r="2593" spans="1:4" x14ac:dyDescent="0.2">
      <c r="A2593" s="5">
        <v>2532</v>
      </c>
      <c r="B2593" s="138">
        <f>'Acct Summary 7-8'!F6</f>
        <v>290281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1006621</v>
      </c>
      <c r="C2595" s="2" t="s">
        <v>573</v>
      </c>
      <c r="D2595" s="2" t="str">
        <f t="shared" si="39"/>
        <v>Error?</v>
      </c>
    </row>
    <row r="2596" spans="1:4" x14ac:dyDescent="0.2">
      <c r="A2596" s="5">
        <v>2535</v>
      </c>
      <c r="B2596" s="138">
        <f>'Acct Summary 7-8'!F13</f>
        <v>607785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607785</v>
      </c>
      <c r="C2600" s="2" t="s">
        <v>573</v>
      </c>
      <c r="D2600" s="2" t="str">
        <f t="shared" si="39"/>
        <v>Error?</v>
      </c>
    </row>
    <row r="2601" spans="1:4" x14ac:dyDescent="0.2">
      <c r="A2601" s="5">
        <v>2540</v>
      </c>
      <c r="B2601" s="138">
        <f>'Acct Summary 7-8'!F20</f>
        <v>398836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358003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358003</v>
      </c>
      <c r="C2606" s="2" t="s">
        <v>573</v>
      </c>
      <c r="D2606" s="2" t="str">
        <f t="shared" si="39"/>
        <v>Error?</v>
      </c>
    </row>
    <row r="2607" spans="1:4" x14ac:dyDescent="0.2">
      <c r="A2607" s="5">
        <v>2546</v>
      </c>
      <c r="B2607" s="138">
        <f>'Acct Summary 7-8'!G12</f>
        <v>219526</v>
      </c>
      <c r="C2607" s="2" t="s">
        <v>573</v>
      </c>
      <c r="D2607" s="2" t="str">
        <f t="shared" si="39"/>
        <v>Error?</v>
      </c>
    </row>
    <row r="2608" spans="1:4" x14ac:dyDescent="0.2">
      <c r="A2608" s="5">
        <v>2547</v>
      </c>
      <c r="B2608" s="138">
        <f>'Acct Summary 7-8'!G13</f>
        <v>305719</v>
      </c>
      <c r="C2608" s="2" t="s">
        <v>573</v>
      </c>
      <c r="D2608" s="2" t="str">
        <f t="shared" si="39"/>
        <v>Error?</v>
      </c>
    </row>
    <row r="2609" spans="1:4" x14ac:dyDescent="0.2">
      <c r="A2609" s="5">
        <v>2548</v>
      </c>
      <c r="B2609" s="138">
        <f>'Acct Summary 7-8'!G14</f>
        <v>6625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531870</v>
      </c>
      <c r="C2612" s="2" t="s">
        <v>573</v>
      </c>
      <c r="D2612" s="2" t="str">
        <f t="shared" si="39"/>
        <v>Error?</v>
      </c>
    </row>
    <row r="2613" spans="1:4" x14ac:dyDescent="0.2">
      <c r="A2613" s="5">
        <v>2552</v>
      </c>
      <c r="B2613" s="138">
        <f>'Acct Summary 7-8'!G20</f>
        <v>-173867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1860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1860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1127724</v>
      </c>
      <c r="C2634" s="2" t="s">
        <v>573</v>
      </c>
      <c r="D2634" s="2" t="str">
        <f t="shared" si="40"/>
        <v>Error?</v>
      </c>
    </row>
    <row r="2635" spans="1:4" x14ac:dyDescent="0.2">
      <c r="A2635" s="5">
        <v>2574</v>
      </c>
      <c r="B2635" s="138">
        <f>'Acct Summary 7-8'!E17</f>
        <v>1127724</v>
      </c>
      <c r="C2635" s="2" t="s">
        <v>573</v>
      </c>
      <c r="D2635" s="2" t="str">
        <f t="shared" si="40"/>
        <v>Error?</v>
      </c>
    </row>
    <row r="2636" spans="1:4" x14ac:dyDescent="0.2">
      <c r="A2636" s="5">
        <v>2575</v>
      </c>
      <c r="B2636" s="138">
        <f>'Acct Summary 7-8'!E20</f>
        <v>-1125864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340126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340126</v>
      </c>
      <c r="C2658" s="2" t="s">
        <v>573</v>
      </c>
      <c r="D2658" s="2" t="str">
        <f t="shared" si="40"/>
        <v>Error?</v>
      </c>
    </row>
    <row r="2659" spans="1:4" x14ac:dyDescent="0.2">
      <c r="A2659" s="5">
        <v>2598</v>
      </c>
      <c r="B2659" s="138">
        <f>'Acct Summary 7-8'!H13</f>
        <v>7178836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7178836</v>
      </c>
      <c r="C2661" s="2" t="s">
        <v>573</v>
      </c>
      <c r="D2661" s="2" t="str">
        <f t="shared" si="40"/>
        <v>Error?</v>
      </c>
    </row>
    <row r="2662" spans="1:4" x14ac:dyDescent="0.2">
      <c r="A2662" s="5">
        <v>2601</v>
      </c>
      <c r="B2662" s="138">
        <f>'Acct Summary 7-8'!H20</f>
        <v>-6838710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3701490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3400009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t="str">
        <f>'Assets-Liab 5-6'!L5</f>
        <v>xxx</v>
      </c>
      <c r="D2892" s="2" t="e">
        <f t="shared" si="44"/>
        <v>#VALUE!</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70605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3400009</v>
      </c>
      <c r="D2912" s="2" t="str">
        <f t="shared" si="44"/>
        <v>Error?</v>
      </c>
    </row>
    <row r="2913" spans="1:4" x14ac:dyDescent="0.2">
      <c r="A2913" s="5">
        <v>2852</v>
      </c>
      <c r="B2913" s="138">
        <f>'Assets-Liab 5-6'!I41</f>
        <v>3400009</v>
      </c>
      <c r="C2913" s="2" t="s">
        <v>573</v>
      </c>
      <c r="D2913" s="2" t="str">
        <f t="shared" si="44"/>
        <v>Error?</v>
      </c>
    </row>
    <row r="2914" spans="1:4" x14ac:dyDescent="0.2">
      <c r="A2914" s="5">
        <v>2853</v>
      </c>
      <c r="B2914" s="138">
        <f>'Assets-Liab 5-6'!L33</f>
        <v>63283</v>
      </c>
      <c r="D2914" s="2" t="str">
        <f t="shared" si="44"/>
        <v>Error?</v>
      </c>
    </row>
    <row r="2915" spans="1:4" x14ac:dyDescent="0.2">
      <c r="A2915" s="10">
        <v>2854</v>
      </c>
      <c r="D2915" s="2" t="str">
        <f t="shared" si="44"/>
        <v>OK</v>
      </c>
    </row>
    <row r="2916" spans="1:4" x14ac:dyDescent="0.2">
      <c r="A2916" s="5">
        <v>2855</v>
      </c>
      <c r="B2916" s="138">
        <f>'Assets-Liab 5-6'!L34</f>
        <v>63283</v>
      </c>
      <c r="C2916" s="2" t="s">
        <v>573</v>
      </c>
      <c r="D2916" s="2" t="str">
        <f t="shared" si="44"/>
        <v>Error?</v>
      </c>
    </row>
    <row r="2917" spans="1:4" x14ac:dyDescent="0.2">
      <c r="A2917" s="5">
        <v>2856</v>
      </c>
      <c r="B2917" s="138">
        <f>'Assets-Liab 5-6'!L41</f>
        <v>70605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140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28005</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28005</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7322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237592</v>
      </c>
      <c r="C3225" s="2" t="s">
        <v>573</v>
      </c>
      <c r="D3225" s="2" t="str">
        <f t="shared" si="49"/>
        <v>Error?</v>
      </c>
    </row>
    <row r="3226" spans="1:4" x14ac:dyDescent="0.2">
      <c r="A3226" s="5">
        <v>3165</v>
      </c>
      <c r="B3226" s="138">
        <f>'Acct Summary 7-8'!I8</f>
        <v>237592</v>
      </c>
      <c r="C3226" s="2" t="s">
        <v>573</v>
      </c>
      <c r="D3226" s="2" t="str">
        <f t="shared" si="49"/>
        <v>Error?</v>
      </c>
    </row>
    <row r="3227" spans="1:4" x14ac:dyDescent="0.2">
      <c r="A3227" s="5">
        <v>3166</v>
      </c>
      <c r="B3227" s="138">
        <f>'Acct Summary 7-8'!I20</f>
        <v>237592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-18426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1125864</v>
      </c>
      <c r="D3236" s="2" t="str">
        <f t="shared" si="49"/>
        <v>Error?</v>
      </c>
    </row>
    <row r="3237" spans="1:4" x14ac:dyDescent="0.2">
      <c r="A3237" s="5">
        <v>3176</v>
      </c>
      <c r="B3237" s="138">
        <f>'Acct Summary 7-8'!D76</f>
        <v>5675864</v>
      </c>
      <c r="C3237" s="2" t="s">
        <v>573</v>
      </c>
      <c r="D3237" s="2" t="str">
        <f t="shared" si="49"/>
        <v>Error?</v>
      </c>
    </row>
    <row r="3238" spans="1:4" x14ac:dyDescent="0.2">
      <c r="A3238" s="5">
        <v>3177</v>
      </c>
      <c r="B3238" s="138">
        <f>'Acct Summary 7-8'!D77</f>
        <v>-5675864</v>
      </c>
      <c r="C3238" s="2" t="s">
        <v>573</v>
      </c>
      <c r="D3238" s="2" t="str">
        <f t="shared" si="49"/>
        <v>Error?</v>
      </c>
    </row>
    <row r="3239" spans="1:4" x14ac:dyDescent="0.2">
      <c r="A3239" s="5">
        <v>3178</v>
      </c>
      <c r="B3239" s="138">
        <f>'Acct Summary 7-8'!D78</f>
        <v>-2949532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398836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-173867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1125864</v>
      </c>
      <c r="D3273" s="2" t="str">
        <f t="shared" si="50"/>
        <v>Error?</v>
      </c>
    </row>
    <row r="3274" spans="1:4" x14ac:dyDescent="0.2">
      <c r="A3274" s="5">
        <v>3213</v>
      </c>
      <c r="B3274" s="138">
        <f>'Acct Summary 7-8'!E44</f>
        <v>1125864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1125864</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4550000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4550000</v>
      </c>
      <c r="C3299" s="2" t="s">
        <v>573</v>
      </c>
      <c r="D3299" s="2" t="str">
        <f t="shared" si="50"/>
        <v>Error?</v>
      </c>
    </row>
    <row r="3300" spans="1:4" x14ac:dyDescent="0.2">
      <c r="A3300" s="5">
        <v>3239</v>
      </c>
      <c r="B3300" s="138">
        <f>'Acct Summary 7-8'!H78</f>
        <v>-2288710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237592</v>
      </c>
      <c r="C3320" s="2" t="s">
        <v>573</v>
      </c>
      <c r="D3320" s="2" t="str">
        <f t="shared" si="50"/>
        <v>Error?</v>
      </c>
    </row>
    <row r="3321" spans="1:4" x14ac:dyDescent="0.2">
      <c r="A3321" s="5">
        <v>3260</v>
      </c>
      <c r="B3321" s="138">
        <f>'Acct Summary 7-8'!I79</f>
        <v>3162417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3400009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1044172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151680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26364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1222216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106010</v>
      </c>
      <c r="D3387" s="2" t="str">
        <f t="shared" si="51"/>
        <v>Error?</v>
      </c>
    </row>
    <row r="3388" spans="1:4" x14ac:dyDescent="0.2">
      <c r="A3388" s="5">
        <v>3327</v>
      </c>
      <c r="B3388" s="138">
        <f>'Expenditures 15-22'!D217</f>
        <v>90028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106010</v>
      </c>
      <c r="C3390" s="2" t="s">
        <v>573</v>
      </c>
      <c r="D3390" s="2" t="str">
        <f t="shared" si="51"/>
        <v>Error?</v>
      </c>
    </row>
    <row r="3391" spans="1:4" x14ac:dyDescent="0.2">
      <c r="A3391" s="5">
        <v>3330</v>
      </c>
      <c r="B3391" s="138">
        <f>'Expenditures 15-22'!K217</f>
        <v>90028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5987237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1484684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355118</v>
      </c>
      <c r="D3417" s="2" t="str">
        <f t="shared" si="52"/>
        <v>Error?</v>
      </c>
    </row>
    <row r="3418" spans="1:4" x14ac:dyDescent="0.2">
      <c r="A3418" s="10">
        <v>3357</v>
      </c>
      <c r="D3418" s="2" t="str">
        <f t="shared" si="52"/>
        <v>OK</v>
      </c>
    </row>
    <row r="3419" spans="1:4" x14ac:dyDescent="0.2">
      <c r="A3419" s="5">
        <v>3358</v>
      </c>
      <c r="B3419" s="138">
        <f>'Assets-Liab 5-6'!F4</f>
        <v>1777741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222730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502313</v>
      </c>
      <c r="D3425" s="2" t="str">
        <f t="shared" si="52"/>
        <v>Error?</v>
      </c>
    </row>
    <row r="3426" spans="1:4" x14ac:dyDescent="0.2">
      <c r="A3426" s="10">
        <v>3365</v>
      </c>
      <c r="D3426" s="2" t="str">
        <f t="shared" si="52"/>
        <v>OK</v>
      </c>
    </row>
    <row r="3427" spans="1:4" x14ac:dyDescent="0.2">
      <c r="A3427" s="5">
        <v>3366</v>
      </c>
      <c r="B3427" s="138">
        <f>'Assets-Liab 5-6'!I4</f>
        <v>3400009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70605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65842</v>
      </c>
      <c r="C3446" s="2" t="s">
        <v>573</v>
      </c>
      <c r="D3446" s="2" t="str">
        <f t="shared" si="52"/>
        <v>Error?</v>
      </c>
    </row>
    <row r="3447" spans="1:4" x14ac:dyDescent="0.2">
      <c r="A3447" s="5">
        <v>3386</v>
      </c>
      <c r="B3447" s="138">
        <f>'Tax Sched 23'!D16</f>
        <v>6</v>
      </c>
      <c r="C3447" s="2" t="s">
        <v>573</v>
      </c>
      <c r="D3447" s="2" t="str">
        <f t="shared" si="52"/>
        <v>Error?</v>
      </c>
    </row>
    <row r="3448" spans="1:4" x14ac:dyDescent="0.2">
      <c r="A3448" s="5">
        <v>3387</v>
      </c>
      <c r="B3448" s="138">
        <f>'Tax Sched 23'!C16</f>
        <v>65836</v>
      </c>
      <c r="D3448" s="2" t="str">
        <f t="shared" si="52"/>
        <v>Error?</v>
      </c>
    </row>
    <row r="3449" spans="1:4" x14ac:dyDescent="0.2">
      <c r="A3449" s="5">
        <v>3388</v>
      </c>
      <c r="B3449" s="138">
        <f>'Tax Sched 23'!F16</f>
        <v>12517</v>
      </c>
      <c r="C3449" s="2" t="s">
        <v>573</v>
      </c>
      <c r="D3449" s="2" t="str">
        <f t="shared" si="52"/>
        <v>Error?</v>
      </c>
    </row>
    <row r="3450" spans="1:4" x14ac:dyDescent="0.2">
      <c r="A3450" s="5">
        <v>3389</v>
      </c>
      <c r="B3450" s="138">
        <f>'Tax Sched 23'!E16</f>
        <v>78353</v>
      </c>
      <c r="D3450" s="2" t="str">
        <f t="shared" si="52"/>
        <v>Error?</v>
      </c>
    </row>
    <row r="3451" spans="1:4" x14ac:dyDescent="0.2">
      <c r="A3451" s="5">
        <v>3390</v>
      </c>
      <c r="B3451" s="138">
        <f>'Cap Outlay Deprec 26'!C15</f>
        <v>1631807</v>
      </c>
      <c r="D3451" s="2" t="str">
        <f t="shared" si="52"/>
        <v>Error?</v>
      </c>
    </row>
    <row r="3452" spans="1:4" x14ac:dyDescent="0.2">
      <c r="A3452" s="5">
        <v>3391</v>
      </c>
      <c r="B3452" s="138">
        <f>'Cap Outlay Deprec 26'!D15</f>
        <v>3701490</v>
      </c>
      <c r="D3452" s="2" t="str">
        <f t="shared" si="52"/>
        <v>Error?</v>
      </c>
    </row>
    <row r="3453" spans="1:4" x14ac:dyDescent="0.2">
      <c r="A3453" s="5">
        <v>3392</v>
      </c>
      <c r="B3453" s="138">
        <f>'Cap Outlay Deprec 26'!E15</f>
        <v>1631807</v>
      </c>
      <c r="D3453" s="2" t="str">
        <f t="shared" si="52"/>
        <v>Error?</v>
      </c>
    </row>
    <row r="3454" spans="1:4" x14ac:dyDescent="0.2">
      <c r="A3454" s="5">
        <v>3393</v>
      </c>
      <c r="B3454" s="138">
        <f>'Cap Outlay Deprec 26'!F15</f>
        <v>3701490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3701490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178516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178516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178516</v>
      </c>
      <c r="D3567" s="2" t="str">
        <f t="shared" si="54"/>
        <v>Error?</v>
      </c>
    </row>
    <row r="3568" spans="1:4" x14ac:dyDescent="0.2">
      <c r="A3568" s="5">
        <v>3507</v>
      </c>
      <c r="B3568" s="138">
        <f>'Assets-Liab 5-6'!K41</f>
        <v>178516</v>
      </c>
      <c r="C3568" s="2" t="s">
        <v>573</v>
      </c>
      <c r="D3568" s="2" t="str">
        <f t="shared" si="54"/>
        <v>Error?</v>
      </c>
    </row>
    <row r="3569" spans="1:4" x14ac:dyDescent="0.2">
      <c r="A3569" s="5">
        <v>3508</v>
      </c>
      <c r="B3569" s="138">
        <f>'Acct Summary 7-8'!K4</f>
        <v>64518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64518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64518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64518</v>
      </c>
      <c r="C3588" s="2" t="s">
        <v>573</v>
      </c>
      <c r="D3588" s="2" t="str">
        <f t="shared" si="55"/>
        <v>Error?</v>
      </c>
    </row>
    <row r="3589" spans="1:4" x14ac:dyDescent="0.2">
      <c r="A3589" s="5">
        <v>3528</v>
      </c>
      <c r="B3589" s="138">
        <f>'Acct Summary 7-8'!K79</f>
        <v>113998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178516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64518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151743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4126798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14575461</v>
      </c>
      <c r="C4122" s="2" t="s">
        <v>573</v>
      </c>
      <c r="D4122" s="2" t="str">
        <f t="shared" si="63"/>
        <v>Error?</v>
      </c>
    </row>
    <row r="4123" spans="1:4" x14ac:dyDescent="0.2">
      <c r="A4123" s="5">
        <v>4062</v>
      </c>
      <c r="B4123" s="138">
        <f>'Acct Summary 7-8'!D10</f>
        <v>3576593</v>
      </c>
      <c r="C4123" s="2" t="s">
        <v>573</v>
      </c>
      <c r="D4123" s="2" t="str">
        <f t="shared" si="63"/>
        <v>Error?</v>
      </c>
    </row>
    <row r="4124" spans="1:4" x14ac:dyDescent="0.2">
      <c r="A4124" s="5">
        <v>4063</v>
      </c>
      <c r="B4124" s="138">
        <f>'Acct Summary 7-8'!E10</f>
        <v>1860</v>
      </c>
      <c r="C4124" s="2" t="s">
        <v>573</v>
      </c>
      <c r="D4124" s="2" t="str">
        <f t="shared" si="63"/>
        <v>Error?</v>
      </c>
    </row>
    <row r="4125" spans="1:4" x14ac:dyDescent="0.2">
      <c r="A4125" s="5">
        <v>4064</v>
      </c>
      <c r="B4125" s="138">
        <f>'Acct Summary 7-8'!F10</f>
        <v>1006621</v>
      </c>
      <c r="C4125" s="2" t="s">
        <v>573</v>
      </c>
      <c r="D4125" s="2" t="str">
        <f t="shared" si="63"/>
        <v>Error?</v>
      </c>
    </row>
    <row r="4126" spans="1:4" x14ac:dyDescent="0.2">
      <c r="A4126" s="5">
        <v>4065</v>
      </c>
      <c r="B4126" s="138">
        <f>'Acct Summary 7-8'!G10</f>
        <v>358003</v>
      </c>
      <c r="C4126" s="2" t="s">
        <v>573</v>
      </c>
      <c r="D4126" s="2" t="str">
        <f t="shared" si="63"/>
        <v>Error?</v>
      </c>
    </row>
    <row r="4127" spans="1:4" x14ac:dyDescent="0.2">
      <c r="A4127" s="5">
        <v>4066</v>
      </c>
      <c r="B4127" s="138">
        <f>'Acct Summary 7-8'!H10</f>
        <v>340126</v>
      </c>
      <c r="C4127" s="2" t="s">
        <v>573</v>
      </c>
      <c r="D4127" s="2" t="str">
        <f t="shared" si="63"/>
        <v>Error?</v>
      </c>
    </row>
    <row r="4128" spans="1:4" x14ac:dyDescent="0.2">
      <c r="A4128" s="5">
        <v>4067</v>
      </c>
      <c r="B4128" s="138">
        <f>'Acct Summary 7-8'!I10</f>
        <v>237592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64518</v>
      </c>
      <c r="C4130" s="2" t="s">
        <v>573</v>
      </c>
      <c r="D4130" s="2" t="str">
        <f t="shared" si="63"/>
        <v>Error?</v>
      </c>
    </row>
    <row r="4131" spans="1:4" x14ac:dyDescent="0.2">
      <c r="A4131" s="5">
        <v>4070</v>
      </c>
      <c r="B4131" s="138">
        <f>'Acct Summary 7-8'!C18</f>
        <v>4126798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14593887</v>
      </c>
      <c r="C4136" s="2" t="s">
        <v>573</v>
      </c>
      <c r="D4136" s="2" t="str">
        <f t="shared" si="63"/>
        <v>Error?</v>
      </c>
    </row>
    <row r="4137" spans="1:4" x14ac:dyDescent="0.2">
      <c r="A4137" s="5">
        <v>4076</v>
      </c>
      <c r="B4137" s="138">
        <f>'Acct Summary 7-8'!D19</f>
        <v>850261</v>
      </c>
      <c r="C4137" s="2" t="s">
        <v>573</v>
      </c>
      <c r="D4137" s="2" t="str">
        <f t="shared" si="63"/>
        <v>Error?</v>
      </c>
    </row>
    <row r="4138" spans="1:4" x14ac:dyDescent="0.2">
      <c r="A4138" s="5">
        <v>4077</v>
      </c>
      <c r="B4138" s="138">
        <f>'Acct Summary 7-8'!E19</f>
        <v>1127724</v>
      </c>
      <c r="C4138" s="2" t="s">
        <v>573</v>
      </c>
      <c r="D4138" s="2" t="str">
        <f t="shared" si="63"/>
        <v>Error?</v>
      </c>
    </row>
    <row r="4139" spans="1:4" x14ac:dyDescent="0.2">
      <c r="A4139" s="5">
        <v>4078</v>
      </c>
      <c r="B4139" s="138">
        <f>'Acct Summary 7-8'!F19</f>
        <v>607785</v>
      </c>
      <c r="C4139" s="2" t="s">
        <v>573</v>
      </c>
      <c r="D4139" s="2" t="str">
        <f t="shared" si="63"/>
        <v>Error?</v>
      </c>
    </row>
    <row r="4140" spans="1:4" x14ac:dyDescent="0.2">
      <c r="A4140" s="5">
        <v>4079</v>
      </c>
      <c r="B4140" s="138">
        <f>'Acct Summary 7-8'!G19</f>
        <v>531870</v>
      </c>
      <c r="C4140" s="2" t="s">
        <v>573</v>
      </c>
      <c r="D4140" s="2" t="str">
        <f t="shared" si="63"/>
        <v>Error?</v>
      </c>
    </row>
    <row r="4141" spans="1:4" x14ac:dyDescent="0.2">
      <c r="A4141" s="5">
        <v>4080</v>
      </c>
      <c r="B4141" s="138">
        <f>'Acct Summary 7-8'!H19</f>
        <v>7178836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1646112</v>
      </c>
      <c r="C4171" s="2" t="s">
        <v>573</v>
      </c>
      <c r="D4171" s="2" t="str">
        <f t="shared" si="64"/>
        <v>Error?</v>
      </c>
    </row>
    <row r="4172" spans="1:4" x14ac:dyDescent="0.2">
      <c r="A4172" s="5">
        <v>4111</v>
      </c>
      <c r="B4172" s="138">
        <f>'Short-Term Long-Term Debt 24'!J49</f>
        <v>1290994</v>
      </c>
      <c r="C4172" s="2" t="s">
        <v>573</v>
      </c>
      <c r="D4172" s="2" t="str">
        <f t="shared" si="64"/>
        <v>Error?</v>
      </c>
    </row>
    <row r="4173" spans="1:4" x14ac:dyDescent="0.2">
      <c r="A4173" s="5">
        <v>4112</v>
      </c>
      <c r="B4173" s="138">
        <f>'Short-Term Long-Term Debt 24'!H49</f>
        <v>1060533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2700</v>
      </c>
      <c r="C4268" s="2" t="s">
        <v>573</v>
      </c>
      <c r="D4268" s="2" t="str">
        <f t="shared" si="65"/>
        <v>Error?</v>
      </c>
    </row>
    <row r="4269" spans="1:5" x14ac:dyDescent="0.2">
      <c r="A4269" s="12">
        <v>4208</v>
      </c>
      <c r="B4269" s="138">
        <f>'FP Info 3'!J16</f>
        <v>12649671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17028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14392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23815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42163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371341741</v>
      </c>
      <c r="D4995" s="2" t="str">
        <f t="shared" si="77"/>
        <v>Error?</v>
      </c>
    </row>
    <row r="4996" spans="1:4" x14ac:dyDescent="0.2">
      <c r="A4996" s="12">
        <v>4935</v>
      </c>
      <c r="B4996" s="138">
        <f>'FP Info 3'!H31</f>
        <v>51245160.258000001</v>
      </c>
      <c r="D4996" s="2" t="str">
        <f t="shared" si="77"/>
        <v>Error?</v>
      </c>
    </row>
    <row r="4997" spans="1:4" x14ac:dyDescent="0.2">
      <c r="A4997" s="12">
        <v>4936</v>
      </c>
      <c r="B4997" s="138">
        <f>'FP Info 3'!H37</f>
        <v>1646112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7170254</v>
      </c>
      <c r="D5061" s="2" t="str">
        <f t="shared" si="78"/>
        <v>Error?</v>
      </c>
    </row>
    <row r="5062" spans="1:4" x14ac:dyDescent="0.2">
      <c r="A5062" s="10">
        <v>5001</v>
      </c>
      <c r="D5062" s="2" t="str">
        <f t="shared" si="78"/>
        <v>OK</v>
      </c>
    </row>
    <row r="5063" spans="1:4" x14ac:dyDescent="0.2">
      <c r="A5063" s="5">
        <v>5002</v>
      </c>
      <c r="B5063" s="138">
        <f>'Revenues 9-14'!C7</f>
        <v>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7170265</v>
      </c>
      <c r="C5066" s="2" t="s">
        <v>573</v>
      </c>
      <c r="D5066" s="2" t="str">
        <f t="shared" si="78"/>
        <v>Error?</v>
      </c>
    </row>
    <row r="5067" spans="1:4" x14ac:dyDescent="0.2">
      <c r="A5067" s="5">
        <v>5006</v>
      </c>
      <c r="B5067" s="138">
        <f>'Revenues 9-14'!C14</f>
        <v>1373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1843435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1844808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24078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24078</v>
      </c>
      <c r="C5090" s="2" t="s">
        <v>573</v>
      </c>
      <c r="D5090" s="2" t="str">
        <f t="shared" si="78"/>
        <v>Error?</v>
      </c>
    </row>
    <row r="5091" spans="1:4" x14ac:dyDescent="0.2">
      <c r="A5091" s="5">
        <v>5030</v>
      </c>
      <c r="B5091" s="138">
        <f>'Revenues 9-14'!C70</f>
        <v>71</v>
      </c>
      <c r="D5091" s="2" t="str">
        <f t="shared" si="78"/>
        <v>Error?</v>
      </c>
    </row>
    <row r="5092" spans="1:4" x14ac:dyDescent="0.2">
      <c r="A5092" s="5">
        <v>5031</v>
      </c>
      <c r="B5092" s="138">
        <f>'Revenues 9-14'!C71</f>
        <v>551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289</v>
      </c>
      <c r="D5095" s="2" t="str">
        <f t="shared" si="78"/>
        <v>Error?</v>
      </c>
    </row>
    <row r="5096" spans="1:4" x14ac:dyDescent="0.2">
      <c r="A5096" s="5">
        <v>5035</v>
      </c>
      <c r="B5096" s="138">
        <f>'Revenues 9-14'!C75</f>
        <v>130931</v>
      </c>
      <c r="C5096" s="2" t="s">
        <v>573</v>
      </c>
      <c r="D5096" s="2" t="str">
        <f t="shared" si="78"/>
        <v>Error?</v>
      </c>
    </row>
    <row r="5097" spans="1:4" x14ac:dyDescent="0.2">
      <c r="A5097" s="5">
        <v>5036</v>
      </c>
      <c r="B5097" s="138">
        <f>'Revenues 9-14'!C77</f>
        <v>15614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11196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26810</v>
      </c>
      <c r="C5102" s="2" t="s">
        <v>573</v>
      </c>
      <c r="D5102" s="2" t="str">
        <f t="shared" si="78"/>
        <v>Error?</v>
      </c>
    </row>
    <row r="5103" spans="1:4" x14ac:dyDescent="0.2">
      <c r="A5103" s="5">
        <v>5042</v>
      </c>
      <c r="B5103" s="138">
        <f>'Revenues 9-14'!C84</f>
        <v>33001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13892</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46893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61831</v>
      </c>
      <c r="D5119" s="2" t="str">
        <f t="shared" ref="D5119:D5182" si="79">IF(ISBLANK(B5119),"OK",IF(A5119-B5119=0,"OK","Error?"))</f>
        <v>Error?</v>
      </c>
    </row>
    <row r="5120" spans="1:4" x14ac:dyDescent="0.2">
      <c r="A5120" s="5">
        <v>5059</v>
      </c>
      <c r="B5120" s="138">
        <f>'Revenues 9-14'!C108</f>
        <v>106194</v>
      </c>
      <c r="C5120" s="2" t="s">
        <v>573</v>
      </c>
      <c r="D5120" s="2" t="str">
        <f t="shared" si="79"/>
        <v>Error?</v>
      </c>
    </row>
    <row r="5121" spans="1:4" x14ac:dyDescent="0.2">
      <c r="A5121" s="5">
        <v>5060</v>
      </c>
      <c r="B5121" s="138">
        <f>'Revenues 9-14'!C109</f>
        <v>9349979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414122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414122</v>
      </c>
      <c r="C5132" s="2" t="s">
        <v>573</v>
      </c>
      <c r="D5132" s="2" t="str">
        <f t="shared" si="79"/>
        <v>Error?</v>
      </c>
    </row>
    <row r="5133" spans="1:4" x14ac:dyDescent="0.2">
      <c r="A5133" s="5">
        <v>5072</v>
      </c>
      <c r="B5133" s="138">
        <f>'Revenues 9-14'!C125</f>
        <v>4985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4985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9279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9279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1388</v>
      </c>
      <c r="D5167" s="2" t="str">
        <f t="shared" si="79"/>
        <v>Error?</v>
      </c>
    </row>
    <row r="5168" spans="1:4" x14ac:dyDescent="0.2">
      <c r="A5168" s="5">
        <v>5107</v>
      </c>
      <c r="B5168" s="138">
        <f>'Revenues 9-14'!C148</f>
        <v>8539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209442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234383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648505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92487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7846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100333</v>
      </c>
      <c r="C5246" s="2" t="s">
        <v>573</v>
      </c>
      <c r="D5246" s="2" t="str">
        <f t="shared" si="80"/>
        <v>Error?</v>
      </c>
    </row>
    <row r="5247" spans="1:4" x14ac:dyDescent="0.2">
      <c r="A5247" s="5">
        <v>5186</v>
      </c>
      <c r="B5247" s="138">
        <f>'Revenues 9-14'!C200</f>
        <v>78070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78070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216541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216541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450179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450179</v>
      </c>
      <c r="C5326" s="2" t="s">
        <v>573</v>
      </c>
      <c r="D5326" s="2" t="str">
        <f t="shared" si="82"/>
        <v>Error?</v>
      </c>
    </row>
    <row r="5327" spans="1:5" x14ac:dyDescent="0.2">
      <c r="A5327" s="5">
        <v>5266</v>
      </c>
      <c r="B5327" s="138">
        <f>'Revenues 9-14'!C268</f>
        <v>10448663</v>
      </c>
      <c r="C5327" s="2" t="s">
        <v>573</v>
      </c>
      <c r="D5327" s="2" t="str">
        <f t="shared" si="82"/>
        <v>Error?</v>
      </c>
    </row>
    <row r="5328" spans="1:5" x14ac:dyDescent="0.2">
      <c r="A5328" s="5">
        <v>5267</v>
      </c>
      <c r="B5328" s="138">
        <f>'Revenues 9-14'!D5</f>
        <v>1792545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1792545</v>
      </c>
      <c r="C5334" s="2" t="s">
        <v>573</v>
      </c>
      <c r="D5334" s="2" t="str">
        <f t="shared" si="82"/>
        <v>Error?</v>
      </c>
    </row>
    <row r="5335" spans="1:4" x14ac:dyDescent="0.2">
      <c r="A5335" s="5">
        <v>5274</v>
      </c>
      <c r="B5335" s="138">
        <f>'Revenues 9-14'!D14</f>
        <v>343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1717363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1717706</v>
      </c>
      <c r="C5339" s="2" t="s">
        <v>573</v>
      </c>
      <c r="D5339" s="2" t="str">
        <f t="shared" si="82"/>
        <v>Error?</v>
      </c>
    </row>
    <row r="5340" spans="1:4" x14ac:dyDescent="0.2">
      <c r="A5340" s="5">
        <v>5279</v>
      </c>
      <c r="B5340" s="138">
        <f>'Revenues 9-14'!D65</f>
        <v>22241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22241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246</v>
      </c>
      <c r="D5354" s="2" t="str">
        <f t="shared" si="82"/>
        <v>Error?</v>
      </c>
    </row>
    <row r="5355" spans="1:4" x14ac:dyDescent="0.2">
      <c r="A5355" s="5">
        <v>5294</v>
      </c>
      <c r="B5355" s="138">
        <f>'Revenues 9-14'!D108</f>
        <v>801</v>
      </c>
      <c r="C5355" s="2" t="s">
        <v>573</v>
      </c>
      <c r="D5355" s="2" t="str">
        <f t="shared" si="82"/>
        <v>Error?</v>
      </c>
    </row>
    <row r="5356" spans="1:4" x14ac:dyDescent="0.2">
      <c r="A5356" s="5">
        <v>5295</v>
      </c>
      <c r="B5356" s="138">
        <f>'Revenues 9-14'!D109</f>
        <v>3533293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43300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43300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43300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3576593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1860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1860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1860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1860</v>
      </c>
      <c r="C5552" s="2" t="s">
        <v>573</v>
      </c>
      <c r="D5552" s="2" t="str">
        <f t="shared" si="85"/>
        <v>Error?</v>
      </c>
    </row>
    <row r="5553" spans="1:4" x14ac:dyDescent="0.2">
      <c r="A5553" s="5">
        <v>5492</v>
      </c>
      <c r="B5553" s="138">
        <f>'Revenues 9-14'!F5</f>
        <v>709359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709359</v>
      </c>
      <c r="C5557" s="2" t="s">
        <v>573</v>
      </c>
      <c r="D5557" s="2" t="str">
        <f t="shared" si="85"/>
        <v>Error?</v>
      </c>
    </row>
    <row r="5558" spans="1:4" x14ac:dyDescent="0.2">
      <c r="A5558" s="5">
        <v>5497</v>
      </c>
      <c r="B5558" s="138">
        <f>'Revenues 9-14'!F14</f>
        <v>126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5022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1833</v>
      </c>
      <c r="D5586" s="2" t="str">
        <f t="shared" si="86"/>
        <v>Error?</v>
      </c>
    </row>
    <row r="5587" spans="1:4" x14ac:dyDescent="0.2">
      <c r="A5587" s="5">
        <v>5526</v>
      </c>
      <c r="B5587" s="138">
        <f>'Revenues 9-14'!F108</f>
        <v>1833</v>
      </c>
      <c r="C5587" s="2" t="s">
        <v>573</v>
      </c>
      <c r="D5587" s="2" t="str">
        <f t="shared" si="86"/>
        <v>Error?</v>
      </c>
    </row>
    <row r="5588" spans="1:4" x14ac:dyDescent="0.2">
      <c r="A5588" s="5">
        <v>5527</v>
      </c>
      <c r="B5588" s="138">
        <f>'Revenues 9-14'!F109</f>
        <v>716340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159796</v>
      </c>
      <c r="D5615" s="2" t="str">
        <f t="shared" si="86"/>
        <v>Error?</v>
      </c>
    </row>
    <row r="5616" spans="1:4" x14ac:dyDescent="0.2">
      <c r="A5616" s="10">
        <v>5555</v>
      </c>
      <c r="D5616" s="2" t="str">
        <f t="shared" si="86"/>
        <v>OK</v>
      </c>
    </row>
    <row r="5617" spans="1:5" x14ac:dyDescent="0.2">
      <c r="A5617" s="5">
        <v>5556</v>
      </c>
      <c r="B5617" s="138">
        <f>'Revenues 9-14'!F153</f>
        <v>109766</v>
      </c>
      <c r="D5617" s="2" t="str">
        <f t="shared" si="86"/>
        <v>Error?</v>
      </c>
    </row>
    <row r="5618" spans="1:5" x14ac:dyDescent="0.2">
      <c r="A5618" s="5">
        <v>5557</v>
      </c>
      <c r="B5618" s="138">
        <f>'Revenues 9-14'!F155</f>
        <v>269562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20719</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290281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290281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1006621</v>
      </c>
      <c r="C5720" s="2" t="s">
        <v>573</v>
      </c>
      <c r="D5720" s="2" t="str">
        <f t="shared" si="88"/>
        <v>Error?</v>
      </c>
    </row>
    <row r="5721" spans="1:4" x14ac:dyDescent="0.2">
      <c r="A5721" s="5">
        <v>5660</v>
      </c>
      <c r="B5721" s="138">
        <f>'Revenues 9-14'!G5</f>
        <v>77075</v>
      </c>
      <c r="D5721" s="2" t="str">
        <f t="shared" si="88"/>
        <v>Error?</v>
      </c>
    </row>
    <row r="5722" spans="1:4" x14ac:dyDescent="0.2">
      <c r="A5722" s="5">
        <v>5661</v>
      </c>
      <c r="B5722" s="138">
        <f>'Revenues 9-14'!G7</f>
        <v>0</v>
      </c>
      <c r="D5722" s="2" t="str">
        <f t="shared" si="88"/>
        <v>Error?</v>
      </c>
    </row>
    <row r="5723" spans="1:4" x14ac:dyDescent="0.2">
      <c r="A5723" s="5">
        <v>5662</v>
      </c>
      <c r="B5723" s="138">
        <f>'Revenues 9-14'!G8</f>
        <v>65842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142917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212170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212170</v>
      </c>
      <c r="C5730" s="2" t="s">
        <v>573</v>
      </c>
      <c r="D5730" s="2" t="str">
        <f t="shared" si="88"/>
        <v>Error?</v>
      </c>
    </row>
    <row r="5731" spans="1:4" x14ac:dyDescent="0.2">
      <c r="A5731" s="5">
        <v>5670</v>
      </c>
      <c r="B5731" s="138">
        <f>'Revenues 9-14'!G65</f>
        <v>479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2437</v>
      </c>
      <c r="D5736" s="2" t="str">
        <f t="shared" si="88"/>
        <v>Error?</v>
      </c>
    </row>
    <row r="5737" spans="1:4" x14ac:dyDescent="0.2">
      <c r="A5737" s="5">
        <v>5676</v>
      </c>
      <c r="B5737" s="138">
        <f>'Revenues 9-14'!G108</f>
        <v>2437</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358003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14180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14180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325946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340126</v>
      </c>
      <c r="C5915" s="2" t="s">
        <v>573</v>
      </c>
      <c r="D5915" s="2" t="str">
        <f t="shared" si="91"/>
        <v>Error?</v>
      </c>
    </row>
    <row r="5916" spans="1:4" x14ac:dyDescent="0.2">
      <c r="A5916" s="5">
        <v>5855</v>
      </c>
      <c r="B5916" s="138">
        <f>'Revenues 9-14'!I5</f>
        <v>179256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179256</v>
      </c>
      <c r="C5918" s="2" t="s">
        <v>573</v>
      </c>
      <c r="D5918" s="2" t="str">
        <f t="shared" si="91"/>
        <v>Error?</v>
      </c>
    </row>
    <row r="5919" spans="1:4" x14ac:dyDescent="0.2">
      <c r="A5919" s="5">
        <v>5858</v>
      </c>
      <c r="B5919" s="138">
        <f>'Revenues 9-14'!I14</f>
        <v>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573</v>
      </c>
      <c r="D5923" s="2" t="str">
        <f t="shared" si="91"/>
        <v>Error?</v>
      </c>
    </row>
    <row r="5924" spans="1:4" x14ac:dyDescent="0.2">
      <c r="A5924" s="5">
        <v>5863</v>
      </c>
      <c r="B5924" s="138">
        <f>'Revenues 9-14'!I65</f>
        <v>58302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58302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237592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62410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62410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2108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2108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64518</v>
      </c>
      <c r="C6023" s="2" t="s">
        <v>573</v>
      </c>
      <c r="D6023" s="2" t="str">
        <f t="shared" si="93"/>
        <v>Error?</v>
      </c>
    </row>
    <row r="6024" spans="1:5" x14ac:dyDescent="0.2">
      <c r="A6024" s="5">
        <v>5963</v>
      </c>
      <c r="B6024" s="138">
        <f>'Revenues 9-14'!G109</f>
        <v>358003</v>
      </c>
      <c r="C6024" s="2" t="s">
        <v>573</v>
      </c>
      <c r="D6024" s="2" t="str">
        <f t="shared" si="93"/>
        <v>Error?</v>
      </c>
    </row>
    <row r="6025" spans="1:5" x14ac:dyDescent="0.2">
      <c r="A6025" s="5">
        <v>5964</v>
      </c>
      <c r="B6025" s="138">
        <f>'Revenues 9-14'!H109</f>
        <v>340126</v>
      </c>
      <c r="C6025" s="2" t="s">
        <v>573</v>
      </c>
      <c r="D6025" s="2" t="str">
        <f t="shared" si="93"/>
        <v>Error?</v>
      </c>
    </row>
    <row r="6026" spans="1:5" x14ac:dyDescent="0.2">
      <c r="A6026" s="5">
        <v>5965</v>
      </c>
      <c r="B6026" s="138">
        <f>'Revenues 9-14'!I109</f>
        <v>237592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64518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130020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25587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607.1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114650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114650</v>
      </c>
      <c r="D6215" s="2" t="str">
        <f t="shared" si="96"/>
        <v>Error?</v>
      </c>
      <c r="E6215" s="2" t="s">
        <v>190</v>
      </c>
    </row>
    <row r="6216" spans="1:5" x14ac:dyDescent="0.2">
      <c r="A6216">
        <v>6155</v>
      </c>
      <c r="B6216" s="138">
        <f>'Assets-Liab 5-6'!J41</f>
        <v>114650</v>
      </c>
      <c r="D6216" s="2" t="str">
        <f t="shared" si="96"/>
        <v>Error?</v>
      </c>
      <c r="E6216" s="2" t="s">
        <v>190</v>
      </c>
    </row>
    <row r="6217" spans="1:5" x14ac:dyDescent="0.2">
      <c r="A6217">
        <v>6156</v>
      </c>
      <c r="B6217" s="138">
        <f>'Assets-Liab 5-6'!J4</f>
        <v>114650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450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450</v>
      </c>
      <c r="D6229" s="2" t="str">
        <f t="shared" si="96"/>
        <v>Error?</v>
      </c>
      <c r="E6229" s="2" t="s">
        <v>190</v>
      </c>
    </row>
    <row r="6230" spans="1:5" x14ac:dyDescent="0.2">
      <c r="A6230">
        <v>6169</v>
      </c>
      <c r="B6230" s="138">
        <f>'Acct Summary 7-8'!J20</f>
        <v>1625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1625</v>
      </c>
      <c r="D6263" s="2" t="str">
        <f t="shared" si="96"/>
        <v>Error?</v>
      </c>
      <c r="E6263" s="2" t="s">
        <v>190</v>
      </c>
    </row>
    <row r="6264" spans="1:5" x14ac:dyDescent="0.2">
      <c r="A6264">
        <v>6203</v>
      </c>
      <c r="B6264" s="138">
        <f>'Acct Summary 7-8'!J79</f>
        <v>113025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114650</v>
      </c>
      <c r="D6266" s="2" t="str">
        <f t="shared" si="96"/>
        <v>Error?</v>
      </c>
      <c r="E6266" s="2" t="s">
        <v>190</v>
      </c>
    </row>
    <row r="6267" spans="1:5" x14ac:dyDescent="0.2">
      <c r="A6267">
        <v>6206</v>
      </c>
      <c r="B6267" s="138">
        <f>'Acct Summary 7-8'!C82</f>
        <v>-18426</v>
      </c>
      <c r="D6267" s="2" t="str">
        <f t="shared" si="96"/>
        <v>Error?</v>
      </c>
      <c r="E6267" s="2" t="s">
        <v>190</v>
      </c>
    </row>
    <row r="6268" spans="1:5" x14ac:dyDescent="0.2">
      <c r="A6268">
        <v>6207</v>
      </c>
      <c r="B6268" s="138">
        <f>'Acct Summary 7-8'!D82</f>
        <v>-2949532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398836</v>
      </c>
      <c r="D6270" s="2" t="str">
        <f t="shared" si="96"/>
        <v>Error?</v>
      </c>
      <c r="E6270" s="2" t="s">
        <v>190</v>
      </c>
    </row>
    <row r="6271" spans="1:5" x14ac:dyDescent="0.2">
      <c r="A6271">
        <v>6210</v>
      </c>
      <c r="B6271" s="138">
        <f>'Acct Summary 7-8'!G82</f>
        <v>-173867</v>
      </c>
      <c r="D6271" s="2" t="str">
        <f t="shared" ref="D6271:D6334" si="97">IF(ISBLANK(B6271),"OK",IF(A6271-B6271=0,"OK","Error?"))</f>
        <v>Error?</v>
      </c>
      <c r="E6271" s="2" t="s">
        <v>190</v>
      </c>
    </row>
    <row r="6272" spans="1:5" x14ac:dyDescent="0.2">
      <c r="A6272">
        <v>6211</v>
      </c>
      <c r="B6272" s="138">
        <f>'Acct Summary 7-8'!H82</f>
        <v>-2288710</v>
      </c>
      <c r="D6272" s="2" t="str">
        <f t="shared" si="97"/>
        <v>Error?</v>
      </c>
      <c r="E6272" s="2" t="s">
        <v>190</v>
      </c>
    </row>
    <row r="6273" spans="1:5" x14ac:dyDescent="0.2">
      <c r="A6273">
        <v>6212</v>
      </c>
      <c r="B6273" s="138">
        <f>'Acct Summary 7-8'!I82</f>
        <v>237592</v>
      </c>
      <c r="D6273" s="2" t="str">
        <f t="shared" si="97"/>
        <v>Error?</v>
      </c>
      <c r="E6273" s="2" t="s">
        <v>190</v>
      </c>
    </row>
    <row r="6274" spans="1:5" x14ac:dyDescent="0.2">
      <c r="A6274">
        <v>6213</v>
      </c>
      <c r="B6274" s="138">
        <f>'Acct Summary 7-8'!J82</f>
        <v>1625</v>
      </c>
      <c r="D6274" s="2" t="str">
        <f t="shared" si="97"/>
        <v>Error?</v>
      </c>
      <c r="E6274" s="2" t="s">
        <v>190</v>
      </c>
    </row>
    <row r="6275" spans="1:5" x14ac:dyDescent="0.2">
      <c r="A6275">
        <v>6214</v>
      </c>
      <c r="B6275" s="138">
        <f>'Acct Summary 7-8'!K82</f>
        <v>64518</v>
      </c>
      <c r="D6275" s="2" t="str">
        <f t="shared" si="97"/>
        <v>Error?</v>
      </c>
      <c r="E6275" s="2" t="s">
        <v>190</v>
      </c>
    </row>
    <row r="6276" spans="1:5" x14ac:dyDescent="0.2">
      <c r="A6276">
        <v>6215</v>
      </c>
      <c r="B6276" s="138">
        <f>'Acct Summary 7-8'!C83</f>
        <v>-3.0775464542325617E-3</v>
      </c>
      <c r="D6276" s="2" t="str">
        <f t="shared" si="97"/>
        <v>Error?</v>
      </c>
      <c r="E6276" s="2" t="s">
        <v>190</v>
      </c>
    </row>
    <row r="6277" spans="1:5" x14ac:dyDescent="0.2">
      <c r="A6277">
        <v>6216</v>
      </c>
      <c r="B6277" s="138">
        <f>'Acct Summary 7-8'!D83</f>
        <v>-1.9866395812172826</v>
      </c>
      <c r="D6277" s="2" t="str">
        <f t="shared" si="97"/>
        <v>Error?</v>
      </c>
      <c r="E6277" s="2" t="s">
        <v>190</v>
      </c>
    </row>
    <row r="6278" spans="1:5" x14ac:dyDescent="0.2">
      <c r="A6278">
        <v>6217</v>
      </c>
      <c r="B6278" s="138">
        <f>'Acct Summary 7-8'!E83</f>
        <v>0</v>
      </c>
      <c r="D6278" s="2" t="str">
        <f t="shared" si="97"/>
        <v>Error?</v>
      </c>
      <c r="E6278" s="2" t="s">
        <v>190</v>
      </c>
    </row>
    <row r="6279" spans="1:5" x14ac:dyDescent="0.2">
      <c r="A6279">
        <v>6218</v>
      </c>
      <c r="B6279" s="138">
        <f>'Acct Summary 7-8'!F83</f>
        <v>0.22434989123837498</v>
      </c>
      <c r="D6279" s="2" t="str">
        <f t="shared" si="97"/>
        <v>Error?</v>
      </c>
      <c r="E6279" s="2" t="s">
        <v>190</v>
      </c>
    </row>
    <row r="6280" spans="1:5" x14ac:dyDescent="0.2">
      <c r="A6280">
        <v>6219</v>
      </c>
      <c r="B6280" s="138">
        <f>'Acct Summary 7-8'!G83</f>
        <v>-0.7270510997741908</v>
      </c>
      <c r="D6280" s="2" t="str">
        <f t="shared" si="97"/>
        <v>Error?</v>
      </c>
      <c r="E6280" s="2" t="s">
        <v>190</v>
      </c>
    </row>
    <row r="6281" spans="1:5" x14ac:dyDescent="0.2">
      <c r="A6281">
        <v>6220</v>
      </c>
      <c r="B6281" s="138">
        <f>'Acct Summary 7-8'!H83</f>
        <v>-4.5563423602415227</v>
      </c>
      <c r="D6281" s="2" t="str">
        <f t="shared" si="97"/>
        <v>Error?</v>
      </c>
      <c r="E6281" s="2" t="s">
        <v>190</v>
      </c>
    </row>
    <row r="6282" spans="1:5" x14ac:dyDescent="0.2">
      <c r="A6282">
        <v>6221</v>
      </c>
      <c r="B6282" s="138">
        <f>'Acct Summary 7-8'!I83</f>
        <v>6.9879815024019049E-2</v>
      </c>
      <c r="D6282" s="2" t="str">
        <f t="shared" si="97"/>
        <v>Error?</v>
      </c>
      <c r="E6282" s="2" t="s">
        <v>190</v>
      </c>
    </row>
    <row r="6283" spans="1:5" x14ac:dyDescent="0.2">
      <c r="A6283">
        <v>6222</v>
      </c>
      <c r="B6283" s="138">
        <f>'Acct Summary 7-8'!J83</f>
        <v>1.41735717400785E-2</v>
      </c>
      <c r="D6283" s="2" t="str">
        <f t="shared" si="97"/>
        <v>Error?</v>
      </c>
      <c r="E6283" s="2" t="s">
        <v>190</v>
      </c>
    </row>
    <row r="6284" spans="1:5" x14ac:dyDescent="0.2">
      <c r="A6284">
        <v>6223</v>
      </c>
      <c r="B6284" s="138">
        <f>'Acct Summary 7-8'!K83</f>
        <v>0.36141298258979587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4550000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2200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112406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157367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78411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26188</v>
      </c>
      <c r="D6878" s="2" t="str">
        <f t="shared" si="106"/>
        <v>Error?</v>
      </c>
    </row>
    <row r="6879" spans="1:4" x14ac:dyDescent="0.2">
      <c r="A6879">
        <v>6818</v>
      </c>
      <c r="B6879" s="138">
        <f>'Expenditures 15-22'!K21</f>
        <v>26188</v>
      </c>
      <c r="D6879" s="2" t="str">
        <f t="shared" si="106"/>
        <v>Error?</v>
      </c>
    </row>
    <row r="6880" spans="1:4" x14ac:dyDescent="0.2">
      <c r="A6880">
        <v>6819</v>
      </c>
      <c r="B6880" s="138">
        <f>'Expenditures 15-22'!H22</f>
        <v>187249</v>
      </c>
      <c r="D6880" s="2" t="str">
        <f t="shared" si="106"/>
        <v>Error?</v>
      </c>
    </row>
    <row r="6881" spans="1:4" x14ac:dyDescent="0.2">
      <c r="A6881">
        <v>6820</v>
      </c>
      <c r="B6881" s="138">
        <f>'Expenditures 15-22'!K22</f>
        <v>187249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107055</v>
      </c>
      <c r="D6983" s="2" t="str">
        <f t="shared" si="108"/>
        <v>Error?</v>
      </c>
    </row>
    <row r="6984" spans="1:4" x14ac:dyDescent="0.2">
      <c r="A6984">
        <v>6923</v>
      </c>
      <c r="B6984" s="138">
        <f>'Expenditures 15-22'!K86</f>
        <v>107055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23239</v>
      </c>
      <c r="D6987" s="2" t="str">
        <f t="shared" si="108"/>
        <v>Error?</v>
      </c>
    </row>
    <row r="6988" spans="1:4" x14ac:dyDescent="0.2">
      <c r="A6988">
        <v>6927</v>
      </c>
      <c r="B6988" s="138">
        <f>'Expenditures 15-22'!K88</f>
        <v>23239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130294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9126</v>
      </c>
      <c r="D7073" s="2" t="str">
        <f t="shared" si="109"/>
        <v>Error?</v>
      </c>
    </row>
    <row r="7074" spans="1:4" x14ac:dyDescent="0.2">
      <c r="A7074">
        <v>7013</v>
      </c>
      <c r="B7074" s="138">
        <f>'Expenditures 15-22'!K216</f>
        <v>9126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800</v>
      </c>
      <c r="D7079" s="2" t="str">
        <f t="shared" si="109"/>
        <v>Error?</v>
      </c>
    </row>
    <row r="7080" spans="1:4" x14ac:dyDescent="0.2">
      <c r="A7080">
        <v>7019</v>
      </c>
      <c r="B7080" s="138">
        <f>'Expenditures 15-22'!K226</f>
        <v>800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450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450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450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450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450</v>
      </c>
      <c r="D7224" s="2" t="str">
        <f t="shared" si="111"/>
        <v>Error?</v>
      </c>
    </row>
    <row r="7225" spans="1:4" x14ac:dyDescent="0.2">
      <c r="A7225">
        <v>7164</v>
      </c>
      <c r="B7225" s="138">
        <f>'Expenditures 15-22'!K343</f>
        <v>1625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33253</v>
      </c>
      <c r="D7246" s="2" t="str">
        <f t="shared" si="112"/>
        <v>Error?</v>
      </c>
    </row>
    <row r="7247" spans="1:4" x14ac:dyDescent="0.2">
      <c r="A7247">
        <f t="shared" si="113"/>
        <v>7186</v>
      </c>
      <c r="B7247" s="138">
        <f>'Expenditures 15-22'!E7</f>
        <v>779</v>
      </c>
      <c r="D7247" s="2" t="str">
        <f t="shared" si="112"/>
        <v>Error?</v>
      </c>
    </row>
    <row r="7248" spans="1:4" x14ac:dyDescent="0.2">
      <c r="A7248">
        <f t="shared" si="113"/>
        <v>7187</v>
      </c>
      <c r="B7248" s="138">
        <f>'Expenditures 15-22'!F7</f>
        <v>10929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57374</v>
      </c>
      <c r="D7263" s="2" t="str">
        <f t="shared" si="112"/>
        <v>Error?</v>
      </c>
    </row>
    <row r="7264" spans="1:4" x14ac:dyDescent="0.2">
      <c r="A7264">
        <f t="shared" si="113"/>
        <v>7203</v>
      </c>
      <c r="B7264" s="138">
        <f>'Expenditures 15-22'!D17</f>
        <v>21037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1090555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4550000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793325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244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2200</v>
      </c>
      <c r="D7712" s="2" t="str">
        <f t="shared" si="126"/>
        <v>Error?</v>
      </c>
      <c r="E7712" s="2" t="s">
        <v>827</v>
      </c>
    </row>
    <row r="7713" spans="1:6" x14ac:dyDescent="0.2">
      <c r="A7713">
        <v>7652</v>
      </c>
      <c r="B7713" s="138">
        <f>'Rest Tax Levies-Tort Im 25'!J8</f>
        <v>325946</v>
      </c>
      <c r="D7713" s="2" t="str">
        <f t="shared" si="126"/>
        <v>Error?</v>
      </c>
      <c r="E7713" s="2" t="s">
        <v>827</v>
      </c>
    </row>
    <row r="7714" spans="1:6" x14ac:dyDescent="0.2">
      <c r="A7714">
        <v>7653</v>
      </c>
      <c r="B7714" s="138">
        <f>'Rest Tax Levies-Tort Im 25'!K9</f>
        <v>8539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326190</v>
      </c>
      <c r="D7718" s="2" t="str">
        <f t="shared" si="126"/>
        <v>Error?</v>
      </c>
      <c r="E7718" s="2" t="s">
        <v>827</v>
      </c>
    </row>
    <row r="7719" spans="1:6" x14ac:dyDescent="0.2">
      <c r="A7719">
        <v>7658</v>
      </c>
      <c r="B7719" s="138">
        <f>'Rest Tax Levies-Tort Im 25'!K12</f>
        <v>10739</v>
      </c>
      <c r="D7719" s="2" t="str">
        <f t="shared" si="126"/>
        <v>Error?</v>
      </c>
      <c r="E7719" s="2" t="s">
        <v>827</v>
      </c>
    </row>
    <row r="7720" spans="1:6" x14ac:dyDescent="0.2">
      <c r="A7720">
        <v>7659</v>
      </c>
      <c r="B7720" s="138">
        <f>'Rest Tax Levies-Tort Im 25'!H14</f>
        <v>11</v>
      </c>
      <c r="D7720" s="2" t="str">
        <f t="shared" si="126"/>
        <v>Error?</v>
      </c>
      <c r="E7720" s="2" t="s">
        <v>827</v>
      </c>
    </row>
    <row r="7721" spans="1:6" x14ac:dyDescent="0.2">
      <c r="A7721">
        <v>7660</v>
      </c>
      <c r="B7721" s="138">
        <f>'Rest Tax Levies-Tort Im 25'!K14</f>
        <v>10739</v>
      </c>
      <c r="D7721" s="2" t="str">
        <f t="shared" si="126"/>
        <v>Error?</v>
      </c>
      <c r="E7721" s="2" t="s">
        <v>827</v>
      </c>
    </row>
    <row r="7722" spans="1:6" x14ac:dyDescent="0.2">
      <c r="A7722">
        <v>7661</v>
      </c>
      <c r="B7722" s="138">
        <f>'Rest Tax Levies-Tort Im 25'!J15</f>
        <v>617202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617202</v>
      </c>
      <c r="D7730" s="2" t="str">
        <f t="shared" si="126"/>
        <v>Error?</v>
      </c>
      <c r="E7730" s="2" t="s">
        <v>827</v>
      </c>
    </row>
    <row r="7731" spans="1:6" x14ac:dyDescent="0.2">
      <c r="A7731">
        <v>7670</v>
      </c>
      <c r="B7731" s="138">
        <f>'Revenues 9-14'!H103</f>
        <v>325946</v>
      </c>
      <c r="D7731" s="2" t="str">
        <f t="shared" si="126"/>
        <v>Error?</v>
      </c>
      <c r="E7731" s="2" t="s">
        <v>827</v>
      </c>
    </row>
    <row r="7732" spans="1:6" x14ac:dyDescent="0.2">
      <c r="A7732">
        <v>7671</v>
      </c>
      <c r="B7732" s="138">
        <f>'Rest Tax Levies-Tort Im 25'!J24</f>
        <v>502313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502313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51" t="s">
        <v>1191</v>
      </c>
      <c r="B2" s="2451"/>
      <c r="C2" s="2451"/>
      <c r="D2" s="2451"/>
      <c r="E2" s="2451"/>
      <c r="F2" s="2451"/>
      <c r="G2" s="2451"/>
      <c r="H2" s="2451"/>
      <c r="I2" s="2451"/>
      <c r="J2" s="2451"/>
      <c r="K2" s="2451"/>
      <c r="L2" s="2451"/>
    </row>
    <row r="3" spans="1:29" ht="13.5" customHeight="1" x14ac:dyDescent="0.2">
      <c r="A3" s="2437" t="s">
        <v>1190</v>
      </c>
      <c r="B3" s="2437"/>
      <c r="C3" s="2437"/>
      <c r="D3" s="2437"/>
      <c r="E3" s="2437"/>
      <c r="F3" s="2437"/>
      <c r="G3" s="2437"/>
      <c r="H3" s="2437"/>
      <c r="I3" s="2437"/>
      <c r="J3" s="2437"/>
      <c r="K3" s="2437"/>
      <c r="L3" s="2437"/>
    </row>
    <row r="4" spans="1:29" ht="13.5" customHeight="1" x14ac:dyDescent="0.2">
      <c r="A4" s="2451" t="s">
        <v>1989</v>
      </c>
      <c r="B4" s="2468"/>
      <c r="C4" s="2468"/>
      <c r="D4" s="2468"/>
      <c r="E4" s="2468"/>
      <c r="F4" s="2468"/>
      <c r="G4" s="2468"/>
      <c r="H4" s="2468"/>
      <c r="I4" s="2468"/>
      <c r="J4" s="2468"/>
      <c r="K4" s="2468"/>
      <c r="L4" s="246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31" t="str">
        <f>COVER!A17</f>
        <v>Erie CUSD 1</v>
      </c>
      <c r="B7" s="2432"/>
      <c r="C7" s="2432"/>
      <c r="D7" s="2469"/>
      <c r="E7" s="2470">
        <f>COVER!A13</f>
        <v>47098001026</v>
      </c>
      <c r="F7" s="2471"/>
      <c r="G7" s="2438" t="str">
        <f>COVER!T23</f>
        <v>066-005027</v>
      </c>
      <c r="H7" s="2439"/>
      <c r="I7" s="2439"/>
      <c r="J7" s="2439"/>
      <c r="K7" s="2439"/>
      <c r="L7" s="244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41"/>
      <c r="B9" s="2442"/>
      <c r="C9" s="2442"/>
      <c r="D9" s="2442"/>
      <c r="E9" s="2442"/>
      <c r="F9" s="2443"/>
      <c r="G9" s="2444" t="str">
        <f>COVER!T13</f>
        <v>Gorenz and Associates, Ltd.</v>
      </c>
      <c r="H9" s="2445"/>
      <c r="I9" s="2445"/>
      <c r="J9" s="2445"/>
      <c r="K9" s="2445"/>
      <c r="L9" s="2446"/>
    </row>
    <row r="10" spans="1:29" ht="13.5" customHeight="1" x14ac:dyDescent="0.2">
      <c r="A10" s="2428" t="str">
        <f>COVER!A38</f>
        <v>Marty Felesena</v>
      </c>
      <c r="B10" s="2429"/>
      <c r="C10" s="2429"/>
      <c r="D10" s="2429"/>
      <c r="E10" s="2429"/>
      <c r="F10" s="2430"/>
      <c r="G10" s="2444" t="str">
        <f>COVER!T17</f>
        <v>4200 N Knoxville Ave</v>
      </c>
      <c r="H10" s="2457"/>
      <c r="I10" s="2457"/>
      <c r="J10" s="2457"/>
      <c r="K10" s="2457"/>
      <c r="L10" s="2458"/>
    </row>
    <row r="11" spans="1:29" ht="13.5" customHeight="1" x14ac:dyDescent="0.2">
      <c r="A11" s="1181" t="s">
        <v>1519</v>
      </c>
      <c r="B11" s="1182"/>
      <c r="C11" s="1183"/>
      <c r="D11" s="1188"/>
      <c r="E11" s="1183"/>
      <c r="F11" s="1187"/>
      <c r="G11" s="2444" t="str">
        <f>COVER!T19</f>
        <v>Peoria</v>
      </c>
      <c r="H11" s="2457"/>
      <c r="I11" s="2457"/>
      <c r="J11" s="2457"/>
      <c r="K11" s="2457"/>
      <c r="L11" s="2458"/>
    </row>
    <row r="12" spans="1:29" ht="13.5" customHeight="1" x14ac:dyDescent="0.2">
      <c r="A12" s="2462" t="s">
        <v>1518</v>
      </c>
      <c r="B12" s="2463"/>
      <c r="C12" s="2463"/>
      <c r="D12" s="2463"/>
      <c r="E12" s="2463"/>
      <c r="F12" s="2464"/>
      <c r="G12" s="2459"/>
      <c r="H12" s="2460"/>
      <c r="I12" s="2460"/>
      <c r="J12" s="2460"/>
      <c r="K12" s="2460"/>
      <c r="L12" s="2461"/>
    </row>
    <row r="13" spans="1:29" ht="13.5" customHeight="1" x14ac:dyDescent="0.2">
      <c r="A13" s="2444"/>
      <c r="B13" s="2457"/>
      <c r="C13" s="2457"/>
      <c r="D13" s="2457"/>
      <c r="E13" s="2457"/>
      <c r="F13" s="2458"/>
      <c r="G13" s="2452" t="s">
        <v>1520</v>
      </c>
      <c r="H13" s="2453"/>
      <c r="I13" s="2465" t="str">
        <f>COVER!T25</f>
        <v>rrumbold@gorenzcpa.com</v>
      </c>
      <c r="J13" s="2466"/>
      <c r="K13" s="2466"/>
      <c r="L13" s="2467"/>
    </row>
    <row r="14" spans="1:29" ht="13.5" customHeight="1" x14ac:dyDescent="0.2">
      <c r="A14" s="2444" t="str">
        <f>COVER!A19</f>
        <v>520 Fifth Avenue</v>
      </c>
      <c r="B14" s="2457"/>
      <c r="C14" s="2457"/>
      <c r="D14" s="2457"/>
      <c r="E14" s="2457"/>
      <c r="F14" s="2458"/>
      <c r="G14" s="1192" t="s">
        <v>1185</v>
      </c>
      <c r="H14" s="1190"/>
      <c r="I14" s="1190"/>
      <c r="J14" s="1190"/>
      <c r="K14" s="1190"/>
      <c r="L14" s="1191"/>
    </row>
    <row r="15" spans="1:29" ht="13.5" customHeight="1" x14ac:dyDescent="0.2">
      <c r="A15" s="2444" t="str">
        <f>COVER!A21</f>
        <v>Erie</v>
      </c>
      <c r="B15" s="2457"/>
      <c r="C15" s="2457"/>
      <c r="D15" s="2457"/>
      <c r="E15" s="2457"/>
      <c r="F15" s="2458"/>
      <c r="G15" s="2454" t="str">
        <f>COVER!T15</f>
        <v>Russell J. Rumbold II, CPA</v>
      </c>
      <c r="H15" s="2455"/>
      <c r="I15" s="2455"/>
      <c r="J15" s="2455"/>
      <c r="K15" s="2455"/>
      <c r="L15" s="2456"/>
    </row>
    <row r="16" spans="1:29" ht="12.2" customHeight="1" x14ac:dyDescent="0.2">
      <c r="A16" s="2434">
        <f>COVER!A25</f>
        <v>61250</v>
      </c>
      <c r="B16" s="2435"/>
      <c r="C16" s="2435"/>
      <c r="D16" s="2435"/>
      <c r="E16" s="2435"/>
      <c r="F16" s="2436"/>
      <c r="G16" s="2447"/>
      <c r="H16" s="2448"/>
      <c r="I16" s="2448"/>
      <c r="J16" s="2448"/>
      <c r="K16" s="2448"/>
      <c r="L16" s="2449"/>
    </row>
    <row r="17" spans="1:13" ht="12.2" customHeight="1" x14ac:dyDescent="0.2">
      <c r="A17" s="2450"/>
      <c r="B17" s="2435"/>
      <c r="C17" s="2435"/>
      <c r="D17" s="2435"/>
      <c r="E17" s="2435"/>
      <c r="F17" s="2436"/>
      <c r="G17" s="1192" t="s">
        <v>1184</v>
      </c>
      <c r="H17" s="1190"/>
      <c r="I17" s="1190"/>
      <c r="J17" s="1190"/>
      <c r="K17" s="1194" t="s">
        <v>1183</v>
      </c>
      <c r="L17" s="1187"/>
      <c r="M17" s="1180"/>
    </row>
    <row r="18" spans="1:13" ht="12.2" customHeight="1" x14ac:dyDescent="0.2">
      <c r="A18" s="2428"/>
      <c r="B18" s="2429"/>
      <c r="C18" s="2429"/>
      <c r="D18" s="2429"/>
      <c r="E18" s="2429"/>
      <c r="F18" s="2430"/>
      <c r="G18" s="2431" t="str">
        <f>COVER!T21</f>
        <v>309-685-7621</v>
      </c>
      <c r="H18" s="2432"/>
      <c r="I18" s="2432"/>
      <c r="J18" s="2432"/>
      <c r="K18" s="2431" t="str">
        <f>COVER!X21</f>
        <v>309-685-4758</v>
      </c>
      <c r="L18" s="243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72" t="str">
        <f>'Single Audit Cover'!A7</f>
        <v>Erie CUSD 1</v>
      </c>
      <c r="B1" s="2468"/>
      <c r="C1" s="2468"/>
      <c r="D1" s="2468"/>
    </row>
    <row r="2" spans="1:11" s="1209" customFormat="1" ht="12.75" x14ac:dyDescent="0.2">
      <c r="A2" s="2473">
        <f>'Single Audit Cover'!E7</f>
        <v>47098001026</v>
      </c>
      <c r="B2" s="2474"/>
      <c r="C2" s="2474"/>
      <c r="D2" s="2474"/>
    </row>
    <row r="3" spans="1:11" s="1209" customFormat="1" ht="12.75" x14ac:dyDescent="0.2">
      <c r="A3" s="2472" t="s">
        <v>1513</v>
      </c>
      <c r="B3" s="2468"/>
      <c r="C3" s="2468"/>
      <c r="D3" s="246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6" t="str">
        <f>'Single Audit Cover'!A7</f>
        <v>Erie CUSD 1</v>
      </c>
      <c r="B1" s="2476"/>
      <c r="C1" s="2476"/>
      <c r="D1" s="2476"/>
      <c r="E1" s="2476"/>
    </row>
    <row r="2" spans="1:5" x14ac:dyDescent="0.2">
      <c r="A2" s="2477">
        <f>'Single Audit Cover'!E7</f>
        <v>47098001026</v>
      </c>
      <c r="B2" s="2477"/>
      <c r="C2" s="2477"/>
      <c r="D2" s="2477"/>
      <c r="E2" s="2477"/>
    </row>
    <row r="3" spans="1:5" ht="4.5" customHeight="1" x14ac:dyDescent="0.2"/>
    <row r="4" spans="1:5" x14ac:dyDescent="0.2">
      <c r="A4" s="2476" t="s">
        <v>1245</v>
      </c>
      <c r="B4" s="2476"/>
      <c r="C4" s="2476"/>
      <c r="D4" s="2476"/>
      <c r="E4" s="2476"/>
    </row>
    <row r="5" spans="1:5" x14ac:dyDescent="0.2">
      <c r="A5" s="2479" t="str">
        <f>'Single Audit Cover'!A4</f>
        <v>Year Ending June 30, 2019</v>
      </c>
      <c r="B5" s="2479"/>
      <c r="C5" s="2479"/>
      <c r="D5" s="2479"/>
      <c r="E5" s="2479"/>
    </row>
    <row r="6" spans="1:5" x14ac:dyDescent="0.2">
      <c r="A6" s="2476" t="s">
        <v>1244</v>
      </c>
      <c r="B6" s="2476"/>
      <c r="C6" s="2476"/>
      <c r="D6" s="2476"/>
      <c r="E6" s="2476"/>
    </row>
    <row r="8" spans="1:5" x14ac:dyDescent="0.2">
      <c r="A8" s="1254" t="s">
        <v>1243</v>
      </c>
    </row>
    <row r="10" spans="1:5" x14ac:dyDescent="0.2">
      <c r="A10" s="1255" t="s">
        <v>1242</v>
      </c>
      <c r="B10" s="1256" t="s">
        <v>1241</v>
      </c>
      <c r="C10" s="1256"/>
      <c r="D10" s="1257">
        <f>SUM('Acct Summary 7-8'!C7:K7)</f>
        <v>450179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25587</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-14392</v>
      </c>
    </row>
    <row r="19" spans="1:4" ht="13.5" thickBot="1" x14ac:dyDescent="0.25">
      <c r="A19" s="1259" t="s">
        <v>1235</v>
      </c>
      <c r="D19" s="1260">
        <f>SUM(D10:D17)</f>
        <v>461374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8"/>
      <c r="B24" s="2478"/>
      <c r="D24" s="1262"/>
    </row>
    <row r="25" spans="1:4" x14ac:dyDescent="0.2">
      <c r="A25" s="2475"/>
      <c r="B25" s="2475"/>
      <c r="D25" s="1262"/>
    </row>
    <row r="26" spans="1:4" x14ac:dyDescent="0.2">
      <c r="A26" s="2475"/>
      <c r="B26" s="2475"/>
      <c r="D26" s="1262"/>
    </row>
    <row r="27" spans="1:4" x14ac:dyDescent="0.2">
      <c r="A27" s="2475"/>
      <c r="B27" s="2475"/>
      <c r="D27" s="1262"/>
    </row>
    <row r="28" spans="1:4" x14ac:dyDescent="0.2">
      <c r="A28" s="2475"/>
      <c r="B28" s="2475"/>
      <c r="D28" s="1262"/>
    </row>
    <row r="29" spans="1:4" x14ac:dyDescent="0.2">
      <c r="A29" s="2475"/>
      <c r="B29" s="2475"/>
      <c r="D29" s="1262"/>
    </row>
    <row r="30" spans="1:4" x14ac:dyDescent="0.2">
      <c r="A30" s="2475"/>
      <c r="B30" s="2475"/>
      <c r="D30" s="1262"/>
    </row>
    <row r="32" spans="1:4" x14ac:dyDescent="0.2">
      <c r="A32" s="1254" t="s">
        <v>1233</v>
      </c>
      <c r="D32" s="1257">
        <f>SUM(D19:D30)</f>
        <v>461374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75"/>
      <c r="B40" s="2475"/>
      <c r="D40" s="1262"/>
    </row>
    <row r="41" spans="1:4" x14ac:dyDescent="0.2">
      <c r="A41" s="2475"/>
      <c r="B41" s="2475"/>
      <c r="D41" s="1265"/>
    </row>
    <row r="42" spans="1:4" x14ac:dyDescent="0.2">
      <c r="A42" s="2475"/>
      <c r="B42" s="2475"/>
      <c r="D42" s="1265"/>
    </row>
    <row r="43" spans="1:4" x14ac:dyDescent="0.2">
      <c r="A43" s="2475"/>
      <c r="B43" s="2475"/>
      <c r="D43" s="1265"/>
    </row>
    <row r="44" spans="1:4" x14ac:dyDescent="0.2">
      <c r="A44" s="2475"/>
      <c r="B44" s="2475"/>
      <c r="D44" s="1265"/>
    </row>
    <row r="45" spans="1:4" x14ac:dyDescent="0.2">
      <c r="A45" s="2475"/>
      <c r="B45" s="2475"/>
      <c r="D45" s="1265"/>
    </row>
    <row r="47" spans="1:4" x14ac:dyDescent="0.2">
      <c r="B47" s="1266" t="s">
        <v>1227</v>
      </c>
      <c r="C47" s="1266"/>
      <c r="D47" s="1267">
        <f>SUM(D35:D45)</f>
        <v>0</v>
      </c>
    </row>
    <row r="49" spans="2:4" x14ac:dyDescent="0.2">
      <c r="B49" s="1266" t="s">
        <v>1226</v>
      </c>
      <c r="C49" s="1266"/>
      <c r="D49" s="1267">
        <f>D32-D47</f>
        <v>461374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7" t="str">
        <f>'Single Audit Cover'!A7</f>
        <v>Erie CUSD 1</v>
      </c>
      <c r="C1" s="2480"/>
      <c r="D1" s="2480"/>
      <c r="E1" s="2480"/>
      <c r="F1" s="2480"/>
      <c r="G1" s="2480"/>
      <c r="H1" s="2480"/>
      <c r="I1" s="2480"/>
      <c r="J1" s="2480"/>
      <c r="K1" s="2480"/>
      <c r="L1" s="2480"/>
      <c r="M1" s="2480"/>
    </row>
    <row r="2" spans="2:14" ht="15" x14ac:dyDescent="0.2">
      <c r="B2" s="2481">
        <f>'Single Audit Cover'!E7</f>
        <v>47098001026</v>
      </c>
      <c r="C2" s="2481"/>
      <c r="D2" s="2481"/>
      <c r="E2" s="2481"/>
      <c r="F2" s="2481"/>
      <c r="G2" s="2481"/>
      <c r="H2" s="2481"/>
      <c r="I2" s="2481"/>
      <c r="J2" s="2481"/>
      <c r="K2" s="2481"/>
      <c r="L2" s="2481"/>
      <c r="M2" s="2481"/>
      <c r="N2" s="1296"/>
    </row>
    <row r="3" spans="2:14" ht="15" x14ac:dyDescent="0.2">
      <c r="B3" s="2482" t="s">
        <v>1219</v>
      </c>
      <c r="C3" s="2482"/>
      <c r="D3" s="2482"/>
      <c r="E3" s="2482"/>
      <c r="F3" s="2482"/>
      <c r="G3" s="2482"/>
      <c r="H3" s="2482"/>
      <c r="I3" s="2482"/>
      <c r="J3" s="2482"/>
      <c r="K3" s="2482"/>
      <c r="L3" s="2482"/>
      <c r="M3" s="2482"/>
      <c r="N3" s="1296"/>
    </row>
    <row r="4" spans="2:14" ht="15" x14ac:dyDescent="0.2">
      <c r="B4" s="2483" t="str">
        <f>'Single Audit Cover'!A4</f>
        <v>Year Ending June 30, 2019</v>
      </c>
      <c r="C4" s="2483"/>
      <c r="D4" s="2483"/>
      <c r="E4" s="2483"/>
      <c r="F4" s="2483"/>
      <c r="G4" s="2483"/>
      <c r="H4" s="2483"/>
      <c r="I4" s="2483"/>
      <c r="J4" s="2483"/>
      <c r="K4" s="2483"/>
      <c r="L4" s="2483"/>
      <c r="M4" s="248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85" t="str">
        <f>'Single Audit Cover'!A7</f>
        <v>Erie CUSD 1</v>
      </c>
      <c r="B1" s="2485"/>
      <c r="C1" s="2485"/>
      <c r="D1" s="2485"/>
      <c r="E1" s="2485"/>
      <c r="F1" s="2485"/>
    </row>
    <row r="2" spans="1:7" ht="13.5" customHeight="1" x14ac:dyDescent="0.2">
      <c r="A2" s="2481">
        <f>'Single Audit Cover'!E7</f>
        <v>47098001026</v>
      </c>
      <c r="B2" s="2481"/>
      <c r="C2" s="2481"/>
      <c r="D2" s="2481"/>
      <c r="E2" s="2481"/>
      <c r="F2" s="2481"/>
      <c r="G2" s="1269"/>
    </row>
    <row r="3" spans="1:7" ht="15.75" customHeight="1" x14ac:dyDescent="0.2">
      <c r="A3" s="2486" t="s">
        <v>1271</v>
      </c>
      <c r="B3" s="2486"/>
      <c r="C3" s="2486"/>
      <c r="D3" s="2486"/>
      <c r="E3" s="2486"/>
      <c r="F3" s="2486"/>
    </row>
    <row r="4" spans="1:7" ht="13.5" customHeight="1" x14ac:dyDescent="0.2">
      <c r="A4" s="2487" t="str">
        <f>'Single Audit Cover'!A4</f>
        <v>Year Ending June 30, 2019</v>
      </c>
      <c r="B4" s="2487"/>
      <c r="C4" s="2487"/>
      <c r="D4" s="2487"/>
      <c r="E4" s="2487"/>
      <c r="F4" s="2487"/>
    </row>
    <row r="5" spans="1:7" ht="8.25" customHeight="1" x14ac:dyDescent="0.2">
      <c r="C5" s="317"/>
      <c r="D5" s="317"/>
    </row>
    <row r="6" spans="1:7" ht="13.5" customHeight="1" x14ac:dyDescent="0.2">
      <c r="A6" s="1270" t="s">
        <v>1728</v>
      </c>
      <c r="C6" s="317"/>
      <c r="D6" s="317"/>
    </row>
    <row r="7" spans="1:7" ht="60.95" customHeight="1" x14ac:dyDescent="0.2">
      <c r="A7" s="2484" t="s">
        <v>1729</v>
      </c>
      <c r="B7" s="2484"/>
      <c r="C7" s="2484"/>
      <c r="D7" s="2484"/>
      <c r="E7" s="2484"/>
      <c r="F7" s="248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84" t="s">
        <v>1731</v>
      </c>
      <c r="B13" s="2484"/>
      <c r="C13" s="2484"/>
      <c r="D13" s="2484"/>
      <c r="E13" s="2484"/>
      <c r="F13" s="2484"/>
    </row>
    <row r="14" spans="1:7" ht="9.75" customHeight="1" x14ac:dyDescent="0.2">
      <c r="C14" s="1254"/>
      <c r="D14" s="1254"/>
    </row>
    <row r="15" spans="1:7" ht="13.5" customHeight="1" x14ac:dyDescent="0.2">
      <c r="C15" s="1843" t="s">
        <v>1270</v>
      </c>
      <c r="D15" s="2489" t="s">
        <v>1269</v>
      </c>
      <c r="E15" s="2489"/>
      <c r="F15" s="2489"/>
    </row>
    <row r="16" spans="1:7" ht="13.5" customHeight="1" x14ac:dyDescent="0.2">
      <c r="A16" s="1276"/>
      <c r="B16" s="1270" t="s">
        <v>1268</v>
      </c>
      <c r="C16" s="1843" t="s">
        <v>1267</v>
      </c>
      <c r="D16" s="2490" t="s">
        <v>1588</v>
      </c>
      <c r="E16" s="2490"/>
      <c r="F16" s="2490"/>
    </row>
    <row r="17" spans="1:6" ht="20.45" customHeight="1" x14ac:dyDescent="0.2">
      <c r="A17" s="1277"/>
      <c r="B17" s="1278"/>
      <c r="C17" s="1279"/>
      <c r="D17" s="2488"/>
      <c r="E17" s="2488"/>
      <c r="F17" s="2488"/>
    </row>
    <row r="18" spans="1:6" ht="20.65" customHeight="1" x14ac:dyDescent="0.2">
      <c r="A18" s="1277"/>
      <c r="B18" s="1278"/>
      <c r="C18" s="1279"/>
      <c r="D18" s="2488"/>
      <c r="E18" s="2488"/>
      <c r="F18" s="2488"/>
    </row>
    <row r="19" spans="1:6" ht="20.65" customHeight="1" x14ac:dyDescent="0.2">
      <c r="A19" s="1277"/>
      <c r="B19" s="1278"/>
      <c r="C19" s="1279"/>
      <c r="D19" s="2488"/>
      <c r="E19" s="2488"/>
      <c r="F19" s="2488"/>
    </row>
    <row r="20" spans="1:6" ht="20.65" customHeight="1" x14ac:dyDescent="0.2">
      <c r="A20" s="1277"/>
      <c r="B20" s="1278"/>
      <c r="C20" s="1279"/>
      <c r="D20" s="2488"/>
      <c r="E20" s="2488"/>
      <c r="F20" s="2488"/>
    </row>
    <row r="21" spans="1:6" ht="20.65" customHeight="1" x14ac:dyDescent="0.2">
      <c r="A21" s="1277"/>
      <c r="B21" s="1278"/>
      <c r="C21" s="1279"/>
      <c r="D21" s="2488"/>
      <c r="E21" s="2488"/>
      <c r="F21" s="2488"/>
    </row>
    <row r="22" spans="1:6" ht="20.65" customHeight="1" x14ac:dyDescent="0.2">
      <c r="A22" s="1277"/>
      <c r="B22" s="1278"/>
      <c r="C22" s="1279"/>
      <c r="D22" s="2488"/>
      <c r="E22" s="2488"/>
      <c r="F22" s="2488"/>
    </row>
    <row r="23" spans="1:6" ht="20.65" customHeight="1" x14ac:dyDescent="0.2">
      <c r="A23" s="1277"/>
      <c r="B23" s="1278"/>
      <c r="C23" s="1279"/>
      <c r="D23" s="2488"/>
      <c r="E23" s="2488"/>
      <c r="F23" s="2488"/>
    </row>
    <row r="24" spans="1:6" ht="20.65" customHeight="1" x14ac:dyDescent="0.2">
      <c r="A24" s="1277"/>
      <c r="B24" s="1278"/>
      <c r="C24" s="1279"/>
      <c r="D24" s="2488"/>
      <c r="E24" s="2488"/>
      <c r="F24" s="2488"/>
    </row>
    <row r="25" spans="1:6" ht="20.65" customHeight="1" x14ac:dyDescent="0.2">
      <c r="A25" s="1277"/>
      <c r="B25" s="1278"/>
      <c r="C25" s="1279"/>
      <c r="D25" s="2488"/>
      <c r="E25" s="2488"/>
      <c r="F25" s="2488"/>
    </row>
    <row r="26" spans="1:6" ht="20.65" customHeight="1" x14ac:dyDescent="0.2">
      <c r="A26" s="1277"/>
      <c r="B26" s="1278"/>
      <c r="C26" s="1279"/>
      <c r="D26" s="2488"/>
      <c r="E26" s="2488"/>
      <c r="F26" s="2488"/>
    </row>
    <row r="27" spans="1:6" ht="20.65" customHeight="1" x14ac:dyDescent="0.2">
      <c r="A27" s="1277"/>
      <c r="B27" s="1278"/>
      <c r="C27" s="1279"/>
      <c r="D27" s="2488"/>
      <c r="E27" s="2488"/>
      <c r="F27" s="2488"/>
    </row>
    <row r="28" spans="1:6" ht="20.65" customHeight="1" x14ac:dyDescent="0.2">
      <c r="A28" s="1277"/>
      <c r="B28" s="1278"/>
      <c r="C28" s="1279"/>
      <c r="D28" s="2488"/>
      <c r="E28" s="2488"/>
      <c r="F28" s="2488"/>
    </row>
    <row r="29" spans="1:6" ht="20.65" customHeight="1" x14ac:dyDescent="0.2">
      <c r="A29" s="1277"/>
      <c r="B29" s="1278"/>
      <c r="C29" s="1279"/>
      <c r="D29" s="2488"/>
      <c r="E29" s="2488"/>
      <c r="F29" s="248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92" t="s">
        <v>1732</v>
      </c>
      <c r="B32" s="2492"/>
      <c r="C32" s="2492"/>
      <c r="D32" s="2492"/>
      <c r="E32" s="2492"/>
      <c r="F32" s="2492"/>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93">
        <f>+C33+C34</f>
        <v>0</v>
      </c>
      <c r="F34" s="2494"/>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95" t="s">
        <v>1590</v>
      </c>
      <c r="C49" s="2495"/>
      <c r="D49" s="2495"/>
      <c r="E49" s="1393"/>
    </row>
    <row r="50" spans="1:5" s="1294" customFormat="1" ht="3.75" customHeight="1" x14ac:dyDescent="0.2">
      <c r="A50" s="1293"/>
      <c r="B50" s="1842"/>
      <c r="C50" s="1842"/>
      <c r="D50" s="1842"/>
      <c r="E50" s="1393"/>
    </row>
    <row r="51" spans="1:5" s="1294" customFormat="1" ht="20.25" customHeight="1" x14ac:dyDescent="0.2">
      <c r="A51" s="1295">
        <v>6</v>
      </c>
      <c r="B51" s="2491" t="s">
        <v>1551</v>
      </c>
      <c r="C51" s="2491"/>
      <c r="D51" s="2491"/>
    </row>
    <row r="52" spans="1:5" ht="14.25" customHeight="1" x14ac:dyDescent="0.2">
      <c r="A52" s="1295"/>
      <c r="B52" s="2491"/>
      <c r="C52" s="2491"/>
      <c r="D52" s="249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0" t="s">
        <v>1168</v>
      </c>
      <c r="B2" s="2100"/>
      <c r="C2" s="2100"/>
      <c r="D2" s="2100"/>
      <c r="E2" s="2100"/>
      <c r="F2" s="2100"/>
      <c r="G2" s="2100"/>
      <c r="H2" s="2100"/>
      <c r="I2" s="2100"/>
      <c r="J2" s="210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2070</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4" t="s">
        <v>1633</v>
      </c>
      <c r="B35" s="2115"/>
      <c r="C35" s="2115"/>
      <c r="D35" s="2115"/>
      <c r="E35" s="2116"/>
      <c r="F35" s="2116"/>
      <c r="G35" s="2116"/>
      <c r="H35" s="2116"/>
      <c r="I35" s="211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4" t="s">
        <v>313</v>
      </c>
      <c r="B47" s="2117"/>
      <c r="C47" s="2117"/>
      <c r="D47" s="2117"/>
      <c r="E47" s="2118"/>
      <c r="F47" s="2118"/>
      <c r="G47" s="2118"/>
      <c r="H47" s="2118"/>
      <c r="I47" s="211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2095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1"/>
      <c r="C57" s="2122"/>
      <c r="D57" s="2122"/>
      <c r="E57" s="2122"/>
      <c r="F57" s="2122"/>
      <c r="G57" s="2122"/>
      <c r="H57" s="2122"/>
      <c r="I57" s="2122"/>
      <c r="J57" s="2123"/>
    </row>
    <row r="58" spans="1:10" s="181" customFormat="1" x14ac:dyDescent="0.2">
      <c r="A58" s="253"/>
      <c r="B58" s="2124"/>
      <c r="C58" s="2125"/>
      <c r="D58" s="2125"/>
      <c r="E58" s="2125"/>
      <c r="F58" s="2125"/>
      <c r="G58" s="2125"/>
      <c r="H58" s="2125"/>
      <c r="I58" s="2125"/>
      <c r="J58" s="2126"/>
    </row>
    <row r="59" spans="1:10" s="181" customFormat="1" x14ac:dyDescent="0.2">
      <c r="A59" s="253"/>
      <c r="B59" s="2124"/>
      <c r="C59" s="2125"/>
      <c r="D59" s="2125"/>
      <c r="E59" s="2125"/>
      <c r="F59" s="2125"/>
      <c r="G59" s="2125"/>
      <c r="H59" s="2125"/>
      <c r="I59" s="2125"/>
      <c r="J59" s="2126"/>
    </row>
    <row r="60" spans="1:10" s="181" customFormat="1" x14ac:dyDescent="0.2">
      <c r="A60" s="253"/>
      <c r="B60" s="2124"/>
      <c r="C60" s="2125"/>
      <c r="D60" s="2125"/>
      <c r="E60" s="2125"/>
      <c r="F60" s="2125"/>
      <c r="G60" s="2125"/>
      <c r="H60" s="2125"/>
      <c r="I60" s="2125"/>
      <c r="J60" s="2126"/>
    </row>
    <row r="61" spans="1:10" s="181" customFormat="1" x14ac:dyDescent="0.2">
      <c r="A61" s="253"/>
      <c r="B61" s="2124"/>
      <c r="C61" s="2125"/>
      <c r="D61" s="2125"/>
      <c r="E61" s="2125"/>
      <c r="F61" s="2125"/>
      <c r="G61" s="2125"/>
      <c r="H61" s="2125"/>
      <c r="I61" s="2125"/>
      <c r="J61" s="2126"/>
    </row>
    <row r="62" spans="1:10" s="181" customFormat="1" x14ac:dyDescent="0.2">
      <c r="A62" s="253"/>
      <c r="B62" s="2124"/>
      <c r="C62" s="2125"/>
      <c r="D62" s="2125"/>
      <c r="E62" s="2125"/>
      <c r="F62" s="2125"/>
      <c r="G62" s="2125"/>
      <c r="H62" s="2125"/>
      <c r="I62" s="2125"/>
      <c r="J62" s="2126"/>
    </row>
    <row r="63" spans="1:10" s="181" customFormat="1" x14ac:dyDescent="0.2">
      <c r="A63" s="253"/>
      <c r="B63" s="2124"/>
      <c r="C63" s="2125"/>
      <c r="D63" s="2125"/>
      <c r="E63" s="2125"/>
      <c r="F63" s="2125"/>
      <c r="G63" s="2125"/>
      <c r="H63" s="2125"/>
      <c r="I63" s="2125"/>
      <c r="J63" s="2126"/>
    </row>
    <row r="64" spans="1:10" s="181" customFormat="1" x14ac:dyDescent="0.2">
      <c r="A64" s="253"/>
      <c r="B64" s="2124"/>
      <c r="C64" s="2125"/>
      <c r="D64" s="2125"/>
      <c r="E64" s="2125"/>
      <c r="F64" s="2125"/>
      <c r="G64" s="2125"/>
      <c r="H64" s="2125"/>
      <c r="I64" s="2125"/>
      <c r="J64" s="2126"/>
    </row>
    <row r="65" spans="1:10" s="181" customFormat="1" x14ac:dyDescent="0.2">
      <c r="A65" s="253"/>
      <c r="B65" s="2124"/>
      <c r="C65" s="2125"/>
      <c r="D65" s="2125"/>
      <c r="E65" s="2125"/>
      <c r="F65" s="2125"/>
      <c r="G65" s="2125"/>
      <c r="H65" s="2125"/>
      <c r="I65" s="2125"/>
      <c r="J65" s="2126"/>
    </row>
    <row r="66" spans="1:10" s="181" customFormat="1" x14ac:dyDescent="0.2">
      <c r="A66" s="253"/>
      <c r="B66" s="2124"/>
      <c r="C66" s="2125"/>
      <c r="D66" s="2125"/>
      <c r="E66" s="2125"/>
      <c r="F66" s="2125"/>
      <c r="G66" s="2125"/>
      <c r="H66" s="2125"/>
      <c r="I66" s="2125"/>
      <c r="J66" s="2126"/>
    </row>
    <row r="67" spans="1:10" s="181" customFormat="1" ht="9" customHeight="1" x14ac:dyDescent="0.2">
      <c r="A67" s="254"/>
      <c r="B67" s="2127"/>
      <c r="C67" s="2128"/>
      <c r="D67" s="2128"/>
      <c r="E67" s="2128"/>
      <c r="F67" s="2128"/>
      <c r="G67" s="2128"/>
      <c r="H67" s="2128"/>
      <c r="I67" s="2128"/>
      <c r="J67" s="212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4" t="s">
        <v>1323</v>
      </c>
      <c r="B70" s="2117"/>
      <c r="C70" s="2117"/>
      <c r="D70" s="2117"/>
      <c r="E70" s="2118"/>
      <c r="F70" s="2118"/>
      <c r="G70" s="2118"/>
      <c r="H70" s="2118"/>
      <c r="I70" s="211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9" t="s">
        <v>1320</v>
      </c>
      <c r="B83" s="2119"/>
      <c r="C83" s="2119"/>
      <c r="D83" s="212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01" t="s">
        <v>2156</v>
      </c>
      <c r="C102" s="2102"/>
      <c r="D102" s="2102"/>
      <c r="E102" s="2102"/>
      <c r="F102" s="2102"/>
      <c r="G102" s="2102"/>
      <c r="H102" s="2102"/>
      <c r="I102" s="2103"/>
    </row>
    <row r="103" spans="1:9" s="181" customFormat="1" ht="11.25" customHeight="1" x14ac:dyDescent="0.2">
      <c r="A103" s="316"/>
      <c r="B103" s="2104"/>
      <c r="C103" s="2105"/>
      <c r="D103" s="2105"/>
      <c r="E103" s="2105"/>
      <c r="F103" s="2105"/>
      <c r="G103" s="2105"/>
      <c r="H103" s="2105"/>
      <c r="I103" s="2106"/>
    </row>
    <row r="104" spans="1:9" s="181" customFormat="1" ht="11.25" customHeight="1" x14ac:dyDescent="0.2">
      <c r="A104" s="316"/>
      <c r="B104" s="2104"/>
      <c r="C104" s="2105"/>
      <c r="D104" s="2105"/>
      <c r="E104" s="2105"/>
      <c r="F104" s="2105"/>
      <c r="G104" s="2105"/>
      <c r="H104" s="2105"/>
      <c r="I104" s="2106"/>
    </row>
    <row r="105" spans="1:9" s="181" customFormat="1" x14ac:dyDescent="0.2">
      <c r="A105" s="316"/>
      <c r="B105" s="2104"/>
      <c r="C105" s="2105"/>
      <c r="D105" s="2105"/>
      <c r="E105" s="2105"/>
      <c r="F105" s="2105"/>
      <c r="G105" s="2105"/>
      <c r="H105" s="2105"/>
      <c r="I105" s="2106"/>
    </row>
    <row r="106" spans="1:9" s="181" customFormat="1" ht="11.25" customHeight="1" x14ac:dyDescent="0.2">
      <c r="A106" s="316"/>
      <c r="B106" s="2104"/>
      <c r="C106" s="2105"/>
      <c r="D106" s="2105"/>
      <c r="E106" s="2105"/>
      <c r="F106" s="2105"/>
      <c r="G106" s="2105"/>
      <c r="H106" s="2105"/>
      <c r="I106" s="2106"/>
    </row>
    <row r="107" spans="1:9" s="181" customFormat="1" ht="11.25" customHeight="1" x14ac:dyDescent="0.2">
      <c r="A107" s="316"/>
      <c r="B107" s="2104"/>
      <c r="C107" s="2105"/>
      <c r="D107" s="2105"/>
      <c r="E107" s="2105"/>
      <c r="F107" s="2105"/>
      <c r="G107" s="2105"/>
      <c r="H107" s="2105"/>
      <c r="I107" s="2106"/>
    </row>
    <row r="108" spans="1:9" s="181" customFormat="1" ht="11.25" customHeight="1" x14ac:dyDescent="0.2">
      <c r="A108" s="316"/>
      <c r="B108" s="2104"/>
      <c r="C108" s="2105"/>
      <c r="D108" s="2105"/>
      <c r="E108" s="2105"/>
      <c r="F108" s="2105"/>
      <c r="G108" s="2105"/>
      <c r="H108" s="2105"/>
      <c r="I108" s="2106"/>
    </row>
    <row r="109" spans="1:9" s="181" customFormat="1" ht="11.25" customHeight="1" x14ac:dyDescent="0.2">
      <c r="A109" s="316"/>
      <c r="B109" s="2104"/>
      <c r="C109" s="2105"/>
      <c r="D109" s="2105"/>
      <c r="E109" s="2105"/>
      <c r="F109" s="2105"/>
      <c r="G109" s="2105"/>
      <c r="H109" s="2105"/>
      <c r="I109" s="2106"/>
    </row>
    <row r="110" spans="1:9" s="181" customFormat="1" ht="11.25" customHeight="1" x14ac:dyDescent="0.2">
      <c r="A110" s="316"/>
      <c r="B110" s="2104"/>
      <c r="C110" s="2105"/>
      <c r="D110" s="2105"/>
      <c r="E110" s="2105"/>
      <c r="F110" s="2105"/>
      <c r="G110" s="2105"/>
      <c r="H110" s="2105"/>
      <c r="I110" s="2106"/>
    </row>
    <row r="111" spans="1:9" s="181" customFormat="1" ht="11.25" customHeight="1" x14ac:dyDescent="0.2">
      <c r="A111" s="316"/>
      <c r="B111" s="2104"/>
      <c r="C111" s="2105"/>
      <c r="D111" s="2105"/>
      <c r="E111" s="2105"/>
      <c r="F111" s="2105"/>
      <c r="G111" s="2105"/>
      <c r="H111" s="2105"/>
      <c r="I111" s="2106"/>
    </row>
    <row r="112" spans="1:9" s="181" customFormat="1" ht="11.25" customHeight="1" x14ac:dyDescent="0.2">
      <c r="A112" s="316"/>
      <c r="B112" s="2107"/>
      <c r="C112" s="2108"/>
      <c r="D112" s="2108"/>
      <c r="E112" s="2108"/>
      <c r="F112" s="2108"/>
      <c r="G112" s="2108"/>
      <c r="H112" s="2108"/>
      <c r="I112" s="210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0" t="s">
        <v>2072</v>
      </c>
      <c r="D114" s="211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1" t="s">
        <v>1330</v>
      </c>
      <c r="D117" s="2112"/>
      <c r="E117" s="2113"/>
      <c r="F117" s="2113"/>
      <c r="G117" s="2113"/>
      <c r="H117" s="2113"/>
      <c r="I117" s="304"/>
    </row>
    <row r="118" spans="1:9" s="181" customFormat="1" ht="24" customHeight="1" x14ac:dyDescent="0.2">
      <c r="A118" s="316"/>
      <c r="B118" s="316"/>
      <c r="C118" s="316"/>
      <c r="D118" s="323" t="s">
        <v>2166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0" t="str">
        <f>'Single Audit Cover'!A7</f>
        <v>Erie CUSD 1</v>
      </c>
      <c r="C1" s="2501"/>
      <c r="D1" s="2501"/>
      <c r="E1" s="2501"/>
      <c r="F1" s="2501"/>
      <c r="G1" s="2501"/>
      <c r="H1" s="2501"/>
      <c r="I1" s="2501"/>
      <c r="J1" s="1403"/>
    </row>
    <row r="2" spans="2:10" s="317" customFormat="1" ht="12.75" customHeight="1" x14ac:dyDescent="0.2">
      <c r="B2" s="2502">
        <f>'Single Audit Cover'!E7</f>
        <v>47098001026</v>
      </c>
      <c r="C2" s="2503"/>
      <c r="D2" s="2503"/>
      <c r="E2" s="2503"/>
      <c r="F2" s="2503"/>
      <c r="G2" s="2503"/>
      <c r="H2" s="2503"/>
      <c r="I2" s="2503"/>
      <c r="J2" s="1403"/>
    </row>
    <row r="3" spans="2:10" s="317" customFormat="1" ht="12.75" customHeight="1" x14ac:dyDescent="0.2">
      <c r="B3" s="2504" t="s">
        <v>1285</v>
      </c>
      <c r="C3" s="2505"/>
      <c r="D3" s="2505"/>
      <c r="E3" s="2505"/>
      <c r="F3" s="2505"/>
      <c r="G3" s="2505"/>
      <c r="H3" s="2505"/>
      <c r="I3" s="2505"/>
      <c r="J3" s="1404"/>
    </row>
    <row r="4" spans="2:10" s="317" customFormat="1" ht="12.75" customHeight="1" x14ac:dyDescent="0.2">
      <c r="B4" s="2504" t="str">
        <f>'Single Audit Cover'!A4</f>
        <v>Year Ending June 30, 2019</v>
      </c>
      <c r="C4" s="2505"/>
      <c r="D4" s="2505"/>
      <c r="E4" s="2505"/>
      <c r="F4" s="2505"/>
      <c r="G4" s="2505"/>
      <c r="H4" s="2505"/>
      <c r="I4" s="250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04" t="s">
        <v>1284</v>
      </c>
      <c r="C7" s="2505"/>
      <c r="D7" s="2505"/>
      <c r="E7" s="2505"/>
      <c r="F7" s="2505"/>
      <c r="G7" s="2505"/>
      <c r="H7" s="2505"/>
      <c r="I7" s="250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6"/>
      <c r="D11" s="250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07"/>
      <c r="E29" s="2507"/>
      <c r="F29" s="2507"/>
      <c r="G29" s="2507"/>
      <c r="H29" s="2507"/>
      <c r="I29" s="250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08" t="s">
        <v>1751</v>
      </c>
      <c r="D37" s="2509"/>
      <c r="E37" s="2509"/>
      <c r="F37" s="2510"/>
      <c r="G37" s="2508" t="s">
        <v>1592</v>
      </c>
      <c r="H37" s="2509"/>
      <c r="I37" s="2510"/>
    </row>
    <row r="38" spans="2:9" ht="16.5" customHeight="1" x14ac:dyDescent="0.2">
      <c r="B38" s="1425"/>
      <c r="C38" s="2496"/>
      <c r="D38" s="2497"/>
      <c r="E38" s="2497"/>
      <c r="F38" s="2498"/>
      <c r="G38" s="2511"/>
      <c r="H38" s="2512"/>
      <c r="I38" s="2513"/>
    </row>
    <row r="39" spans="2:9" ht="16.5" customHeight="1" x14ac:dyDescent="0.2">
      <c r="B39" s="1425"/>
      <c r="C39" s="2496"/>
      <c r="D39" s="2497"/>
      <c r="E39" s="2497"/>
      <c r="F39" s="2498"/>
      <c r="G39" s="2499"/>
      <c r="H39" s="2499"/>
      <c r="I39" s="2499"/>
    </row>
    <row r="40" spans="2:9" ht="16.5" customHeight="1" x14ac:dyDescent="0.2">
      <c r="B40" s="1425"/>
      <c r="C40" s="2496"/>
      <c r="D40" s="2497"/>
      <c r="E40" s="2497"/>
      <c r="F40" s="2498"/>
      <c r="G40" s="2499"/>
      <c r="H40" s="2499"/>
      <c r="I40" s="2499"/>
    </row>
    <row r="41" spans="2:9" ht="16.5" customHeight="1" x14ac:dyDescent="0.2">
      <c r="B41" s="1425"/>
      <c r="C41" s="2496"/>
      <c r="D41" s="2497"/>
      <c r="E41" s="2497"/>
      <c r="F41" s="2498"/>
      <c r="G41" s="2499"/>
      <c r="H41" s="2499"/>
      <c r="I41" s="2499"/>
    </row>
    <row r="42" spans="2:9" ht="16.5" customHeight="1" x14ac:dyDescent="0.2">
      <c r="B42" s="1425"/>
      <c r="C42" s="2496"/>
      <c r="D42" s="2497"/>
      <c r="E42" s="2497"/>
      <c r="F42" s="2498"/>
      <c r="G42" s="2499"/>
      <c r="H42" s="2499"/>
      <c r="I42" s="2499"/>
    </row>
    <row r="43" spans="2:9" ht="16.5" customHeight="1" x14ac:dyDescent="0.2">
      <c r="B43" s="1425"/>
      <c r="C43" s="2514" t="s">
        <v>1593</v>
      </c>
      <c r="D43" s="2515"/>
      <c r="E43" s="2515"/>
      <c r="F43" s="2516"/>
      <c r="G43" s="2517">
        <f>SUM(G38:I42)</f>
        <v>0</v>
      </c>
      <c r="H43" s="2517"/>
      <c r="I43" s="2517"/>
    </row>
    <row r="44" spans="2:9" ht="12.75" customHeight="1" x14ac:dyDescent="0.2"/>
    <row r="45" spans="2:9" ht="12.75" customHeight="1" x14ac:dyDescent="0.2">
      <c r="B45" s="1416" t="s">
        <v>1841</v>
      </c>
      <c r="D45" s="2518">
        <v>0</v>
      </c>
      <c r="E45" s="251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20"/>
      <c r="F49" s="2520"/>
      <c r="G49" s="252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0" t="str">
        <f>'Single Audit Cover'!A7</f>
        <v>Erie CUSD 1</v>
      </c>
      <c r="C1" s="2500"/>
      <c r="D1" s="2500"/>
      <c r="E1" s="2500"/>
      <c r="F1" s="2500"/>
      <c r="G1" s="2500"/>
      <c r="H1" s="2500"/>
      <c r="I1" s="2500"/>
      <c r="J1" s="2500"/>
      <c r="K1" s="2500"/>
      <c r="L1" s="1368"/>
      <c r="M1" s="1368"/>
    </row>
    <row r="2" spans="1:13" ht="12" customHeight="1" x14ac:dyDescent="0.2">
      <c r="B2" s="2502">
        <f>'Single Audit Cover'!E7</f>
        <v>47098001026</v>
      </c>
      <c r="C2" s="2502"/>
      <c r="D2" s="2502"/>
      <c r="E2" s="2502"/>
      <c r="F2" s="2502"/>
      <c r="G2" s="2502"/>
      <c r="H2" s="2502"/>
      <c r="I2" s="2502"/>
      <c r="J2" s="2502"/>
      <c r="K2" s="2502"/>
      <c r="L2" s="1369"/>
      <c r="M2" s="1370"/>
    </row>
    <row r="3" spans="1:13" ht="10.35" customHeight="1" x14ac:dyDescent="0.2">
      <c r="B3" s="2523" t="s">
        <v>1285</v>
      </c>
      <c r="C3" s="2523"/>
      <c r="D3" s="2523"/>
      <c r="E3" s="2523"/>
      <c r="F3" s="2523"/>
      <c r="G3" s="2523"/>
      <c r="H3" s="2523"/>
      <c r="I3" s="2523"/>
      <c r="J3" s="2523"/>
      <c r="K3" s="2523"/>
      <c r="L3" s="1371"/>
      <c r="M3" s="1371"/>
    </row>
    <row r="4" spans="1:13" ht="14.25" customHeight="1" x14ac:dyDescent="0.2">
      <c r="B4" s="2524" t="str">
        <f>'Single Audit Cover'!A4</f>
        <v>Year Ending June 30, 2019</v>
      </c>
      <c r="C4" s="2524"/>
      <c r="D4" s="2524"/>
      <c r="E4" s="2524"/>
      <c r="F4" s="2524"/>
      <c r="G4" s="2524"/>
      <c r="H4" s="2524"/>
      <c r="I4" s="2524"/>
      <c r="J4" s="2524"/>
      <c r="K4" s="252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24" t="s">
        <v>1296</v>
      </c>
      <c r="C7" s="2524"/>
      <c r="D7" s="2525"/>
      <c r="E7" s="2525"/>
      <c r="F7" s="2525"/>
      <c r="G7" s="2525"/>
      <c r="H7" s="2525"/>
      <c r="I7" s="2525"/>
      <c r="J7" s="2525"/>
      <c r="K7" s="252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22"/>
      <c r="C14" s="2522"/>
      <c r="D14" s="2522"/>
      <c r="E14" s="2522"/>
      <c r="F14" s="2522"/>
      <c r="G14" s="2522"/>
      <c r="H14" s="2522"/>
      <c r="I14" s="2522"/>
      <c r="J14" s="2522"/>
      <c r="K14" s="252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22"/>
      <c r="C17" s="2522"/>
      <c r="D17" s="2522"/>
      <c r="E17" s="2522"/>
      <c r="F17" s="2522"/>
      <c r="G17" s="2522"/>
      <c r="H17" s="2522"/>
      <c r="I17" s="2522"/>
      <c r="J17" s="2522"/>
      <c r="K17" s="252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6"/>
      <c r="C20" s="2526"/>
      <c r="D20" s="2522"/>
      <c r="E20" s="2522"/>
      <c r="F20" s="2522"/>
      <c r="G20" s="2522"/>
      <c r="H20" s="2522"/>
      <c r="I20" s="2522"/>
      <c r="J20" s="2522"/>
      <c r="K20" s="252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22"/>
      <c r="C23" s="2522"/>
      <c r="D23" s="2522"/>
      <c r="E23" s="2522"/>
      <c r="F23" s="2522"/>
      <c r="G23" s="2522"/>
      <c r="H23" s="2522"/>
      <c r="I23" s="2522"/>
      <c r="J23" s="2522"/>
      <c r="K23" s="252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22"/>
      <c r="C26" s="2522"/>
      <c r="D26" s="2522"/>
      <c r="E26" s="2522"/>
      <c r="F26" s="2522"/>
      <c r="G26" s="2522"/>
      <c r="H26" s="2522"/>
      <c r="I26" s="2522"/>
      <c r="J26" s="2522"/>
      <c r="K26" s="252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21"/>
      <c r="C29" s="2521"/>
      <c r="D29" s="2522"/>
      <c r="E29" s="2522"/>
      <c r="F29" s="2522"/>
      <c r="G29" s="2522"/>
      <c r="H29" s="2522"/>
      <c r="I29" s="2522"/>
      <c r="J29" s="2522"/>
      <c r="K29" s="252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21"/>
      <c r="C32" s="2521"/>
      <c r="D32" s="2522"/>
      <c r="E32" s="2522"/>
      <c r="F32" s="2522"/>
      <c r="G32" s="2522"/>
      <c r="H32" s="2522"/>
      <c r="I32" s="2522"/>
      <c r="J32" s="2522"/>
      <c r="K32" s="252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03FF4-8600-4C62-ABD6-51EF5FC4E2EF}">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7" t="str">
        <f>'Single Audit Cover'!A7</f>
        <v>Erie CUSD 1</v>
      </c>
      <c r="C1" s="2527"/>
      <c r="D1" s="2527"/>
      <c r="E1" s="2527"/>
      <c r="F1" s="2527"/>
      <c r="G1" s="2527"/>
      <c r="H1" s="2527"/>
      <c r="I1" s="2527"/>
      <c r="J1" s="2527"/>
      <c r="K1" s="2527"/>
      <c r="L1" s="1936"/>
      <c r="M1" s="1936"/>
    </row>
    <row r="2" spans="1:13" ht="12" customHeight="1" x14ac:dyDescent="0.2">
      <c r="B2" s="2528">
        <f>'Single Audit Cover'!E7</f>
        <v>47098001026</v>
      </c>
      <c r="C2" s="2528"/>
      <c r="D2" s="2528"/>
      <c r="E2" s="2528"/>
      <c r="F2" s="2528"/>
      <c r="G2" s="2528"/>
      <c r="H2" s="2528"/>
      <c r="I2" s="2528"/>
      <c r="J2" s="2528"/>
      <c r="K2" s="2528"/>
      <c r="L2" s="1937"/>
      <c r="M2" s="1938"/>
    </row>
    <row r="3" spans="1:13" ht="10.35" customHeight="1" x14ac:dyDescent="0.2">
      <c r="B3" s="2529" t="s">
        <v>1285</v>
      </c>
      <c r="C3" s="2529"/>
      <c r="D3" s="2529"/>
      <c r="E3" s="2529"/>
      <c r="F3" s="2529"/>
      <c r="G3" s="2529"/>
      <c r="H3" s="2529"/>
      <c r="I3" s="2529"/>
      <c r="J3" s="2529"/>
      <c r="K3" s="2529"/>
      <c r="L3" s="1935"/>
      <c r="M3" s="1935"/>
    </row>
    <row r="4" spans="1:13" ht="14.25" customHeight="1" x14ac:dyDescent="0.2">
      <c r="B4" s="2529" t="s">
        <v>1989</v>
      </c>
      <c r="C4" s="2529"/>
      <c r="D4" s="2529"/>
      <c r="E4" s="2529"/>
      <c r="F4" s="2529"/>
      <c r="G4" s="2529"/>
      <c r="H4" s="2529"/>
      <c r="I4" s="2529"/>
      <c r="J4" s="2529"/>
      <c r="K4" s="2529"/>
      <c r="L4" s="1935"/>
      <c r="M4" s="1935"/>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9" t="s">
        <v>1296</v>
      </c>
      <c r="C7" s="2529"/>
      <c r="D7" s="2503"/>
      <c r="E7" s="2503"/>
      <c r="F7" s="2503"/>
      <c r="G7" s="2503"/>
      <c r="H7" s="2503"/>
      <c r="I7" s="2503"/>
      <c r="J7" s="2503"/>
      <c r="K7" s="2503"/>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t="s">
        <v>1991</v>
      </c>
      <c r="D10" s="1380">
        <v>1</v>
      </c>
      <c r="F10" s="1213" t="s">
        <v>1295</v>
      </c>
      <c r="G10" s="1382"/>
      <c r="H10" s="1946" t="s">
        <v>1294</v>
      </c>
      <c r="I10" s="1382" t="s">
        <v>2095</v>
      </c>
      <c r="J10" s="1947" t="s">
        <v>1293</v>
      </c>
    </row>
    <row r="11" spans="1:13" ht="13.5" customHeight="1" x14ac:dyDescent="0.2">
      <c r="I11" s="1948" t="s">
        <v>1292</v>
      </c>
      <c r="K11" s="1386">
        <v>2007</v>
      </c>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45.75" customHeight="1" x14ac:dyDescent="0.2">
      <c r="B14" s="2522" t="s">
        <v>2103</v>
      </c>
      <c r="C14" s="2522"/>
      <c r="D14" s="2522"/>
      <c r="E14" s="2522"/>
      <c r="F14" s="2522"/>
      <c r="G14" s="2522"/>
      <c r="H14" s="2522"/>
      <c r="I14" s="2522"/>
      <c r="J14" s="2522"/>
      <c r="K14" s="2522"/>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85.5" customHeight="1" x14ac:dyDescent="0.2">
      <c r="B17" s="2522" t="s">
        <v>2104</v>
      </c>
      <c r="C17" s="2522"/>
      <c r="D17" s="2522"/>
      <c r="E17" s="2522"/>
      <c r="F17" s="2522"/>
      <c r="G17" s="2522"/>
      <c r="H17" s="2522"/>
      <c r="I17" s="2522"/>
      <c r="J17" s="2522"/>
      <c r="K17" s="2522"/>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ht="45.75" customHeight="1" x14ac:dyDescent="0.2">
      <c r="B20" s="2526" t="s">
        <v>2105</v>
      </c>
      <c r="C20" s="2526"/>
      <c r="D20" s="2522"/>
      <c r="E20" s="2522"/>
      <c r="F20" s="2522"/>
      <c r="G20" s="2522"/>
      <c r="H20" s="2522"/>
      <c r="I20" s="2522"/>
      <c r="J20" s="2522"/>
      <c r="K20" s="2522"/>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ht="45" customHeight="1" x14ac:dyDescent="0.2">
      <c r="B23" s="2522" t="s">
        <v>2106</v>
      </c>
      <c r="C23" s="2522"/>
      <c r="D23" s="2522"/>
      <c r="E23" s="2522"/>
      <c r="F23" s="2522"/>
      <c r="G23" s="2522"/>
      <c r="H23" s="2522"/>
      <c r="I23" s="2522"/>
      <c r="J23" s="2522"/>
      <c r="K23" s="2522"/>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ht="45.75" customHeight="1" x14ac:dyDescent="0.2">
      <c r="B26" s="2522" t="s">
        <v>2107</v>
      </c>
      <c r="C26" s="2522"/>
      <c r="D26" s="2522"/>
      <c r="E26" s="2522"/>
      <c r="F26" s="2522"/>
      <c r="G26" s="2522"/>
      <c r="H26" s="2522"/>
      <c r="I26" s="2522"/>
      <c r="J26" s="2522"/>
      <c r="K26" s="2522"/>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ht="32.25" customHeight="1" x14ac:dyDescent="0.2">
      <c r="B29" s="2522" t="s">
        <v>2108</v>
      </c>
      <c r="C29" s="2522"/>
      <c r="D29" s="2522"/>
      <c r="E29" s="2522"/>
      <c r="F29" s="2522"/>
      <c r="G29" s="2522"/>
      <c r="H29" s="2522"/>
      <c r="I29" s="2522"/>
      <c r="J29" s="2522"/>
      <c r="K29" s="2522"/>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ht="54" customHeight="1" x14ac:dyDescent="0.2">
      <c r="B32" s="2522" t="s">
        <v>2109</v>
      </c>
      <c r="C32" s="2522"/>
      <c r="D32" s="2522"/>
      <c r="E32" s="2522"/>
      <c r="F32" s="2522"/>
      <c r="G32" s="2522"/>
      <c r="H32" s="2522"/>
      <c r="I32" s="2522"/>
      <c r="J32" s="2522"/>
      <c r="K32" s="2522"/>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6"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44A5-F482-4B1E-94CA-C3FB9B265F8F}">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7" t="str">
        <f>'Single Audit Cover'!A7</f>
        <v>Erie CUSD 1</v>
      </c>
      <c r="C1" s="2527"/>
      <c r="D1" s="2527"/>
      <c r="E1" s="2527"/>
      <c r="F1" s="2527"/>
      <c r="G1" s="2527"/>
      <c r="H1" s="2527"/>
      <c r="I1" s="2527"/>
      <c r="J1" s="2527"/>
      <c r="K1" s="2527"/>
      <c r="L1" s="1936"/>
      <c r="M1" s="1936"/>
    </row>
    <row r="2" spans="1:13" ht="12" customHeight="1" x14ac:dyDescent="0.2">
      <c r="B2" s="2528">
        <f>'Single Audit Cover'!E7</f>
        <v>47098001026</v>
      </c>
      <c r="C2" s="2528"/>
      <c r="D2" s="2528"/>
      <c r="E2" s="2528"/>
      <c r="F2" s="2528"/>
      <c r="G2" s="2528"/>
      <c r="H2" s="2528"/>
      <c r="I2" s="2528"/>
      <c r="J2" s="2528"/>
      <c r="K2" s="2528"/>
      <c r="L2" s="1937"/>
      <c r="M2" s="1938"/>
    </row>
    <row r="3" spans="1:13" ht="10.35" customHeight="1" x14ac:dyDescent="0.2">
      <c r="B3" s="2529" t="s">
        <v>1285</v>
      </c>
      <c r="C3" s="2529"/>
      <c r="D3" s="2529"/>
      <c r="E3" s="2529"/>
      <c r="F3" s="2529"/>
      <c r="G3" s="2529"/>
      <c r="H3" s="2529"/>
      <c r="I3" s="2529"/>
      <c r="J3" s="2529"/>
      <c r="K3" s="2529"/>
      <c r="L3" s="1935"/>
      <c r="M3" s="1935"/>
    </row>
    <row r="4" spans="1:13" ht="14.25" customHeight="1" x14ac:dyDescent="0.2">
      <c r="B4" s="2529" t="s">
        <v>1989</v>
      </c>
      <c r="C4" s="2529"/>
      <c r="D4" s="2529"/>
      <c r="E4" s="2529"/>
      <c r="F4" s="2529"/>
      <c r="G4" s="2529"/>
      <c r="H4" s="2529"/>
      <c r="I4" s="2529"/>
      <c r="J4" s="2529"/>
      <c r="K4" s="2529"/>
      <c r="L4" s="1935"/>
      <c r="M4" s="1935"/>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9" t="s">
        <v>1296</v>
      </c>
      <c r="C7" s="2529"/>
      <c r="D7" s="2503"/>
      <c r="E7" s="2503"/>
      <c r="F7" s="2503"/>
      <c r="G7" s="2503"/>
      <c r="H7" s="2503"/>
      <c r="I7" s="2503"/>
      <c r="J7" s="2503"/>
      <c r="K7" s="2503"/>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t="s">
        <v>1991</v>
      </c>
      <c r="D10" s="1380">
        <v>2</v>
      </c>
      <c r="F10" s="1213" t="s">
        <v>1295</v>
      </c>
      <c r="G10" s="1382"/>
      <c r="H10" s="1946" t="s">
        <v>1294</v>
      </c>
      <c r="I10" s="1382" t="s">
        <v>2095</v>
      </c>
      <c r="J10" s="1947" t="s">
        <v>1293</v>
      </c>
    </row>
    <row r="11" spans="1:13" ht="13.5" customHeight="1" x14ac:dyDescent="0.2">
      <c r="I11" s="1948" t="s">
        <v>1292</v>
      </c>
      <c r="K11" s="1386">
        <v>2007</v>
      </c>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54" customHeight="1" x14ac:dyDescent="0.2">
      <c r="B14" s="2522" t="s">
        <v>2096</v>
      </c>
      <c r="C14" s="2522"/>
      <c r="D14" s="2522"/>
      <c r="E14" s="2522"/>
      <c r="F14" s="2522"/>
      <c r="G14" s="2522"/>
      <c r="H14" s="2522"/>
      <c r="I14" s="2522"/>
      <c r="J14" s="2522"/>
      <c r="K14" s="2522"/>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45.75" customHeight="1" x14ac:dyDescent="0.2">
      <c r="B17" s="2522" t="s">
        <v>2097</v>
      </c>
      <c r="C17" s="2522"/>
      <c r="D17" s="2522"/>
      <c r="E17" s="2522"/>
      <c r="F17" s="2522"/>
      <c r="G17" s="2522"/>
      <c r="H17" s="2522"/>
      <c r="I17" s="2522"/>
      <c r="J17" s="2522"/>
      <c r="K17" s="2522"/>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ht="45.75" customHeight="1" x14ac:dyDescent="0.2">
      <c r="B20" s="2526" t="s">
        <v>2098</v>
      </c>
      <c r="C20" s="2526"/>
      <c r="D20" s="2522"/>
      <c r="E20" s="2522"/>
      <c r="F20" s="2522"/>
      <c r="G20" s="2522"/>
      <c r="H20" s="2522"/>
      <c r="I20" s="2522"/>
      <c r="J20" s="2522"/>
      <c r="K20" s="2522"/>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ht="45" customHeight="1" x14ac:dyDescent="0.2">
      <c r="B23" s="2522" t="s">
        <v>2099</v>
      </c>
      <c r="C23" s="2522"/>
      <c r="D23" s="2522"/>
      <c r="E23" s="2522"/>
      <c r="F23" s="2522"/>
      <c r="G23" s="2522"/>
      <c r="H23" s="2522"/>
      <c r="I23" s="2522"/>
      <c r="J23" s="2522"/>
      <c r="K23" s="2522"/>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ht="45.75" customHeight="1" x14ac:dyDescent="0.2">
      <c r="B26" s="2522" t="s">
        <v>2100</v>
      </c>
      <c r="C26" s="2522"/>
      <c r="D26" s="2522"/>
      <c r="E26" s="2522"/>
      <c r="F26" s="2522"/>
      <c r="G26" s="2522"/>
      <c r="H26" s="2522"/>
      <c r="I26" s="2522"/>
      <c r="J26" s="2522"/>
      <c r="K26" s="2522"/>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ht="45.75" customHeight="1" x14ac:dyDescent="0.2">
      <c r="B29" s="2522" t="s">
        <v>2101</v>
      </c>
      <c r="C29" s="2522"/>
      <c r="D29" s="2522"/>
      <c r="E29" s="2522"/>
      <c r="F29" s="2522"/>
      <c r="G29" s="2522"/>
      <c r="H29" s="2522"/>
      <c r="I29" s="2522"/>
      <c r="J29" s="2522"/>
      <c r="K29" s="2522"/>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ht="44.25" customHeight="1" x14ac:dyDescent="0.2">
      <c r="B32" s="2522" t="s">
        <v>2102</v>
      </c>
      <c r="C32" s="2522"/>
      <c r="D32" s="2522"/>
      <c r="E32" s="2522"/>
      <c r="F32" s="2522"/>
      <c r="G32" s="2522"/>
      <c r="H32" s="2522"/>
      <c r="I32" s="2522"/>
      <c r="J32" s="2522"/>
      <c r="K32" s="2522"/>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6"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077F-DCE1-474C-92C8-56148EA88998}">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7" t="str">
        <f>'Finding 2019-002'!B1</f>
        <v>Erie CUSD 1</v>
      </c>
      <c r="C1" s="2527"/>
      <c r="D1" s="2527"/>
      <c r="E1" s="2527"/>
      <c r="F1" s="2527"/>
      <c r="G1" s="2527"/>
      <c r="H1" s="2527"/>
      <c r="I1" s="2527"/>
      <c r="J1" s="2527"/>
      <c r="K1" s="2527"/>
      <c r="L1" s="1936"/>
      <c r="M1" s="1936"/>
    </row>
    <row r="2" spans="1:13" ht="12" customHeight="1" x14ac:dyDescent="0.2">
      <c r="B2" s="2528">
        <f>'Finding 2019-002'!B2</f>
        <v>47098001026</v>
      </c>
      <c r="C2" s="2528"/>
      <c r="D2" s="2528"/>
      <c r="E2" s="2528"/>
      <c r="F2" s="2528"/>
      <c r="G2" s="2528"/>
      <c r="H2" s="2528"/>
      <c r="I2" s="2528"/>
      <c r="J2" s="2528"/>
      <c r="K2" s="2528"/>
      <c r="L2" s="1937"/>
      <c r="M2" s="1938"/>
    </row>
    <row r="3" spans="1:13" ht="10.35" customHeight="1" x14ac:dyDescent="0.2">
      <c r="B3" s="2529" t="s">
        <v>1285</v>
      </c>
      <c r="C3" s="2529"/>
      <c r="D3" s="2529"/>
      <c r="E3" s="2529"/>
      <c r="F3" s="2529"/>
      <c r="G3" s="2529"/>
      <c r="H3" s="2529"/>
      <c r="I3" s="2529"/>
      <c r="J3" s="2529"/>
      <c r="K3" s="2529"/>
      <c r="L3" s="1935"/>
      <c r="M3" s="1935"/>
    </row>
    <row r="4" spans="1:13" ht="14.25" customHeight="1" x14ac:dyDescent="0.2">
      <c r="B4" s="2529" t="s">
        <v>1989</v>
      </c>
      <c r="C4" s="2529"/>
      <c r="D4" s="2529"/>
      <c r="E4" s="2529"/>
      <c r="F4" s="2529"/>
      <c r="G4" s="2529"/>
      <c r="H4" s="2529"/>
      <c r="I4" s="2529"/>
      <c r="J4" s="2529"/>
      <c r="K4" s="2529"/>
      <c r="L4" s="1935"/>
      <c r="M4" s="1935"/>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9" t="s">
        <v>1296</v>
      </c>
      <c r="C7" s="2529"/>
      <c r="D7" s="2503"/>
      <c r="E7" s="2503"/>
      <c r="F7" s="2503"/>
      <c r="G7" s="2503"/>
      <c r="H7" s="2503"/>
      <c r="I7" s="2503"/>
      <c r="J7" s="2503"/>
      <c r="K7" s="2503"/>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t="s">
        <v>1991</v>
      </c>
      <c r="D10" s="1380">
        <v>3</v>
      </c>
      <c r="F10" s="1213" t="s">
        <v>1295</v>
      </c>
      <c r="G10" s="1382" t="s">
        <v>2095</v>
      </c>
      <c r="H10" s="1946" t="s">
        <v>1294</v>
      </c>
      <c r="I10" s="1382"/>
      <c r="J10" s="1947" t="s">
        <v>1293</v>
      </c>
    </row>
    <row r="11" spans="1:13" ht="13.5" customHeight="1" x14ac:dyDescent="0.2">
      <c r="I11" s="1948" t="s">
        <v>1292</v>
      </c>
      <c r="K11" s="1386"/>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45.75" customHeight="1" x14ac:dyDescent="0.2">
      <c r="B14" s="2522" t="s">
        <v>2164</v>
      </c>
      <c r="C14" s="2522"/>
      <c r="D14" s="2522"/>
      <c r="E14" s="2522"/>
      <c r="F14" s="2522"/>
      <c r="G14" s="2522"/>
      <c r="H14" s="2522"/>
      <c r="I14" s="2522"/>
      <c r="J14" s="2522"/>
      <c r="K14" s="2522"/>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85.5" customHeight="1" x14ac:dyDescent="0.2">
      <c r="B17" s="2522" t="s">
        <v>2157</v>
      </c>
      <c r="C17" s="2522"/>
      <c r="D17" s="2522"/>
      <c r="E17" s="2522"/>
      <c r="F17" s="2522"/>
      <c r="G17" s="2522"/>
      <c r="H17" s="2522"/>
      <c r="I17" s="2522"/>
      <c r="J17" s="2522"/>
      <c r="K17" s="2522"/>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ht="45.75" customHeight="1" x14ac:dyDescent="0.2">
      <c r="B20" s="2526" t="s">
        <v>2158</v>
      </c>
      <c r="C20" s="2526"/>
      <c r="D20" s="2522"/>
      <c r="E20" s="2522"/>
      <c r="F20" s="2522"/>
      <c r="G20" s="2522"/>
      <c r="H20" s="2522"/>
      <c r="I20" s="2522"/>
      <c r="J20" s="2522"/>
      <c r="K20" s="2522"/>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ht="45" customHeight="1" x14ac:dyDescent="0.2">
      <c r="B23" s="2522" t="s">
        <v>2159</v>
      </c>
      <c r="C23" s="2522"/>
      <c r="D23" s="2522"/>
      <c r="E23" s="2522"/>
      <c r="F23" s="2522"/>
      <c r="G23" s="2522"/>
      <c r="H23" s="2522"/>
      <c r="I23" s="2522"/>
      <c r="J23" s="2522"/>
      <c r="K23" s="2522"/>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ht="45.75" customHeight="1" x14ac:dyDescent="0.2">
      <c r="B26" s="2522" t="s">
        <v>2160</v>
      </c>
      <c r="C26" s="2522"/>
      <c r="D26" s="2522"/>
      <c r="E26" s="2522"/>
      <c r="F26" s="2522"/>
      <c r="G26" s="2522"/>
      <c r="H26" s="2522"/>
      <c r="I26" s="2522"/>
      <c r="J26" s="2522"/>
      <c r="K26" s="2522"/>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ht="32.25" customHeight="1" x14ac:dyDescent="0.2">
      <c r="B29" s="2522" t="s">
        <v>2161</v>
      </c>
      <c r="C29" s="2522"/>
      <c r="D29" s="2522"/>
      <c r="E29" s="2522"/>
      <c r="F29" s="2522"/>
      <c r="G29" s="2522"/>
      <c r="H29" s="2522"/>
      <c r="I29" s="2522"/>
      <c r="J29" s="2522"/>
      <c r="K29" s="2522"/>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ht="54" customHeight="1" x14ac:dyDescent="0.2">
      <c r="B32" s="2522" t="s">
        <v>2162</v>
      </c>
      <c r="C32" s="2522"/>
      <c r="D32" s="2522"/>
      <c r="E32" s="2522"/>
      <c r="F32" s="2522"/>
      <c r="G32" s="2522"/>
      <c r="H32" s="2522"/>
      <c r="I32" s="2522"/>
      <c r="J32" s="2522"/>
      <c r="K32" s="2522"/>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6"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47E2A-C81A-43CA-A1D5-3C137D4CC45E}">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7" t="str">
        <f>'Finding 2019-003'!B1</f>
        <v>Erie CUSD 1</v>
      </c>
      <c r="C1" s="2527"/>
      <c r="D1" s="2527"/>
      <c r="E1" s="2527"/>
      <c r="F1" s="2527"/>
      <c r="G1" s="2527"/>
      <c r="H1" s="2527"/>
      <c r="I1" s="2527"/>
      <c r="J1" s="2527"/>
      <c r="K1" s="2527"/>
      <c r="L1" s="1936"/>
      <c r="M1" s="1936"/>
    </row>
    <row r="2" spans="1:13" ht="12" customHeight="1" x14ac:dyDescent="0.2">
      <c r="B2" s="2528">
        <f>'Finding 2019-003'!B2</f>
        <v>47098001026</v>
      </c>
      <c r="C2" s="2528"/>
      <c r="D2" s="2528"/>
      <c r="E2" s="2528"/>
      <c r="F2" s="2528"/>
      <c r="G2" s="2528"/>
      <c r="H2" s="2528"/>
      <c r="I2" s="2528"/>
      <c r="J2" s="2528"/>
      <c r="K2" s="2528"/>
      <c r="L2" s="1937"/>
      <c r="M2" s="1938"/>
    </row>
    <row r="3" spans="1:13" ht="10.35" customHeight="1" x14ac:dyDescent="0.2">
      <c r="B3" s="2529" t="s">
        <v>1285</v>
      </c>
      <c r="C3" s="2529"/>
      <c r="D3" s="2529"/>
      <c r="E3" s="2529"/>
      <c r="F3" s="2529"/>
      <c r="G3" s="2529"/>
      <c r="H3" s="2529"/>
      <c r="I3" s="2529"/>
      <c r="J3" s="2529"/>
      <c r="K3" s="2529"/>
      <c r="L3" s="1935"/>
      <c r="M3" s="1935"/>
    </row>
    <row r="4" spans="1:13" ht="14.25" customHeight="1" x14ac:dyDescent="0.2">
      <c r="B4" s="2529" t="s">
        <v>1989</v>
      </c>
      <c r="C4" s="2529"/>
      <c r="D4" s="2529"/>
      <c r="E4" s="2529"/>
      <c r="F4" s="2529"/>
      <c r="G4" s="2529"/>
      <c r="H4" s="2529"/>
      <c r="I4" s="2529"/>
      <c r="J4" s="2529"/>
      <c r="K4" s="2529"/>
      <c r="L4" s="1935"/>
      <c r="M4" s="1935"/>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9" t="s">
        <v>1296</v>
      </c>
      <c r="C7" s="2529"/>
      <c r="D7" s="2503"/>
      <c r="E7" s="2503"/>
      <c r="F7" s="2503"/>
      <c r="G7" s="2503"/>
      <c r="H7" s="2503"/>
      <c r="I7" s="2503"/>
      <c r="J7" s="2503"/>
      <c r="K7" s="2503"/>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t="s">
        <v>1991</v>
      </c>
      <c r="D10" s="1380">
        <v>4</v>
      </c>
      <c r="F10" s="1213" t="s">
        <v>1295</v>
      </c>
      <c r="G10" s="1382" t="s">
        <v>2095</v>
      </c>
      <c r="H10" s="1946" t="s">
        <v>1294</v>
      </c>
      <c r="I10" s="1382"/>
      <c r="J10" s="1947" t="s">
        <v>1293</v>
      </c>
    </row>
    <row r="11" spans="1:13" ht="13.5" customHeight="1" x14ac:dyDescent="0.2">
      <c r="I11" s="1948" t="s">
        <v>1292</v>
      </c>
      <c r="K11" s="1386"/>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45.75" customHeight="1" x14ac:dyDescent="0.2">
      <c r="B14" s="2522" t="s">
        <v>2134</v>
      </c>
      <c r="C14" s="2522"/>
      <c r="D14" s="2522"/>
      <c r="E14" s="2522"/>
      <c r="F14" s="2522"/>
      <c r="G14" s="2522"/>
      <c r="H14" s="2522"/>
      <c r="I14" s="2522"/>
      <c r="J14" s="2522"/>
      <c r="K14" s="2522"/>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55.5" customHeight="1" x14ac:dyDescent="0.2">
      <c r="B17" s="2522" t="s">
        <v>2139</v>
      </c>
      <c r="C17" s="2522"/>
      <c r="D17" s="2522"/>
      <c r="E17" s="2522"/>
      <c r="F17" s="2522"/>
      <c r="G17" s="2522"/>
      <c r="H17" s="2522"/>
      <c r="I17" s="2522"/>
      <c r="J17" s="2522"/>
      <c r="K17" s="2522"/>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ht="45.75" customHeight="1" x14ac:dyDescent="0.2">
      <c r="B20" s="2526" t="s">
        <v>2138</v>
      </c>
      <c r="C20" s="2526"/>
      <c r="D20" s="2522"/>
      <c r="E20" s="2522"/>
      <c r="F20" s="2522"/>
      <c r="G20" s="2522"/>
      <c r="H20" s="2522"/>
      <c r="I20" s="2522"/>
      <c r="J20" s="2522"/>
      <c r="K20" s="2522"/>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ht="45" customHeight="1" x14ac:dyDescent="0.2">
      <c r="B23" s="2522" t="s">
        <v>2135</v>
      </c>
      <c r="C23" s="2522"/>
      <c r="D23" s="2522"/>
      <c r="E23" s="2522"/>
      <c r="F23" s="2522"/>
      <c r="G23" s="2522"/>
      <c r="H23" s="2522"/>
      <c r="I23" s="2522"/>
      <c r="J23" s="2522"/>
      <c r="K23" s="2522"/>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ht="69.75" customHeight="1" x14ac:dyDescent="0.2">
      <c r="B26" s="2522" t="s">
        <v>2155</v>
      </c>
      <c r="C26" s="2522"/>
      <c r="D26" s="2522"/>
      <c r="E26" s="2522"/>
      <c r="F26" s="2522"/>
      <c r="G26" s="2522"/>
      <c r="H26" s="2522"/>
      <c r="I26" s="2522"/>
      <c r="J26" s="2522"/>
      <c r="K26" s="2522"/>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ht="59.25" customHeight="1" x14ac:dyDescent="0.2">
      <c r="B29" s="2522" t="s">
        <v>2136</v>
      </c>
      <c r="C29" s="2522"/>
      <c r="D29" s="2522"/>
      <c r="E29" s="2522"/>
      <c r="F29" s="2522"/>
      <c r="G29" s="2522"/>
      <c r="H29" s="2522"/>
      <c r="I29" s="2522"/>
      <c r="J29" s="2522"/>
      <c r="K29" s="2522"/>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ht="41.25" customHeight="1" x14ac:dyDescent="0.2">
      <c r="B32" s="2522" t="s">
        <v>2137</v>
      </c>
      <c r="C32" s="2522"/>
      <c r="D32" s="2522"/>
      <c r="E32" s="2522"/>
      <c r="F32" s="2522"/>
      <c r="G32" s="2522"/>
      <c r="H32" s="2522"/>
      <c r="I32" s="2522"/>
      <c r="J32" s="2522"/>
      <c r="K32" s="2522"/>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6"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Erie CUSD 1</v>
      </c>
      <c r="C1" s="2530"/>
      <c r="D1" s="2530"/>
      <c r="E1" s="2530"/>
      <c r="F1" s="2530"/>
      <c r="G1" s="2530"/>
      <c r="H1" s="2530"/>
      <c r="I1" s="2530"/>
      <c r="J1" s="2530"/>
      <c r="K1" s="2530"/>
      <c r="L1" s="1446"/>
    </row>
    <row r="2" spans="1:12" ht="12.75" customHeight="1" x14ac:dyDescent="0.2">
      <c r="B2" s="2531">
        <f>'Single Audit Cover'!E7</f>
        <v>47098001026</v>
      </c>
      <c r="C2" s="2531"/>
      <c r="D2" s="2531"/>
      <c r="E2" s="2531"/>
      <c r="F2" s="2531"/>
      <c r="G2" s="2531"/>
      <c r="H2" s="2531"/>
      <c r="I2" s="2531"/>
      <c r="J2" s="2531"/>
      <c r="K2" s="2531"/>
      <c r="L2" s="1447"/>
    </row>
    <row r="3" spans="1:12" ht="12.75" customHeight="1" x14ac:dyDescent="0.2">
      <c r="B3" s="2523" t="s">
        <v>1285</v>
      </c>
      <c r="C3" s="2523"/>
      <c r="D3" s="2523"/>
      <c r="E3" s="2523"/>
      <c r="F3" s="2523"/>
      <c r="G3" s="2523"/>
      <c r="H3" s="2523"/>
      <c r="I3" s="2523"/>
      <c r="J3" s="2523"/>
      <c r="K3" s="2523"/>
      <c r="L3" s="1371"/>
    </row>
    <row r="4" spans="1:12" ht="12.75" customHeight="1" x14ac:dyDescent="0.2">
      <c r="B4" s="2523" t="str">
        <f>'Single Audit Cover'!A4</f>
        <v>Year Ending June 30, 2019</v>
      </c>
      <c r="C4" s="2523"/>
      <c r="D4" s="2523"/>
      <c r="E4" s="2523"/>
      <c r="F4" s="2523"/>
      <c r="G4" s="2523"/>
      <c r="H4" s="2523"/>
      <c r="I4" s="2523"/>
      <c r="J4" s="2523"/>
      <c r="K4" s="2523"/>
      <c r="L4" s="1371"/>
    </row>
    <row r="5" spans="1:12" ht="5.25" customHeight="1" x14ac:dyDescent="0.2">
      <c r="B5" s="1254" t="s">
        <v>1169</v>
      </c>
      <c r="C5" s="1254"/>
      <c r="L5" s="322"/>
    </row>
    <row r="6" spans="1:12" ht="30.75" customHeight="1" x14ac:dyDescent="0.2">
      <c r="A6" s="322"/>
      <c r="B6" s="2532" t="s">
        <v>1308</v>
      </c>
      <c r="C6" s="2532"/>
      <c r="D6" s="2532"/>
      <c r="E6" s="2532"/>
      <c r="F6" s="2532"/>
      <c r="G6" s="2532"/>
      <c r="H6" s="2532"/>
      <c r="I6" s="2532"/>
      <c r="J6" s="2532"/>
      <c r="K6" s="253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07"/>
      <c r="G12" s="2507"/>
      <c r="H12" s="2507"/>
      <c r="I12" s="2507"/>
      <c r="J12" s="2507"/>
      <c r="K12" s="250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33"/>
      <c r="E14" s="2533"/>
      <c r="F14" s="2533"/>
      <c r="H14" s="1456" t="s">
        <v>1303</v>
      </c>
      <c r="I14" s="2534"/>
      <c r="J14" s="2534"/>
      <c r="K14" s="253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34"/>
      <c r="E16" s="2534"/>
      <c r="F16" s="2534"/>
      <c r="G16" s="2534"/>
      <c r="H16" s="2534"/>
      <c r="I16" s="2534"/>
      <c r="J16" s="2534"/>
      <c r="K16" s="2534"/>
      <c r="L16" s="322"/>
    </row>
    <row r="17" spans="2:12" ht="13.5" customHeight="1" x14ac:dyDescent="0.2">
      <c r="B17" s="1381" t="s">
        <v>1301</v>
      </c>
      <c r="C17" s="1381"/>
      <c r="D17" s="2535"/>
      <c r="E17" s="2535"/>
      <c r="F17" s="2535"/>
      <c r="G17" s="2535"/>
      <c r="H17" s="2535"/>
      <c r="I17" s="2535"/>
      <c r="J17" s="2535"/>
      <c r="K17" s="253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22"/>
      <c r="C20" s="2522"/>
      <c r="D20" s="2522"/>
      <c r="E20" s="2522"/>
      <c r="F20" s="2522"/>
      <c r="G20" s="2522"/>
      <c r="H20" s="2522"/>
      <c r="I20" s="2522"/>
      <c r="J20" s="2522"/>
      <c r="K20" s="252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1CD71-F01B-4B6C-980F-FBDC9BE36F38}">
  <dimension ref="B1:L70"/>
  <sheetViews>
    <sheetView showGridLines="0" zoomScale="110" zoomScaleNormal="110" zoomScaleSheetLayoutView="100" workbookViewId="0"/>
  </sheetViews>
  <sheetFormatPr defaultColWidth="9.140625" defaultRowHeight="12.75" x14ac:dyDescent="0.2"/>
  <cols>
    <col min="1" max="1" width="1.5703125" style="1960" customWidth="1"/>
    <col min="2" max="2" width="11.28515625" style="1960" customWidth="1"/>
    <col min="3" max="3" width="6.42578125" style="1960" customWidth="1"/>
    <col min="4" max="4" width="5.42578125" style="1960" customWidth="1"/>
    <col min="5" max="5" width="74.7109375" style="1960" customWidth="1"/>
    <col min="6" max="6" width="1.5703125" style="1960" customWidth="1"/>
    <col min="7" max="8" width="2.42578125" style="1960" customWidth="1"/>
    <col min="9" max="9" width="9.28515625" style="1960" customWidth="1"/>
    <col min="10" max="10" width="14.42578125" style="1960" customWidth="1"/>
    <col min="11" max="11" width="7.28515625" style="1960" customWidth="1"/>
    <col min="12" max="12" width="3.140625" style="1960" customWidth="1"/>
    <col min="13" max="16384" width="9.140625" style="1960"/>
  </cols>
  <sheetData>
    <row r="1" spans="2:12" ht="13.5" customHeight="1" x14ac:dyDescent="0.2">
      <c r="B1" s="2537" t="str">
        <f>'Finding 2019-001'!B1</f>
        <v>Erie CUSD 1</v>
      </c>
      <c r="C1" s="2537"/>
      <c r="D1" s="2537"/>
      <c r="E1" s="2537"/>
      <c r="F1" s="1959"/>
      <c r="G1" s="1959"/>
      <c r="H1" s="1959"/>
      <c r="I1" s="1959"/>
      <c r="J1" s="1959"/>
      <c r="K1" s="1959"/>
      <c r="L1" s="1959"/>
    </row>
    <row r="2" spans="2:12" ht="13.5" customHeight="1" x14ac:dyDescent="0.2">
      <c r="B2" s="2538">
        <f>'Finding 2019-001'!B2</f>
        <v>47098001026</v>
      </c>
      <c r="C2" s="2538"/>
      <c r="D2" s="2538"/>
      <c r="E2" s="2538"/>
      <c r="F2" s="1961"/>
      <c r="G2" s="1961"/>
      <c r="H2" s="1961"/>
      <c r="I2" s="1961"/>
      <c r="J2" s="1961"/>
      <c r="K2" s="1961"/>
      <c r="L2" s="1961"/>
    </row>
    <row r="3" spans="2:12" ht="13.5" customHeight="1" x14ac:dyDescent="0.2">
      <c r="B3" s="2539" t="s">
        <v>2110</v>
      </c>
      <c r="C3" s="2539"/>
      <c r="D3" s="2539"/>
      <c r="E3" s="2539"/>
      <c r="F3" s="1962"/>
      <c r="G3" s="1962"/>
      <c r="H3" s="1962"/>
      <c r="I3" s="1962"/>
      <c r="J3" s="1962"/>
      <c r="K3" s="1962"/>
      <c r="L3" s="1962"/>
    </row>
    <row r="4" spans="2:12" ht="13.5" customHeight="1" x14ac:dyDescent="0.2">
      <c r="B4" s="2540" t="s">
        <v>1989</v>
      </c>
      <c r="C4" s="2540"/>
      <c r="D4" s="2540"/>
      <c r="E4" s="2540"/>
      <c r="F4" s="1963"/>
      <c r="G4" s="1963"/>
      <c r="H4" s="1963"/>
      <c r="I4" s="1963"/>
      <c r="J4" s="1963"/>
      <c r="K4" s="1963"/>
      <c r="L4" s="1963"/>
    </row>
    <row r="5" spans="2:12" ht="29.85" customHeight="1" x14ac:dyDescent="0.2"/>
    <row r="6" spans="2:12" ht="13.5" customHeight="1" x14ac:dyDescent="0.2">
      <c r="B6" s="1964" t="s">
        <v>2111</v>
      </c>
      <c r="C6" s="1964"/>
      <c r="D6" s="1965"/>
      <c r="E6" s="1966"/>
      <c r="F6" s="1966"/>
      <c r="G6" s="1967"/>
      <c r="H6" s="1967"/>
      <c r="I6" s="1967"/>
    </row>
    <row r="7" spans="2:12" ht="13.5" customHeight="1" x14ac:dyDescent="0.2">
      <c r="B7" s="1960" t="s">
        <v>1169</v>
      </c>
    </row>
    <row r="8" spans="2:12" ht="13.5" customHeight="1" x14ac:dyDescent="0.2">
      <c r="B8" s="1968" t="s">
        <v>2112</v>
      </c>
      <c r="C8" s="1969" t="s">
        <v>1991</v>
      </c>
      <c r="D8" s="1970">
        <v>1</v>
      </c>
    </row>
    <row r="9" spans="2:12" ht="13.5" customHeight="1" x14ac:dyDescent="0.2">
      <c r="B9" s="1971"/>
      <c r="C9" s="1971"/>
      <c r="D9" s="1971"/>
    </row>
    <row r="10" spans="2:12" ht="13.5" customHeight="1" x14ac:dyDescent="0.2">
      <c r="B10" s="1968" t="s">
        <v>2113</v>
      </c>
      <c r="C10" s="1968"/>
    </row>
    <row r="11" spans="2:12" ht="87" customHeight="1" x14ac:dyDescent="0.2">
      <c r="B11" s="2536" t="str">
        <f>'Finding 2019-001'!B17</f>
        <v>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v>
      </c>
      <c r="C11" s="2536"/>
      <c r="D11" s="2536"/>
      <c r="E11" s="2536"/>
    </row>
    <row r="12" spans="2:12" ht="13.5" customHeight="1" x14ac:dyDescent="0.2"/>
    <row r="13" spans="2:12" ht="13.5" customHeight="1" x14ac:dyDescent="0.2">
      <c r="B13" s="1968" t="s">
        <v>2115</v>
      </c>
      <c r="C13" s="1968"/>
    </row>
    <row r="14" spans="2:12" ht="63" customHeight="1" x14ac:dyDescent="0.2">
      <c r="B14" s="2536" t="s">
        <v>2124</v>
      </c>
      <c r="C14" s="2536"/>
      <c r="D14" s="2536"/>
      <c r="E14" s="2536"/>
    </row>
    <row r="15" spans="2:12" ht="13.5" customHeight="1" x14ac:dyDescent="0.2"/>
    <row r="16" spans="2:12" ht="13.5" customHeight="1" x14ac:dyDescent="0.2">
      <c r="B16" s="1968" t="s">
        <v>2117</v>
      </c>
      <c r="C16" s="1968"/>
      <c r="E16" s="1972" t="s">
        <v>2118</v>
      </c>
    </row>
    <row r="17" spans="2:5" ht="13.5" customHeight="1" x14ac:dyDescent="0.2"/>
    <row r="18" spans="2:5" ht="13.5" customHeight="1" x14ac:dyDescent="0.2">
      <c r="B18" s="1968" t="s">
        <v>2119</v>
      </c>
      <c r="C18" s="1968"/>
      <c r="E18" s="1973" t="s">
        <v>2130</v>
      </c>
    </row>
    <row r="19" spans="2:5" ht="13.5" customHeight="1" x14ac:dyDescent="0.2"/>
    <row r="20" spans="2:5" ht="13.5" customHeight="1" x14ac:dyDescent="0.2">
      <c r="B20" s="1968" t="s">
        <v>2120</v>
      </c>
      <c r="C20" s="1968"/>
      <c r="E20" s="1984" t="s">
        <v>2125</v>
      </c>
    </row>
    <row r="21" spans="2:5" ht="13.5" customHeight="1" x14ac:dyDescent="0.2">
      <c r="E21" s="1982" t="s">
        <v>2126</v>
      </c>
    </row>
    <row r="22" spans="2:5" ht="13.5" customHeight="1" x14ac:dyDescent="0.2">
      <c r="E22" s="1982" t="s">
        <v>2127</v>
      </c>
    </row>
    <row r="23" spans="2:5" ht="13.5" customHeight="1" x14ac:dyDescent="0.2">
      <c r="E23" s="1976" t="s">
        <v>2128</v>
      </c>
    </row>
    <row r="24" spans="2:5" ht="13.5" customHeight="1" x14ac:dyDescent="0.2">
      <c r="E24" s="1976" t="s">
        <v>2129</v>
      </c>
    </row>
    <row r="25" spans="2:5" ht="13.5" customHeight="1" x14ac:dyDescent="0.2">
      <c r="B25" s="1975"/>
      <c r="C25" s="1975"/>
      <c r="D25" s="1975"/>
    </row>
    <row r="26" spans="2:5" ht="13.5" customHeight="1" x14ac:dyDescent="0.2">
      <c r="B26" s="1975"/>
      <c r="C26" s="1975"/>
      <c r="D26" s="1975"/>
    </row>
    <row r="27" spans="2:5" ht="13.5" customHeight="1" x14ac:dyDescent="0.2">
      <c r="B27" s="1975"/>
      <c r="C27" s="1975"/>
      <c r="D27" s="19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6"/>
      <c r="C35" s="1976"/>
      <c r="D35" s="1976"/>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7"/>
    </row>
    <row r="42" spans="2:5" ht="12.2" customHeight="1" x14ac:dyDescent="0.2">
      <c r="B42" s="1978" t="s">
        <v>2123</v>
      </c>
      <c r="C42" s="1978"/>
      <c r="D42" s="1978"/>
    </row>
    <row r="43" spans="2:5" ht="12.2" customHeight="1" x14ac:dyDescent="0.2">
      <c r="B43" s="1979"/>
      <c r="C43" s="1979"/>
      <c r="D43" s="1979"/>
    </row>
    <row r="44" spans="2:5" ht="12.75" customHeight="1" x14ac:dyDescent="0.2">
      <c r="B44" s="1968"/>
      <c r="C44" s="1968"/>
      <c r="D44" s="1968"/>
    </row>
    <row r="45" spans="2:5" ht="12.75" customHeight="1" x14ac:dyDescent="0.2">
      <c r="B45" s="1968"/>
      <c r="C45" s="1968"/>
      <c r="D45" s="1968"/>
    </row>
    <row r="46" spans="2:5" x14ac:dyDescent="0.2">
      <c r="B46" s="1968"/>
      <c r="C46" s="1968"/>
      <c r="D46" s="1968"/>
    </row>
    <row r="47" spans="2:5" x14ac:dyDescent="0.2">
      <c r="B47" s="1968"/>
      <c r="C47" s="1968"/>
      <c r="D47" s="1968"/>
    </row>
    <row r="51" spans="2:4" x14ac:dyDescent="0.2">
      <c r="B51" s="1980"/>
      <c r="C51" s="1980"/>
      <c r="D51" s="19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81"/>
      <c r="C64" s="1981"/>
      <c r="D64" s="1981"/>
    </row>
    <row r="65" spans="2:4" x14ac:dyDescent="0.2">
      <c r="B65" s="1968"/>
      <c r="C65" s="1968"/>
      <c r="D65" s="1968"/>
    </row>
    <row r="66" spans="2:4" x14ac:dyDescent="0.2">
      <c r="B66" s="1968"/>
      <c r="C66" s="1968"/>
      <c r="D66" s="1968"/>
    </row>
    <row r="67" spans="2:4" x14ac:dyDescent="0.2">
      <c r="B67" s="1981"/>
      <c r="C67" s="1981"/>
      <c r="D67" s="1981"/>
    </row>
    <row r="68" spans="2:4" x14ac:dyDescent="0.2">
      <c r="B68" s="1981"/>
      <c r="C68" s="1981"/>
      <c r="D68" s="1981"/>
    </row>
    <row r="69" spans="2:4" x14ac:dyDescent="0.2">
      <c r="B69" s="1981"/>
      <c r="C69" s="1981"/>
      <c r="D69" s="1981"/>
    </row>
    <row r="70" spans="2:4" x14ac:dyDescent="0.2">
      <c r="B70" s="1968"/>
      <c r="C70" s="1968"/>
      <c r="D70" s="1968"/>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A0141-4DA4-4BF5-91CA-CF6E4F842945}">
  <dimension ref="B1:L70"/>
  <sheetViews>
    <sheetView showGridLines="0" zoomScale="110" zoomScaleNormal="110" zoomScaleSheetLayoutView="100" workbookViewId="0"/>
  </sheetViews>
  <sheetFormatPr defaultColWidth="9.140625" defaultRowHeight="12.75" x14ac:dyDescent="0.2"/>
  <cols>
    <col min="1" max="1" width="1.5703125" style="1960" customWidth="1"/>
    <col min="2" max="2" width="11.28515625" style="1960" customWidth="1"/>
    <col min="3" max="3" width="6.42578125" style="1960" customWidth="1"/>
    <col min="4" max="4" width="5.42578125" style="1960" customWidth="1"/>
    <col min="5" max="5" width="74.7109375" style="1960" customWidth="1"/>
    <col min="6" max="6" width="1.5703125" style="1960" customWidth="1"/>
    <col min="7" max="8" width="2.42578125" style="1960" customWidth="1"/>
    <col min="9" max="9" width="9.28515625" style="1960" customWidth="1"/>
    <col min="10" max="10" width="14.42578125" style="1960" customWidth="1"/>
    <col min="11" max="11" width="7.28515625" style="1960" customWidth="1"/>
    <col min="12" max="12" width="3.140625" style="1960" customWidth="1"/>
    <col min="13" max="16384" width="9.140625" style="1960"/>
  </cols>
  <sheetData>
    <row r="1" spans="2:12" ht="13.5" customHeight="1" x14ac:dyDescent="0.2">
      <c r="B1" s="2537" t="str">
        <f>'CAP Finding 001'!B1</f>
        <v>Erie CUSD 1</v>
      </c>
      <c r="C1" s="2537"/>
      <c r="D1" s="2537"/>
      <c r="E1" s="2537"/>
      <c r="F1" s="1959"/>
      <c r="G1" s="1959"/>
      <c r="H1" s="1959"/>
      <c r="I1" s="1959"/>
      <c r="J1" s="1959"/>
      <c r="K1" s="1959"/>
      <c r="L1" s="1959"/>
    </row>
    <row r="2" spans="2:12" ht="13.5" customHeight="1" x14ac:dyDescent="0.2">
      <c r="B2" s="2538">
        <f>'CAP Finding 001'!B2</f>
        <v>47098001026</v>
      </c>
      <c r="C2" s="2538"/>
      <c r="D2" s="2538"/>
      <c r="E2" s="2538"/>
      <c r="F2" s="1961"/>
      <c r="G2" s="1961"/>
      <c r="H2" s="1961"/>
      <c r="I2" s="1961"/>
      <c r="J2" s="1961"/>
      <c r="K2" s="1961"/>
      <c r="L2" s="1961"/>
    </row>
    <row r="3" spans="2:12" ht="13.5" customHeight="1" x14ac:dyDescent="0.2">
      <c r="B3" s="2539" t="s">
        <v>2110</v>
      </c>
      <c r="C3" s="2539"/>
      <c r="D3" s="2539"/>
      <c r="E3" s="2539"/>
      <c r="F3" s="1962"/>
      <c r="G3" s="1962"/>
      <c r="H3" s="1962"/>
      <c r="I3" s="1962"/>
      <c r="J3" s="1962"/>
      <c r="K3" s="1962"/>
      <c r="L3" s="1962"/>
    </row>
    <row r="4" spans="2:12" ht="13.5" customHeight="1" x14ac:dyDescent="0.2">
      <c r="B4" s="2540" t="s">
        <v>1989</v>
      </c>
      <c r="C4" s="2540"/>
      <c r="D4" s="2540"/>
      <c r="E4" s="2540"/>
      <c r="F4" s="1963"/>
      <c r="G4" s="1963"/>
      <c r="H4" s="1963"/>
      <c r="I4" s="1963"/>
      <c r="J4" s="1963"/>
      <c r="K4" s="1963"/>
      <c r="L4" s="1963"/>
    </row>
    <row r="5" spans="2:12" ht="29.85" customHeight="1" x14ac:dyDescent="0.2"/>
    <row r="6" spans="2:12" ht="13.5" customHeight="1" x14ac:dyDescent="0.2">
      <c r="B6" s="1964" t="s">
        <v>2111</v>
      </c>
      <c r="C6" s="1964"/>
      <c r="D6" s="1965"/>
      <c r="E6" s="1966"/>
      <c r="F6" s="1966"/>
      <c r="G6" s="1967"/>
      <c r="H6" s="1967"/>
      <c r="I6" s="1967"/>
    </row>
    <row r="7" spans="2:12" ht="13.5" customHeight="1" x14ac:dyDescent="0.2">
      <c r="B7" s="1960" t="s">
        <v>1169</v>
      </c>
    </row>
    <row r="8" spans="2:12" ht="13.5" customHeight="1" x14ac:dyDescent="0.2">
      <c r="B8" s="1968" t="s">
        <v>2112</v>
      </c>
      <c r="C8" s="1969" t="s">
        <v>1991</v>
      </c>
      <c r="D8" s="1970">
        <v>2</v>
      </c>
    </row>
    <row r="9" spans="2:12" ht="13.5" customHeight="1" x14ac:dyDescent="0.2">
      <c r="B9" s="1971"/>
      <c r="C9" s="1971"/>
      <c r="D9" s="1971"/>
    </row>
    <row r="10" spans="2:12" ht="13.5" customHeight="1" x14ac:dyDescent="0.2">
      <c r="B10" s="1968" t="s">
        <v>2113</v>
      </c>
      <c r="C10" s="1968"/>
    </row>
    <row r="11" spans="2:12" ht="66.75" customHeight="1" x14ac:dyDescent="0.2">
      <c r="B11" s="2536" t="s">
        <v>2114</v>
      </c>
      <c r="C11" s="2536"/>
      <c r="D11" s="2536"/>
      <c r="E11" s="2536"/>
    </row>
    <row r="12" spans="2:12" ht="13.5" customHeight="1" x14ac:dyDescent="0.2"/>
    <row r="13" spans="2:12" ht="13.5" customHeight="1" x14ac:dyDescent="0.2">
      <c r="B13" s="1968" t="s">
        <v>2115</v>
      </c>
      <c r="C13" s="1968"/>
    </row>
    <row r="14" spans="2:12" ht="76.5" customHeight="1" x14ac:dyDescent="0.2">
      <c r="B14" s="2536" t="s">
        <v>2116</v>
      </c>
      <c r="C14" s="2536"/>
      <c r="D14" s="2536"/>
      <c r="E14" s="2536"/>
    </row>
    <row r="15" spans="2:12" ht="13.5" customHeight="1" x14ac:dyDescent="0.2"/>
    <row r="16" spans="2:12" ht="13.5" customHeight="1" x14ac:dyDescent="0.2">
      <c r="B16" s="1968" t="s">
        <v>2117</v>
      </c>
      <c r="C16" s="1968"/>
      <c r="E16" s="1972" t="s">
        <v>2118</v>
      </c>
    </row>
    <row r="17" spans="2:5" ht="13.5" customHeight="1" x14ac:dyDescent="0.2"/>
    <row r="18" spans="2:5" ht="13.5" customHeight="1" x14ac:dyDescent="0.2">
      <c r="B18" s="1968" t="s">
        <v>2119</v>
      </c>
      <c r="C18" s="1968"/>
      <c r="E18" s="1973" t="str">
        <f>'CAP Finding 001'!E18</f>
        <v>Martin Felesena, Superintendent</v>
      </c>
    </row>
    <row r="19" spans="2:5" ht="13.5" customHeight="1" x14ac:dyDescent="0.2"/>
    <row r="20" spans="2:5" ht="13.5" customHeight="1" x14ac:dyDescent="0.2">
      <c r="B20" s="1968" t="s">
        <v>2120</v>
      </c>
      <c r="C20" s="1968"/>
      <c r="E20" s="1983" t="s">
        <v>2121</v>
      </c>
    </row>
    <row r="21" spans="2:5" ht="13.5" customHeight="1" x14ac:dyDescent="0.2">
      <c r="E21" s="1974" t="s">
        <v>2122</v>
      </c>
    </row>
    <row r="22" spans="2:5" ht="13.5" customHeight="1" x14ac:dyDescent="0.2">
      <c r="E22" s="1973"/>
    </row>
    <row r="23" spans="2:5" ht="13.5" customHeight="1" x14ac:dyDescent="0.2"/>
    <row r="24" spans="2:5" ht="13.5" customHeight="1" x14ac:dyDescent="0.2"/>
    <row r="25" spans="2:5" ht="13.5" customHeight="1" x14ac:dyDescent="0.2">
      <c r="B25" s="1975"/>
      <c r="C25" s="1975"/>
      <c r="D25" s="1975"/>
    </row>
    <row r="26" spans="2:5" ht="13.5" customHeight="1" x14ac:dyDescent="0.2">
      <c r="B26" s="1975"/>
      <c r="C26" s="1975"/>
      <c r="D26" s="1975"/>
    </row>
    <row r="27" spans="2:5" ht="13.5" customHeight="1" x14ac:dyDescent="0.2">
      <c r="B27" s="1975"/>
      <c r="C27" s="1975"/>
      <c r="D27" s="19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6"/>
      <c r="C35" s="1976"/>
      <c r="D35" s="1976"/>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7"/>
    </row>
    <row r="42" spans="2:5" ht="12.2" customHeight="1" x14ac:dyDescent="0.2">
      <c r="B42" s="1978" t="s">
        <v>2123</v>
      </c>
      <c r="C42" s="1978"/>
      <c r="D42" s="1978"/>
    </row>
    <row r="43" spans="2:5" ht="12.2" customHeight="1" x14ac:dyDescent="0.2">
      <c r="B43" s="1979"/>
      <c r="C43" s="1979"/>
      <c r="D43" s="1979"/>
    </row>
    <row r="44" spans="2:5" ht="12.75" customHeight="1" x14ac:dyDescent="0.2">
      <c r="B44" s="1968"/>
      <c r="C44" s="1968"/>
      <c r="D44" s="1968"/>
    </row>
    <row r="45" spans="2:5" ht="12.75" customHeight="1" x14ac:dyDescent="0.2">
      <c r="B45" s="1968"/>
      <c r="C45" s="1968"/>
      <c r="D45" s="1968"/>
    </row>
    <row r="46" spans="2:5" x14ac:dyDescent="0.2">
      <c r="B46" s="1968"/>
      <c r="C46" s="1968"/>
      <c r="D46" s="1968"/>
    </row>
    <row r="47" spans="2:5" x14ac:dyDescent="0.2">
      <c r="B47" s="1968"/>
      <c r="C47" s="1968"/>
      <c r="D47" s="1968"/>
    </row>
    <row r="51" spans="2:4" x14ac:dyDescent="0.2">
      <c r="B51" s="1980"/>
      <c r="C51" s="1980"/>
      <c r="D51" s="19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81"/>
      <c r="C64" s="1981"/>
      <c r="D64" s="1981"/>
    </row>
    <row r="65" spans="2:4" x14ac:dyDescent="0.2">
      <c r="B65" s="1968"/>
      <c r="C65" s="1968"/>
      <c r="D65" s="1968"/>
    </row>
    <row r="66" spans="2:4" x14ac:dyDescent="0.2">
      <c r="B66" s="1968"/>
      <c r="C66" s="1968"/>
      <c r="D66" s="1968"/>
    </row>
    <row r="67" spans="2:4" x14ac:dyDescent="0.2">
      <c r="B67" s="1981"/>
      <c r="C67" s="1981"/>
      <c r="D67" s="1981"/>
    </row>
    <row r="68" spans="2:4" x14ac:dyDescent="0.2">
      <c r="B68" s="1981"/>
      <c r="C68" s="1981"/>
      <c r="D68" s="1981"/>
    </row>
    <row r="69" spans="2:4" x14ac:dyDescent="0.2">
      <c r="B69" s="1981"/>
      <c r="C69" s="1981"/>
      <c r="D69" s="1981"/>
    </row>
    <row r="70" spans="2:4" x14ac:dyDescent="0.2">
      <c r="B70" s="1968"/>
      <c r="C70" s="1968"/>
      <c r="D70" s="1968"/>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AD06-E9CC-4D9D-ABC8-6F441E6C6EB6}">
  <dimension ref="B1:L70"/>
  <sheetViews>
    <sheetView showGridLines="0" zoomScale="110" zoomScaleNormal="110" zoomScaleSheetLayoutView="100" workbookViewId="0"/>
  </sheetViews>
  <sheetFormatPr defaultColWidth="9.140625" defaultRowHeight="12.75" x14ac:dyDescent="0.2"/>
  <cols>
    <col min="1" max="1" width="1.5703125" style="1960" customWidth="1"/>
    <col min="2" max="2" width="11.28515625" style="1960" customWidth="1"/>
    <col min="3" max="3" width="6.42578125" style="1960" customWidth="1"/>
    <col min="4" max="4" width="5.42578125" style="1960" customWidth="1"/>
    <col min="5" max="5" width="74.7109375" style="1960" customWidth="1"/>
    <col min="6" max="6" width="1.5703125" style="1960" customWidth="1"/>
    <col min="7" max="8" width="2.42578125" style="1960" customWidth="1"/>
    <col min="9" max="9" width="9.28515625" style="1960" customWidth="1"/>
    <col min="10" max="10" width="14.42578125" style="1960" customWidth="1"/>
    <col min="11" max="11" width="7.28515625" style="1960" customWidth="1"/>
    <col min="12" max="12" width="3.140625" style="1960" customWidth="1"/>
    <col min="13" max="16384" width="9.140625" style="1960"/>
  </cols>
  <sheetData>
    <row r="1" spans="2:12" ht="13.5" customHeight="1" x14ac:dyDescent="0.2">
      <c r="B1" s="2537" t="str">
        <f>'CAP Finding 002'!B1</f>
        <v>Erie CUSD 1</v>
      </c>
      <c r="C1" s="2537"/>
      <c r="D1" s="2537"/>
      <c r="E1" s="2537"/>
      <c r="F1" s="1959"/>
      <c r="G1" s="1959"/>
      <c r="H1" s="1959"/>
      <c r="I1" s="1959"/>
      <c r="J1" s="1959"/>
      <c r="K1" s="1959"/>
      <c r="L1" s="1959"/>
    </row>
    <row r="2" spans="2:12" ht="13.5" customHeight="1" x14ac:dyDescent="0.2">
      <c r="B2" s="2538">
        <f>'CAP Finding 002'!B2</f>
        <v>47098001026</v>
      </c>
      <c r="C2" s="2538"/>
      <c r="D2" s="2538"/>
      <c r="E2" s="2538"/>
      <c r="F2" s="1961"/>
      <c r="G2" s="1961"/>
      <c r="H2" s="1961"/>
      <c r="I2" s="1961"/>
      <c r="J2" s="1961"/>
      <c r="K2" s="1961"/>
      <c r="L2" s="1961"/>
    </row>
    <row r="3" spans="2:12" ht="13.5" customHeight="1" x14ac:dyDescent="0.2">
      <c r="B3" s="2539" t="s">
        <v>2110</v>
      </c>
      <c r="C3" s="2539"/>
      <c r="D3" s="2539"/>
      <c r="E3" s="2539"/>
      <c r="F3" s="1962"/>
      <c r="G3" s="1962"/>
      <c r="H3" s="1962"/>
      <c r="I3" s="1962"/>
      <c r="J3" s="1962"/>
      <c r="K3" s="1962"/>
      <c r="L3" s="1962"/>
    </row>
    <row r="4" spans="2:12" ht="13.5" customHeight="1" x14ac:dyDescent="0.2">
      <c r="B4" s="2540" t="s">
        <v>1989</v>
      </c>
      <c r="C4" s="2540"/>
      <c r="D4" s="2540"/>
      <c r="E4" s="2540"/>
      <c r="F4" s="1963"/>
      <c r="G4" s="1963"/>
      <c r="H4" s="1963"/>
      <c r="I4" s="1963"/>
      <c r="J4" s="1963"/>
      <c r="K4" s="1963"/>
      <c r="L4" s="1963"/>
    </row>
    <row r="5" spans="2:12" ht="29.85" customHeight="1" x14ac:dyDescent="0.2"/>
    <row r="6" spans="2:12" ht="13.5" customHeight="1" x14ac:dyDescent="0.2">
      <c r="B6" s="1964" t="s">
        <v>2111</v>
      </c>
      <c r="C6" s="1964"/>
      <c r="D6" s="1965"/>
      <c r="E6" s="1966"/>
      <c r="F6" s="1966"/>
      <c r="G6" s="1967"/>
      <c r="H6" s="1967"/>
      <c r="I6" s="1967"/>
    </row>
    <row r="7" spans="2:12" ht="13.5" customHeight="1" x14ac:dyDescent="0.2">
      <c r="B7" s="1960" t="s">
        <v>1169</v>
      </c>
    </row>
    <row r="8" spans="2:12" ht="13.5" customHeight="1" x14ac:dyDescent="0.2">
      <c r="B8" s="1968" t="s">
        <v>2112</v>
      </c>
      <c r="C8" s="1969" t="s">
        <v>1991</v>
      </c>
      <c r="D8" s="1970">
        <v>3</v>
      </c>
    </row>
    <row r="9" spans="2:12" ht="13.5" customHeight="1" x14ac:dyDescent="0.2">
      <c r="B9" s="1971"/>
      <c r="C9" s="1971"/>
      <c r="D9" s="1971"/>
    </row>
    <row r="10" spans="2:12" ht="13.5" customHeight="1" x14ac:dyDescent="0.2">
      <c r="B10" s="1968" t="s">
        <v>2113</v>
      </c>
      <c r="C10" s="1968"/>
    </row>
    <row r="11" spans="2:12" ht="66.75" customHeight="1" x14ac:dyDescent="0.2">
      <c r="B11" s="2536" t="str">
        <f>'Finding 2019-003'!B17</f>
        <v xml:space="preserve">Certain funds carried negative cash and investment balances throughout the year. The negative balances were in a common checking account covered by available monies in other funds. </v>
      </c>
      <c r="C11" s="2536"/>
      <c r="D11" s="2536"/>
      <c r="E11" s="2536"/>
    </row>
    <row r="12" spans="2:12" ht="13.5" customHeight="1" x14ac:dyDescent="0.2"/>
    <row r="13" spans="2:12" ht="13.5" customHeight="1" x14ac:dyDescent="0.2">
      <c r="B13" s="1968" t="s">
        <v>2115</v>
      </c>
      <c r="C13" s="1968"/>
    </row>
    <row r="14" spans="2:12" ht="76.5" customHeight="1" x14ac:dyDescent="0.2">
      <c r="B14" s="2536" t="s">
        <v>2163</v>
      </c>
      <c r="C14" s="2536"/>
      <c r="D14" s="2536"/>
      <c r="E14" s="2536"/>
    </row>
    <row r="15" spans="2:12" ht="13.5" customHeight="1" x14ac:dyDescent="0.2"/>
    <row r="16" spans="2:12" ht="13.5" customHeight="1" x14ac:dyDescent="0.2">
      <c r="B16" s="1968" t="s">
        <v>2117</v>
      </c>
      <c r="C16" s="1968"/>
      <c r="E16" s="1972" t="s">
        <v>2118</v>
      </c>
    </row>
    <row r="17" spans="2:5" ht="13.5" customHeight="1" x14ac:dyDescent="0.2"/>
    <row r="18" spans="2:5" ht="13.5" customHeight="1" x14ac:dyDescent="0.2">
      <c r="B18" s="1968" t="s">
        <v>2119</v>
      </c>
      <c r="C18" s="1968"/>
      <c r="E18" s="1973" t="str">
        <f>'CAP Finding 002'!E18</f>
        <v>Martin Felesena, Superintendent</v>
      </c>
    </row>
    <row r="19" spans="2:5" ht="13.5" customHeight="1" x14ac:dyDescent="0.2"/>
    <row r="20" spans="2:5" ht="13.5" customHeight="1" x14ac:dyDescent="0.2">
      <c r="B20" s="1968" t="s">
        <v>2120</v>
      </c>
      <c r="C20" s="1968"/>
      <c r="E20" s="1984" t="s">
        <v>2133</v>
      </c>
    </row>
    <row r="21" spans="2:5" ht="13.5" customHeight="1" x14ac:dyDescent="0.2">
      <c r="E21" s="1982"/>
    </row>
    <row r="22" spans="2:5" ht="13.5" customHeight="1" x14ac:dyDescent="0.2">
      <c r="E22" s="1982"/>
    </row>
    <row r="23" spans="2:5" ht="13.5" customHeight="1" x14ac:dyDescent="0.2">
      <c r="E23" s="1976"/>
    </row>
    <row r="24" spans="2:5" ht="13.5" customHeight="1" x14ac:dyDescent="0.2">
      <c r="E24" s="1976"/>
    </row>
    <row r="25" spans="2:5" ht="13.5" customHeight="1" x14ac:dyDescent="0.2">
      <c r="B25" s="1975"/>
      <c r="C25" s="1975"/>
      <c r="D25" s="1975"/>
    </row>
    <row r="26" spans="2:5" ht="13.5" customHeight="1" x14ac:dyDescent="0.2">
      <c r="B26" s="1975"/>
      <c r="C26" s="1975"/>
      <c r="D26" s="1975"/>
    </row>
    <row r="27" spans="2:5" ht="13.5" customHeight="1" x14ac:dyDescent="0.2">
      <c r="B27" s="1975"/>
      <c r="C27" s="1975"/>
      <c r="D27" s="19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6"/>
      <c r="C35" s="1976"/>
      <c r="D35" s="1976"/>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7"/>
    </row>
    <row r="42" spans="2:5" ht="12.2" customHeight="1" x14ac:dyDescent="0.2">
      <c r="B42" s="1978" t="s">
        <v>2123</v>
      </c>
      <c r="C42" s="1978"/>
      <c r="D42" s="1978"/>
    </row>
    <row r="43" spans="2:5" ht="12.2" customHeight="1" x14ac:dyDescent="0.2">
      <c r="B43" s="1979"/>
      <c r="C43" s="1979"/>
      <c r="D43" s="1979"/>
    </row>
    <row r="44" spans="2:5" ht="12.75" customHeight="1" x14ac:dyDescent="0.2">
      <c r="B44" s="1968"/>
      <c r="C44" s="1968"/>
      <c r="D44" s="1968"/>
    </row>
    <row r="45" spans="2:5" ht="12.75" customHeight="1" x14ac:dyDescent="0.2">
      <c r="B45" s="1968"/>
      <c r="C45" s="1968"/>
      <c r="D45" s="1968"/>
    </row>
    <row r="46" spans="2:5" x14ac:dyDescent="0.2">
      <c r="B46" s="1968"/>
      <c r="C46" s="1968"/>
      <c r="D46" s="1968"/>
    </row>
    <row r="47" spans="2:5" x14ac:dyDescent="0.2">
      <c r="B47" s="1968"/>
      <c r="C47" s="1968"/>
      <c r="D47" s="1968"/>
    </row>
    <row r="51" spans="2:4" x14ac:dyDescent="0.2">
      <c r="B51" s="1980"/>
      <c r="C51" s="1980"/>
      <c r="D51" s="19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81"/>
      <c r="C64" s="1981"/>
      <c r="D64" s="1981"/>
    </row>
    <row r="65" spans="2:4" x14ac:dyDescent="0.2">
      <c r="B65" s="1968"/>
      <c r="C65" s="1968"/>
      <c r="D65" s="1968"/>
    </row>
    <row r="66" spans="2:4" x14ac:dyDescent="0.2">
      <c r="B66" s="1968"/>
      <c r="C66" s="1968"/>
      <c r="D66" s="1968"/>
    </row>
    <row r="67" spans="2:4" x14ac:dyDescent="0.2">
      <c r="B67" s="1981"/>
      <c r="C67" s="1981"/>
      <c r="D67" s="1981"/>
    </row>
    <row r="68" spans="2:4" x14ac:dyDescent="0.2">
      <c r="B68" s="1981"/>
      <c r="C68" s="1981"/>
      <c r="D68" s="1981"/>
    </row>
    <row r="69" spans="2:4" x14ac:dyDescent="0.2">
      <c r="B69" s="1981"/>
      <c r="C69" s="1981"/>
      <c r="D69" s="1981"/>
    </row>
    <row r="70" spans="2:4" x14ac:dyDescent="0.2">
      <c r="B70" s="1968"/>
      <c r="C70" s="1968"/>
      <c r="D70" s="1968"/>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8"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0" t="s">
        <v>386</v>
      </c>
      <c r="B1" s="2130"/>
      <c r="C1" s="2130"/>
      <c r="D1" s="2130"/>
      <c r="E1" s="2130"/>
      <c r="F1" s="2130"/>
      <c r="G1" s="2130"/>
      <c r="H1" s="2130"/>
      <c r="I1" s="2130"/>
      <c r="J1" s="2130"/>
      <c r="K1" s="2130"/>
      <c r="L1" s="2130"/>
      <c r="M1" s="213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371341741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0.02</v>
      </c>
      <c r="E10" s="356" t="s">
        <v>1005</v>
      </c>
      <c r="F10" s="355">
        <v>5.0000000000000001E-3</v>
      </c>
      <c r="G10" s="356" t="s">
        <v>1005</v>
      </c>
      <c r="H10" s="355">
        <v>2E-3</v>
      </c>
      <c r="I10" s="356" t="s">
        <v>1006</v>
      </c>
      <c r="J10" s="1729">
        <f>ROUND(D10+F10+H10,5)</f>
        <v>2.7E-2</v>
      </c>
      <c r="K10" s="222"/>
      <c r="L10" s="355">
        <v>5.0000000000000001E-4</v>
      </c>
      <c r="M10" s="222"/>
    </row>
    <row r="11" spans="1:14" ht="7.5" customHeight="1" x14ac:dyDescent="0.2">
      <c r="B11" s="222"/>
      <c r="C11" s="222"/>
      <c r="D11" s="2140" t="str">
        <f>IF(SUM(J10)&lt;=0.0999999,"","Enter the Tax Rates by moving the decimal two places to the left.")</f>
        <v/>
      </c>
      <c r="E11" s="2141"/>
      <c r="F11" s="2141"/>
      <c r="G11" s="2141"/>
      <c r="H11" s="2141"/>
      <c r="I11" s="2141"/>
      <c r="J11" s="214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15269469</v>
      </c>
      <c r="E16" s="356"/>
      <c r="F16" s="1730">
        <f>SUM('Acct Summary 7-8'!C17,'Acct Summary 7-8'!D17,'Acct Summary 7-8'!F17)</f>
        <v>11925135</v>
      </c>
      <c r="G16" s="356"/>
      <c r="H16" s="1730">
        <f>SUM(D16-F16)</f>
        <v>3344334</v>
      </c>
      <c r="I16" s="222"/>
      <c r="J16" s="1730">
        <f>SUM('Acct Summary 7-8'!C81,'Acct Summary 7-8'!D81,'Acct Summary 7-8'!F81,'Acct Summary 7-8'!I81)</f>
        <v>12649671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51245160.258000001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1646112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31"/>
      <c r="C54" s="2132"/>
      <c r="D54" s="2132"/>
      <c r="E54" s="2132"/>
      <c r="F54" s="2132"/>
      <c r="G54" s="2132"/>
      <c r="H54" s="2132"/>
      <c r="I54" s="2132"/>
      <c r="J54" s="2132"/>
      <c r="K54" s="2132"/>
      <c r="L54" s="2133"/>
      <c r="M54" s="380"/>
    </row>
    <row r="55" spans="1:13" ht="12.75" customHeight="1" x14ac:dyDescent="0.2">
      <c r="B55" s="2134"/>
      <c r="C55" s="2135"/>
      <c r="D55" s="2135"/>
      <c r="E55" s="2135"/>
      <c r="F55" s="2135"/>
      <c r="G55" s="2135"/>
      <c r="H55" s="2135"/>
      <c r="I55" s="2135"/>
      <c r="J55" s="2135"/>
      <c r="K55" s="2135"/>
      <c r="L55" s="2136"/>
      <c r="M55" s="380"/>
    </row>
    <row r="56" spans="1:13" ht="12.75" customHeight="1" x14ac:dyDescent="0.2">
      <c r="B56" s="2134"/>
      <c r="C56" s="2135"/>
      <c r="D56" s="2135"/>
      <c r="E56" s="2135"/>
      <c r="F56" s="2135"/>
      <c r="G56" s="2135"/>
      <c r="H56" s="2135"/>
      <c r="I56" s="2135"/>
      <c r="J56" s="2135"/>
      <c r="K56" s="2135"/>
      <c r="L56" s="2136"/>
      <c r="M56" s="222"/>
    </row>
    <row r="57" spans="1:13" ht="12.75" customHeight="1" x14ac:dyDescent="0.2">
      <c r="B57" s="2134"/>
      <c r="C57" s="2135"/>
      <c r="D57" s="2135"/>
      <c r="E57" s="2135"/>
      <c r="F57" s="2135"/>
      <c r="G57" s="2135"/>
      <c r="H57" s="2135"/>
      <c r="I57" s="2135"/>
      <c r="J57" s="2135"/>
      <c r="K57" s="2135"/>
      <c r="L57" s="2136"/>
      <c r="M57" s="222"/>
    </row>
    <row r="58" spans="1:13" x14ac:dyDescent="0.2">
      <c r="B58" s="2137"/>
      <c r="C58" s="2138"/>
      <c r="D58" s="2138"/>
      <c r="E58" s="2138"/>
      <c r="F58" s="2138"/>
      <c r="G58" s="2138"/>
      <c r="H58" s="2138"/>
      <c r="I58" s="2138"/>
      <c r="J58" s="2138"/>
      <c r="K58" s="2138"/>
      <c r="L58" s="213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2"/>
      <c r="D61" s="214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F72E7-8403-4355-9B68-EA0059562AF0}">
  <dimension ref="B1:L70"/>
  <sheetViews>
    <sheetView showGridLines="0" zoomScale="110" zoomScaleNormal="110" zoomScaleSheetLayoutView="100" workbookViewId="0"/>
  </sheetViews>
  <sheetFormatPr defaultColWidth="9.140625" defaultRowHeight="12.75" x14ac:dyDescent="0.2"/>
  <cols>
    <col min="1" max="1" width="1.5703125" style="1960" customWidth="1"/>
    <col min="2" max="2" width="11.28515625" style="1960" customWidth="1"/>
    <col min="3" max="3" width="6.42578125" style="1960" customWidth="1"/>
    <col min="4" max="4" width="5.42578125" style="1960" customWidth="1"/>
    <col min="5" max="5" width="74.7109375" style="1960" customWidth="1"/>
    <col min="6" max="6" width="1.5703125" style="1960" customWidth="1"/>
    <col min="7" max="8" width="2.42578125" style="1960" customWidth="1"/>
    <col min="9" max="9" width="9.28515625" style="1960" customWidth="1"/>
    <col min="10" max="10" width="14.42578125" style="1960" customWidth="1"/>
    <col min="11" max="11" width="7.28515625" style="1960" customWidth="1"/>
    <col min="12" max="12" width="3.140625" style="1960" customWidth="1"/>
    <col min="13" max="16384" width="9.140625" style="1960"/>
  </cols>
  <sheetData>
    <row r="1" spans="2:12" ht="13.5" customHeight="1" x14ac:dyDescent="0.2">
      <c r="B1" s="2537" t="str">
        <f>'CAP Finding 003'!B1</f>
        <v>Erie CUSD 1</v>
      </c>
      <c r="C1" s="2537"/>
      <c r="D1" s="2537"/>
      <c r="E1" s="2537"/>
      <c r="F1" s="1959"/>
      <c r="G1" s="1959"/>
      <c r="H1" s="1959"/>
      <c r="I1" s="1959"/>
      <c r="J1" s="1959"/>
      <c r="K1" s="1959"/>
      <c r="L1" s="1959"/>
    </row>
    <row r="2" spans="2:12" ht="13.5" customHeight="1" x14ac:dyDescent="0.2">
      <c r="B2" s="2538">
        <f>'CAP Finding 003'!B2</f>
        <v>47098001026</v>
      </c>
      <c r="C2" s="2538"/>
      <c r="D2" s="2538"/>
      <c r="E2" s="2538"/>
      <c r="F2" s="1961"/>
      <c r="G2" s="1961"/>
      <c r="H2" s="1961"/>
      <c r="I2" s="1961"/>
      <c r="J2" s="1961"/>
      <c r="K2" s="1961"/>
      <c r="L2" s="1961"/>
    </row>
    <row r="3" spans="2:12" ht="13.5" customHeight="1" x14ac:dyDescent="0.2">
      <c r="B3" s="2539" t="s">
        <v>2110</v>
      </c>
      <c r="C3" s="2539"/>
      <c r="D3" s="2539"/>
      <c r="E3" s="2539"/>
      <c r="F3" s="1962"/>
      <c r="G3" s="1962"/>
      <c r="H3" s="1962"/>
      <c r="I3" s="1962"/>
      <c r="J3" s="1962"/>
      <c r="K3" s="1962"/>
      <c r="L3" s="1962"/>
    </row>
    <row r="4" spans="2:12" ht="13.5" customHeight="1" x14ac:dyDescent="0.2">
      <c r="B4" s="2540" t="s">
        <v>1989</v>
      </c>
      <c r="C4" s="2540"/>
      <c r="D4" s="2540"/>
      <c r="E4" s="2540"/>
      <c r="F4" s="1963"/>
      <c r="G4" s="1963"/>
      <c r="H4" s="1963"/>
      <c r="I4" s="1963"/>
      <c r="J4" s="1963"/>
      <c r="K4" s="1963"/>
      <c r="L4" s="1963"/>
    </row>
    <row r="5" spans="2:12" ht="29.85" customHeight="1" x14ac:dyDescent="0.2"/>
    <row r="6" spans="2:12" ht="13.5" customHeight="1" x14ac:dyDescent="0.2">
      <c r="B6" s="1964" t="s">
        <v>2111</v>
      </c>
      <c r="C6" s="1964"/>
      <c r="D6" s="1965"/>
      <c r="E6" s="1966"/>
      <c r="F6" s="1966"/>
      <c r="G6" s="1967"/>
      <c r="H6" s="1967"/>
      <c r="I6" s="1967"/>
    </row>
    <row r="7" spans="2:12" ht="13.5" customHeight="1" x14ac:dyDescent="0.2">
      <c r="B7" s="1960" t="s">
        <v>1169</v>
      </c>
    </row>
    <row r="8" spans="2:12" ht="13.5" customHeight="1" x14ac:dyDescent="0.2">
      <c r="B8" s="1968" t="s">
        <v>2112</v>
      </c>
      <c r="C8" s="1969" t="s">
        <v>1991</v>
      </c>
      <c r="D8" s="1970">
        <v>4</v>
      </c>
    </row>
    <row r="9" spans="2:12" ht="13.5" customHeight="1" x14ac:dyDescent="0.2">
      <c r="B9" s="1971"/>
      <c r="C9" s="1971"/>
      <c r="D9" s="1971"/>
    </row>
    <row r="10" spans="2:12" ht="13.5" customHeight="1" x14ac:dyDescent="0.2">
      <c r="B10" s="1968" t="s">
        <v>2113</v>
      </c>
      <c r="C10" s="1968"/>
    </row>
    <row r="11" spans="2:12" ht="66.75" customHeight="1" x14ac:dyDescent="0.2">
      <c r="B11" s="2536" t="str">
        <f>'Finding 2019-004'!B17</f>
        <v>The District's bank account was not reconciled to the accounting records on a monthly basis. The Treasurer prepared a monthly reconciliation to present to the Board of Education; however, the report did not agree to the District's accounting records.</v>
      </c>
      <c r="C11" s="2536"/>
      <c r="D11" s="2536"/>
      <c r="E11" s="2536"/>
    </row>
    <row r="12" spans="2:12" ht="13.5" customHeight="1" x14ac:dyDescent="0.2"/>
    <row r="13" spans="2:12" ht="13.5" customHeight="1" x14ac:dyDescent="0.2">
      <c r="B13" s="1968" t="s">
        <v>2115</v>
      </c>
      <c r="C13" s="1968"/>
    </row>
    <row r="14" spans="2:12" ht="76.5" customHeight="1" x14ac:dyDescent="0.2">
      <c r="B14" s="2536" t="s">
        <v>2140</v>
      </c>
      <c r="C14" s="2536"/>
      <c r="D14" s="2536"/>
      <c r="E14" s="2536"/>
    </row>
    <row r="15" spans="2:12" ht="13.5" customHeight="1" x14ac:dyDescent="0.2"/>
    <row r="16" spans="2:12" ht="13.5" customHeight="1" x14ac:dyDescent="0.2">
      <c r="B16" s="1968" t="s">
        <v>2117</v>
      </c>
      <c r="C16" s="1968"/>
      <c r="E16" s="1972" t="s">
        <v>2118</v>
      </c>
    </row>
    <row r="17" spans="2:5" ht="13.5" customHeight="1" x14ac:dyDescent="0.2"/>
    <row r="18" spans="2:5" ht="13.5" customHeight="1" x14ac:dyDescent="0.2">
      <c r="B18" s="1968" t="s">
        <v>2119</v>
      </c>
      <c r="C18" s="1968"/>
      <c r="E18" s="1973" t="str">
        <f>'CAP Finding 002'!E18</f>
        <v>Martin Felesena, Superintendent</v>
      </c>
    </row>
    <row r="19" spans="2:5" ht="13.5" customHeight="1" x14ac:dyDescent="0.2"/>
    <row r="20" spans="2:5" ht="13.5" customHeight="1" x14ac:dyDescent="0.2">
      <c r="B20" s="1968" t="s">
        <v>2120</v>
      </c>
      <c r="C20" s="1968"/>
      <c r="E20" s="1984" t="s">
        <v>2141</v>
      </c>
    </row>
    <row r="21" spans="2:5" ht="13.5" customHeight="1" x14ac:dyDescent="0.2">
      <c r="E21" s="1982"/>
    </row>
    <row r="22" spans="2:5" ht="13.5" customHeight="1" x14ac:dyDescent="0.2">
      <c r="E22" s="1982"/>
    </row>
    <row r="23" spans="2:5" ht="13.5" customHeight="1" x14ac:dyDescent="0.2">
      <c r="E23" s="1976"/>
    </row>
    <row r="24" spans="2:5" ht="13.5" customHeight="1" x14ac:dyDescent="0.2">
      <c r="E24" s="1976"/>
    </row>
    <row r="25" spans="2:5" ht="13.5" customHeight="1" x14ac:dyDescent="0.2">
      <c r="B25" s="1975"/>
      <c r="C25" s="1975"/>
      <c r="D25" s="1975"/>
    </row>
    <row r="26" spans="2:5" ht="13.5" customHeight="1" x14ac:dyDescent="0.2">
      <c r="B26" s="1975"/>
      <c r="C26" s="1975"/>
      <c r="D26" s="1975"/>
    </row>
    <row r="27" spans="2:5" ht="13.5" customHeight="1" x14ac:dyDescent="0.2">
      <c r="B27" s="1975"/>
      <c r="C27" s="1975"/>
      <c r="D27" s="19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6"/>
      <c r="C35" s="1976"/>
      <c r="D35" s="1976"/>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7"/>
    </row>
    <row r="42" spans="2:5" ht="12.2" customHeight="1" x14ac:dyDescent="0.2">
      <c r="B42" s="1978" t="s">
        <v>2123</v>
      </c>
      <c r="C42" s="1978"/>
      <c r="D42" s="1978"/>
    </row>
    <row r="43" spans="2:5" ht="12.2" customHeight="1" x14ac:dyDescent="0.2">
      <c r="B43" s="1979"/>
      <c r="C43" s="1979"/>
      <c r="D43" s="1979"/>
    </row>
    <row r="44" spans="2:5" ht="12.75" customHeight="1" x14ac:dyDescent="0.2">
      <c r="B44" s="1968"/>
      <c r="C44" s="1968"/>
      <c r="D44" s="1968"/>
    </row>
    <row r="45" spans="2:5" ht="12.75" customHeight="1" x14ac:dyDescent="0.2">
      <c r="B45" s="1968"/>
      <c r="C45" s="1968"/>
      <c r="D45" s="1968"/>
    </row>
    <row r="46" spans="2:5" x14ac:dyDescent="0.2">
      <c r="B46" s="1968"/>
      <c r="C46" s="1968"/>
      <c r="D46" s="1968"/>
    </row>
    <row r="47" spans="2:5" x14ac:dyDescent="0.2">
      <c r="B47" s="1968"/>
      <c r="C47" s="1968"/>
      <c r="D47" s="1968"/>
    </row>
    <row r="51" spans="2:4" x14ac:dyDescent="0.2">
      <c r="B51" s="1980"/>
      <c r="C51" s="1980"/>
      <c r="D51" s="19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81"/>
      <c r="C64" s="1981"/>
      <c r="D64" s="1981"/>
    </row>
    <row r="65" spans="2:4" x14ac:dyDescent="0.2">
      <c r="B65" s="1968"/>
      <c r="C65" s="1968"/>
      <c r="D65" s="1968"/>
    </row>
    <row r="66" spans="2:4" x14ac:dyDescent="0.2">
      <c r="B66" s="1968"/>
      <c r="C66" s="1968"/>
      <c r="D66" s="1968"/>
    </row>
    <row r="67" spans="2:4" x14ac:dyDescent="0.2">
      <c r="B67" s="1981"/>
      <c r="C67" s="1981"/>
      <c r="D67" s="1981"/>
    </row>
    <row r="68" spans="2:4" x14ac:dyDescent="0.2">
      <c r="B68" s="1981"/>
      <c r="C68" s="1981"/>
      <c r="D68" s="1981"/>
    </row>
    <row r="69" spans="2:4" x14ac:dyDescent="0.2">
      <c r="B69" s="1981"/>
      <c r="C69" s="1981"/>
      <c r="D69" s="1981"/>
    </row>
    <row r="70" spans="2:4" x14ac:dyDescent="0.2">
      <c r="B70" s="1968"/>
      <c r="C70" s="1968"/>
      <c r="D70" s="1968"/>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00" t="str">
        <f>'Single Audit Cover'!A7</f>
        <v>Erie CUSD 1</v>
      </c>
      <c r="C1" s="2500"/>
      <c r="D1" s="2500"/>
      <c r="E1" s="1466"/>
    </row>
    <row r="2" spans="2:5" s="1276" customFormat="1" ht="12.75" customHeight="1" x14ac:dyDescent="0.2">
      <c r="B2" s="2502">
        <f>'Single Audit Cover'!E7</f>
        <v>47098001026</v>
      </c>
      <c r="C2" s="2502"/>
      <c r="D2" s="2502"/>
      <c r="E2" s="1467"/>
    </row>
    <row r="3" spans="2:5" ht="12.75" customHeight="1" x14ac:dyDescent="0.2">
      <c r="B3" s="2523" t="s">
        <v>1766</v>
      </c>
      <c r="C3" s="2523"/>
      <c r="D3" s="2523"/>
      <c r="E3" s="1268"/>
    </row>
    <row r="4" spans="2:5" s="1276" customFormat="1" ht="12.75" customHeight="1" x14ac:dyDescent="0.2">
      <c r="B4" s="2541" t="str">
        <f>'Single Audit Cover'!A4</f>
        <v>Year Ending June 30, 2019</v>
      </c>
      <c r="C4" s="2541"/>
      <c r="D4" s="2541"/>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2089</v>
      </c>
      <c r="C7" s="324" t="s">
        <v>2090</v>
      </c>
      <c r="D7" s="324" t="s">
        <v>2131</v>
      </c>
      <c r="E7" s="324"/>
    </row>
    <row r="8" spans="2:5" ht="13.5" customHeight="1" x14ac:dyDescent="0.2">
      <c r="B8" s="1471" t="s">
        <v>2091</v>
      </c>
      <c r="C8" s="324" t="s">
        <v>2092</v>
      </c>
      <c r="D8" s="324" t="s">
        <v>2132</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5"/>
      <c r="B1" s="2146"/>
      <c r="C1" s="2146"/>
      <c r="D1" s="384"/>
      <c r="E1" s="384"/>
      <c r="F1" s="384"/>
      <c r="G1" s="384"/>
      <c r="H1" s="384"/>
      <c r="I1" s="384"/>
      <c r="J1" s="384"/>
      <c r="K1" s="384"/>
      <c r="L1" s="384"/>
      <c r="M1" s="384"/>
      <c r="N1" s="384"/>
      <c r="O1" s="2145"/>
      <c r="P1" s="2146"/>
      <c r="Q1" s="2146"/>
    </row>
    <row r="2" spans="1:18" ht="15" x14ac:dyDescent="0.2">
      <c r="A2" s="2149" t="s">
        <v>556</v>
      </c>
      <c r="B2" s="2149"/>
      <c r="C2" s="2149"/>
      <c r="D2" s="2149"/>
      <c r="E2" s="2149"/>
      <c r="F2" s="2149"/>
      <c r="G2" s="2149"/>
      <c r="H2" s="2149"/>
      <c r="I2" s="2149"/>
      <c r="J2" s="2149"/>
      <c r="K2" s="2149"/>
      <c r="L2" s="2149"/>
      <c r="M2" s="2149"/>
      <c r="N2" s="2149"/>
      <c r="O2" s="2149"/>
      <c r="P2" s="2149"/>
      <c r="Q2" s="2149"/>
      <c r="R2" s="2149"/>
    </row>
    <row r="3" spans="1:18" ht="12.75" x14ac:dyDescent="0.2">
      <c r="A3" s="2150" t="s">
        <v>1413</v>
      </c>
      <c r="B3" s="2150"/>
      <c r="C3" s="2150"/>
      <c r="D3" s="2150"/>
      <c r="E3" s="2150"/>
      <c r="F3" s="2150"/>
      <c r="G3" s="2150"/>
      <c r="H3" s="2150"/>
      <c r="I3" s="2150"/>
      <c r="J3" s="2150"/>
      <c r="K3" s="2150"/>
      <c r="L3" s="2150"/>
      <c r="M3" s="2150"/>
      <c r="N3" s="2150"/>
      <c r="O3" s="2150"/>
      <c r="P3" s="2150"/>
      <c r="Q3" s="2150"/>
      <c r="R3" s="2150"/>
    </row>
    <row r="4" spans="1:18" x14ac:dyDescent="0.2">
      <c r="A4" s="2151" t="s">
        <v>1554</v>
      </c>
      <c r="B4" s="2151"/>
      <c r="C4" s="2151"/>
      <c r="D4" s="2151"/>
      <c r="E4" s="2151"/>
      <c r="F4" s="2151"/>
      <c r="G4" s="2151"/>
      <c r="H4" s="2151"/>
      <c r="I4" s="2151"/>
      <c r="J4" s="2151"/>
      <c r="K4" s="2151"/>
      <c r="L4" s="2151"/>
      <c r="M4" s="2151"/>
      <c r="N4" s="2151"/>
      <c r="O4" s="2151"/>
      <c r="P4" s="2151"/>
      <c r="Q4" s="2151"/>
      <c r="R4" s="215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Erie CUSD 1</v>
      </c>
      <c r="E7" s="391"/>
      <c r="G7" s="252"/>
      <c r="H7" s="387"/>
      <c r="I7" s="387"/>
      <c r="J7" s="387"/>
      <c r="K7" s="387"/>
      <c r="L7" s="329"/>
      <c r="M7" s="329"/>
      <c r="N7" s="329"/>
      <c r="O7" s="329"/>
      <c r="P7" s="329"/>
    </row>
    <row r="8" spans="1:18" ht="12.75" x14ac:dyDescent="0.2">
      <c r="A8" s="329"/>
      <c r="B8" s="329"/>
      <c r="C8" s="389" t="s">
        <v>1125</v>
      </c>
      <c r="D8" s="392">
        <f>COVER!A13</f>
        <v>47098001026</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12649671</v>
      </c>
      <c r="I12" s="404"/>
      <c r="J12" s="404"/>
      <c r="K12" s="405">
        <f>TRUNC((H12/H13*100000),5)/100000</f>
        <v>0.82842900429999999</v>
      </c>
      <c r="L12" s="406"/>
      <c r="M12" s="360" t="s">
        <v>1144</v>
      </c>
      <c r="N12" s="360"/>
      <c r="O12" s="407">
        <v>0.35</v>
      </c>
      <c r="P12" s="218"/>
      <c r="Q12" s="218"/>
    </row>
    <row r="13" spans="1:18" s="408" customFormat="1" ht="12.75" x14ac:dyDescent="0.2">
      <c r="A13" s="218"/>
      <c r="B13" s="401"/>
      <c r="C13" s="2147" t="s">
        <v>1324</v>
      </c>
      <c r="D13" s="2148"/>
      <c r="E13" s="218"/>
      <c r="F13" s="409" t="s">
        <v>793</v>
      </c>
      <c r="G13" s="402"/>
      <c r="H13" s="403">
        <f>SUM('Acct Summary 7-8'!C8+'Acct Summary 7-8'!D8+'Acct Summary 7-8'!F8+'Acct Summary 7-8'!I8)+H14</f>
        <v>15269469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11925135</v>
      </c>
      <c r="I17" s="404"/>
      <c r="J17" s="416"/>
      <c r="K17" s="405">
        <f>TRUNC((H17/H18*100000),5)/100000</f>
        <v>0.78097902419999998</v>
      </c>
      <c r="L17" s="406"/>
      <c r="M17" s="417" t="s">
        <v>1171</v>
      </c>
      <c r="O17" s="418" t="str">
        <f>IF(AND(O16="2", J20 &gt; 2),"1",IF(AND(O16 = "1", J20 &gt; 2),"2",IF(AND(O16="1", J20 &gt;1),"1","0")))</f>
        <v>0</v>
      </c>
      <c r="P17" s="218"/>
    </row>
    <row r="18" spans="1:18" s="408" customFormat="1" ht="11.25" x14ac:dyDescent="0.2">
      <c r="A18" s="218"/>
      <c r="B18" s="401"/>
      <c r="C18" s="2147" t="s">
        <v>1317</v>
      </c>
      <c r="D18" s="2148"/>
      <c r="E18" s="218"/>
      <c r="F18" s="419" t="s">
        <v>794</v>
      </c>
      <c r="G18" s="402"/>
      <c r="H18" s="403">
        <f>SUM('Acct Summary 7-8'!C8+'Acct Summary 7-8'!D8+'Acct Summary 7-8'!F8+'Acct Summary 7-8'!I8)+H19</f>
        <v>15269469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44" t="s">
        <v>1412</v>
      </c>
      <c r="D24" s="2144"/>
      <c r="E24" s="218"/>
      <c r="F24" s="218" t="s">
        <v>445</v>
      </c>
      <c r="G24" s="402"/>
      <c r="H24" s="403">
        <f>SUM('Assets-Liab 5-6'!C4+'Assets-Liab 5-6'!D4+'Assets-Liab 5-6'!F4+'Assets-Liab 5-6'!I4+'Assets-Liab 5-6'!C5+'Assets-Liab 5-6'!D5+'Assets-Liab 5-6'!F5+'Assets-Liab 5-6'!I5)</f>
        <v>12649671</v>
      </c>
      <c r="I24" s="422"/>
      <c r="J24" s="422"/>
      <c r="K24" s="423">
        <f>TRUNC(((H24/H25*100000)/100000),2)</f>
        <v>381.87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33125.375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8522292.9559499994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1646112</v>
      </c>
      <c r="I32" s="420"/>
      <c r="J32" s="420"/>
      <c r="K32" s="423">
        <f>TRUNC(100-((((H32/H33*100))*100)/100),2)</f>
        <v>96.78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51245160.258000001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5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4" t="s">
        <v>973</v>
      </c>
      <c r="B3" s="2155"/>
      <c r="C3" s="1556"/>
      <c r="D3" s="1557"/>
      <c r="E3" s="1557"/>
      <c r="F3" s="1557"/>
      <c r="G3" s="1557"/>
      <c r="H3" s="1557"/>
      <c r="I3" s="1557"/>
      <c r="J3" s="1557"/>
      <c r="K3" s="1557"/>
      <c r="L3" s="1557"/>
      <c r="M3" s="1558"/>
      <c r="N3" s="1559"/>
    </row>
    <row r="4" spans="1:14" ht="13.5" customHeight="1" x14ac:dyDescent="0.2">
      <c r="A4" s="463" t="s">
        <v>1651</v>
      </c>
      <c r="B4" s="464"/>
      <c r="C4" s="465">
        <v>5987237</v>
      </c>
      <c r="D4" s="465">
        <v>1484684</v>
      </c>
      <c r="E4" s="465">
        <v>355118</v>
      </c>
      <c r="F4" s="465">
        <v>1777741</v>
      </c>
      <c r="G4" s="465">
        <v>222730</v>
      </c>
      <c r="H4" s="465">
        <v>502313</v>
      </c>
      <c r="I4" s="465">
        <v>3400009</v>
      </c>
      <c r="J4" s="465">
        <v>114650</v>
      </c>
      <c r="K4" s="465">
        <v>178516</v>
      </c>
      <c r="L4" s="465">
        <v>70605</v>
      </c>
      <c r="M4" s="468"/>
      <c r="N4" s="469"/>
    </row>
    <row r="5" spans="1:14" x14ac:dyDescent="0.2">
      <c r="A5" s="463" t="s">
        <v>992</v>
      </c>
      <c r="B5" s="470">
        <v>120</v>
      </c>
      <c r="C5" s="465">
        <v>0</v>
      </c>
      <c r="D5" s="465">
        <v>0</v>
      </c>
      <c r="E5" s="465">
        <v>0</v>
      </c>
      <c r="F5" s="465">
        <v>0</v>
      </c>
      <c r="G5" s="465">
        <v>0</v>
      </c>
      <c r="H5" s="465">
        <v>0</v>
      </c>
      <c r="I5" s="465">
        <v>0</v>
      </c>
      <c r="J5" s="465">
        <v>0</v>
      </c>
      <c r="K5" s="465">
        <v>0</v>
      </c>
      <c r="L5" s="465" t="s">
        <v>2165</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16410</v>
      </c>
      <c r="H12" s="465">
        <v>0</v>
      </c>
      <c r="I12" s="465">
        <v>0</v>
      </c>
      <c r="J12" s="465">
        <v>0</v>
      </c>
      <c r="K12" s="465">
        <v>0</v>
      </c>
      <c r="L12" s="465">
        <v>0</v>
      </c>
      <c r="M12" s="469"/>
      <c r="N12" s="469"/>
    </row>
    <row r="13" spans="1:14" ht="13.5" customHeight="1" thickBot="1" x14ac:dyDescent="0.25">
      <c r="A13" s="1733" t="s">
        <v>644</v>
      </c>
      <c r="B13" s="1706"/>
      <c r="C13" s="1734">
        <f>SUM(C4:C12)</f>
        <v>5987237</v>
      </c>
      <c r="D13" s="1734">
        <f t="shared" ref="D13:L13" si="0">SUM(D4:D12)</f>
        <v>1484684</v>
      </c>
      <c r="E13" s="1734">
        <f t="shared" si="0"/>
        <v>355118</v>
      </c>
      <c r="F13" s="1734">
        <f t="shared" si="0"/>
        <v>1777741</v>
      </c>
      <c r="G13" s="1734">
        <f t="shared" si="0"/>
        <v>239140</v>
      </c>
      <c r="H13" s="1734">
        <f t="shared" si="0"/>
        <v>502313</v>
      </c>
      <c r="I13" s="1734">
        <f t="shared" si="0"/>
        <v>3400009</v>
      </c>
      <c r="J13" s="1734">
        <f t="shared" si="0"/>
        <v>114650</v>
      </c>
      <c r="K13" s="1734">
        <f t="shared" si="0"/>
        <v>178516</v>
      </c>
      <c r="L13" s="1734">
        <f t="shared" si="0"/>
        <v>70605</v>
      </c>
      <c r="M13" s="468"/>
      <c r="N13" s="469"/>
    </row>
    <row r="14" spans="1:14" ht="18" customHeight="1" thickTop="1" x14ac:dyDescent="0.2">
      <c r="A14" s="2156" t="s">
        <v>147</v>
      </c>
      <c r="B14" s="215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190042</v>
      </c>
      <c r="N16" s="482"/>
    </row>
    <row r="17" spans="1:14" s="483" customFormat="1" ht="12.75" customHeight="1" x14ac:dyDescent="0.2">
      <c r="A17" s="480" t="s">
        <v>1403</v>
      </c>
      <c r="B17" s="481">
        <v>230</v>
      </c>
      <c r="C17" s="475"/>
      <c r="D17" s="475"/>
      <c r="E17" s="475"/>
      <c r="F17" s="475"/>
      <c r="G17" s="475"/>
      <c r="H17" s="475"/>
      <c r="I17" s="475"/>
      <c r="J17" s="475"/>
      <c r="K17" s="475"/>
      <c r="L17" s="475"/>
      <c r="M17" s="465">
        <v>20821072</v>
      </c>
      <c r="N17" s="482"/>
    </row>
    <row r="18" spans="1:14" s="483" customFormat="1" ht="12.75" customHeight="1" x14ac:dyDescent="0.2">
      <c r="A18" s="480" t="s">
        <v>1404</v>
      </c>
      <c r="B18" s="481">
        <v>240</v>
      </c>
      <c r="C18" s="475"/>
      <c r="D18" s="475"/>
      <c r="E18" s="475"/>
      <c r="F18" s="475"/>
      <c r="G18" s="475"/>
      <c r="H18" s="475"/>
      <c r="I18" s="475"/>
      <c r="J18" s="475"/>
      <c r="K18" s="475"/>
      <c r="L18" s="475"/>
      <c r="M18" s="465">
        <v>7098643</v>
      </c>
      <c r="N18" s="482"/>
    </row>
    <row r="19" spans="1:14" s="483" customFormat="1" ht="12.75" customHeight="1" x14ac:dyDescent="0.2">
      <c r="A19" s="480" t="s">
        <v>1405</v>
      </c>
      <c r="B19" s="481">
        <v>250</v>
      </c>
      <c r="C19" s="475"/>
      <c r="D19" s="475"/>
      <c r="E19" s="475"/>
      <c r="F19" s="475"/>
      <c r="G19" s="475"/>
      <c r="H19" s="475"/>
      <c r="I19" s="475"/>
      <c r="J19" s="475"/>
      <c r="K19" s="475"/>
      <c r="L19" s="475"/>
      <c r="M19" s="465">
        <v>3930415</v>
      </c>
      <c r="N19" s="482"/>
    </row>
    <row r="20" spans="1:14" s="483" customFormat="1" ht="12.75" customHeight="1" x14ac:dyDescent="0.2">
      <c r="A20" s="480" t="s">
        <v>1406</v>
      </c>
      <c r="B20" s="481">
        <v>260</v>
      </c>
      <c r="C20" s="475"/>
      <c r="D20" s="475"/>
      <c r="E20" s="475"/>
      <c r="F20" s="475"/>
      <c r="G20" s="475"/>
      <c r="H20" s="475"/>
      <c r="I20" s="475"/>
      <c r="J20" s="475"/>
      <c r="K20" s="475"/>
      <c r="L20" s="475"/>
      <c r="M20" s="465">
        <v>3701490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355118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1290994</v>
      </c>
    </row>
    <row r="23" spans="1:14" ht="13.5" customHeight="1" thickBot="1" x14ac:dyDescent="0.25">
      <c r="A23" s="1733" t="s">
        <v>643</v>
      </c>
      <c r="B23" s="1738"/>
      <c r="C23" s="468"/>
      <c r="D23" s="468"/>
      <c r="E23" s="468"/>
      <c r="F23" s="468"/>
      <c r="G23" s="468"/>
      <c r="H23" s="468"/>
      <c r="I23" s="468"/>
      <c r="J23" s="468"/>
      <c r="K23" s="468"/>
      <c r="L23" s="468"/>
      <c r="M23" s="1685">
        <f>SUM(M15:M22)</f>
        <v>35741662</v>
      </c>
      <c r="N23" s="1685">
        <f>SUM(N21:N22)</f>
        <v>1646112</v>
      </c>
    </row>
    <row r="24" spans="1:14" ht="18" customHeight="1" thickTop="1" x14ac:dyDescent="0.2">
      <c r="A24" s="2158" t="s">
        <v>598</v>
      </c>
      <c r="B24" s="215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63283</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63283</v>
      </c>
      <c r="M34" s="468"/>
      <c r="N34" s="478"/>
    </row>
    <row r="35" spans="1:14" ht="18" customHeight="1" thickTop="1" x14ac:dyDescent="0.2">
      <c r="A35" s="2160" t="s">
        <v>529</v>
      </c>
      <c r="B35" s="216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1646112</v>
      </c>
    </row>
    <row r="37" spans="1:14" ht="13.5" thickBot="1" x14ac:dyDescent="0.25">
      <c r="A37" s="1733" t="s">
        <v>653</v>
      </c>
      <c r="B37" s="1738"/>
      <c r="C37" s="475"/>
      <c r="D37" s="475"/>
      <c r="E37" s="475"/>
      <c r="F37" s="475"/>
      <c r="G37" s="475"/>
      <c r="H37" s="475"/>
      <c r="I37" s="475"/>
      <c r="J37" s="475"/>
      <c r="K37" s="475"/>
      <c r="L37" s="478"/>
      <c r="M37" s="468"/>
      <c r="N37" s="1685">
        <f>SUM(N36:N36)</f>
        <v>1646112</v>
      </c>
    </row>
    <row r="38" spans="1:14" s="329" customFormat="1" ht="13.5" customHeight="1" thickTop="1" x14ac:dyDescent="0.2">
      <c r="A38" s="493" t="s">
        <v>420</v>
      </c>
      <c r="B38" s="481">
        <v>714</v>
      </c>
      <c r="C38" s="465">
        <v>0</v>
      </c>
      <c r="D38" s="465">
        <v>0</v>
      </c>
      <c r="E38" s="465">
        <v>0</v>
      </c>
      <c r="F38" s="465">
        <v>0</v>
      </c>
      <c r="G38" s="465">
        <v>232554</v>
      </c>
      <c r="H38" s="465">
        <v>502313</v>
      </c>
      <c r="I38" s="465">
        <v>0</v>
      </c>
      <c r="J38" s="465">
        <v>0</v>
      </c>
      <c r="K38" s="465">
        <v>0</v>
      </c>
      <c r="L38" s="465">
        <v>7322</v>
      </c>
      <c r="M38" s="494"/>
      <c r="N38" s="494"/>
    </row>
    <row r="39" spans="1:14" s="329" customFormat="1" ht="13.5" customHeight="1" x14ac:dyDescent="0.2">
      <c r="A39" s="493" t="s">
        <v>342</v>
      </c>
      <c r="B39" s="481">
        <v>730</v>
      </c>
      <c r="C39" s="465">
        <v>5987237</v>
      </c>
      <c r="D39" s="465">
        <v>1484684</v>
      </c>
      <c r="E39" s="465">
        <v>355118</v>
      </c>
      <c r="F39" s="465">
        <v>1777741</v>
      </c>
      <c r="G39" s="465">
        <v>6586</v>
      </c>
      <c r="H39" s="465">
        <v>0</v>
      </c>
      <c r="I39" s="465">
        <v>3400009</v>
      </c>
      <c r="J39" s="465">
        <v>114650</v>
      </c>
      <c r="K39" s="465">
        <v>178516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35741662</v>
      </c>
      <c r="N40" s="494"/>
    </row>
    <row r="41" spans="1:14" ht="13.5" customHeight="1" thickBot="1" x14ac:dyDescent="0.25">
      <c r="A41" s="1733" t="s">
        <v>655</v>
      </c>
      <c r="B41" s="1703"/>
      <c r="C41" s="1685">
        <f>(SUM(C34,C37,C38,C39))</f>
        <v>5987237</v>
      </c>
      <c r="D41" s="1685">
        <f t="shared" ref="D41:L41" si="2">SUM(D34,D37,D38:D39)</f>
        <v>1484684</v>
      </c>
      <c r="E41" s="1685">
        <f t="shared" si="2"/>
        <v>355118</v>
      </c>
      <c r="F41" s="1685">
        <f t="shared" si="2"/>
        <v>1777741</v>
      </c>
      <c r="G41" s="1685">
        <f t="shared" si="2"/>
        <v>239140</v>
      </c>
      <c r="H41" s="1685">
        <f t="shared" si="2"/>
        <v>502313</v>
      </c>
      <c r="I41" s="1685">
        <f t="shared" si="2"/>
        <v>3400009</v>
      </c>
      <c r="J41" s="1685">
        <f t="shared" si="2"/>
        <v>114650</v>
      </c>
      <c r="K41" s="1685">
        <f t="shared" si="2"/>
        <v>178516</v>
      </c>
      <c r="L41" s="1685">
        <f t="shared" si="2"/>
        <v>70605</v>
      </c>
      <c r="M41" s="1685">
        <f>SUM(M40)</f>
        <v>35741662</v>
      </c>
      <c r="N41" s="1685">
        <f>SUM(N37)</f>
        <v>1646112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7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7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82" t="s">
        <v>1175</v>
      </c>
      <c r="B3" s="2183"/>
      <c r="C3" s="1570"/>
      <c r="D3" s="1571"/>
      <c r="E3" s="1571"/>
      <c r="F3" s="1571"/>
      <c r="G3" s="1571"/>
      <c r="H3" s="1571"/>
      <c r="I3" s="1571"/>
      <c r="J3" s="1571"/>
      <c r="K3" s="1572"/>
      <c r="L3" s="503"/>
    </row>
    <row r="4" spans="1:13" ht="15.75" customHeight="1" x14ac:dyDescent="0.2">
      <c r="A4" s="1925" t="s">
        <v>1499</v>
      </c>
      <c r="B4" s="1926">
        <v>1000</v>
      </c>
      <c r="C4" s="1739">
        <f>'Revenues 9-14'!C109</f>
        <v>9349979</v>
      </c>
      <c r="D4" s="1739">
        <f>'Revenues 9-14'!D109</f>
        <v>3533293</v>
      </c>
      <c r="E4" s="1739">
        <f>'Revenues 9-14'!E109</f>
        <v>1860</v>
      </c>
      <c r="F4" s="1739">
        <f>'Revenues 9-14'!F109</f>
        <v>716340</v>
      </c>
      <c r="G4" s="1739">
        <f>'Revenues 9-14'!G109</f>
        <v>358003</v>
      </c>
      <c r="H4" s="1739">
        <f>'Revenues 9-14'!H109</f>
        <v>340126</v>
      </c>
      <c r="I4" s="1739">
        <f>'Revenues 9-14'!I109</f>
        <v>237592</v>
      </c>
      <c r="J4" s="1739">
        <f>'Revenues 9-14'!J109</f>
        <v>2075</v>
      </c>
      <c r="K4" s="1739">
        <f>'Revenues 9-14'!K109</f>
        <v>64518</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648505</v>
      </c>
      <c r="D6" s="1740">
        <f>'Revenues 9-14'!D170</f>
        <v>43300</v>
      </c>
      <c r="E6" s="1740">
        <f>'Revenues 9-14'!E170</f>
        <v>0</v>
      </c>
      <c r="F6" s="1740">
        <f>'Revenues 9-14'!F170</f>
        <v>290281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450179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10448663</v>
      </c>
      <c r="D8" s="1685">
        <f t="shared" ref="D8:K8" si="0">SUM(D4:D7)</f>
        <v>3576593</v>
      </c>
      <c r="E8" s="1685">
        <f t="shared" si="0"/>
        <v>1860</v>
      </c>
      <c r="F8" s="1685">
        <f t="shared" si="0"/>
        <v>1006621</v>
      </c>
      <c r="G8" s="1685">
        <f t="shared" si="0"/>
        <v>358003</v>
      </c>
      <c r="H8" s="1685">
        <f t="shared" si="0"/>
        <v>340126</v>
      </c>
      <c r="I8" s="1685">
        <f t="shared" si="0"/>
        <v>237592</v>
      </c>
      <c r="J8" s="1685">
        <f t="shared" si="0"/>
        <v>2075</v>
      </c>
      <c r="K8" s="1685">
        <f t="shared" si="0"/>
        <v>64518</v>
      </c>
      <c r="L8" s="347"/>
    </row>
    <row r="9" spans="1:13" ht="15.75" thickTop="1" x14ac:dyDescent="0.2">
      <c r="A9" s="511" t="s">
        <v>1653</v>
      </c>
      <c r="B9" s="512">
        <v>3998</v>
      </c>
      <c r="C9" s="465">
        <v>4126798</v>
      </c>
      <c r="D9" s="513"/>
      <c r="E9" s="479"/>
      <c r="F9" s="479"/>
      <c r="G9" s="514"/>
      <c r="H9" s="479"/>
      <c r="I9" s="506" t="s">
        <v>1169</v>
      </c>
      <c r="J9" s="476"/>
      <c r="K9" s="479"/>
      <c r="L9" s="347"/>
    </row>
    <row r="10" spans="1:13" s="516" customFormat="1" ht="13.5" thickBot="1" x14ac:dyDescent="0.25">
      <c r="A10" s="1733" t="s">
        <v>1173</v>
      </c>
      <c r="B10" s="1706"/>
      <c r="C10" s="1685">
        <f>SUM(C8:C9)</f>
        <v>14575461</v>
      </c>
      <c r="D10" s="1685">
        <f t="shared" ref="D10:K10" si="1">SUM(D8:D9)</f>
        <v>3576593</v>
      </c>
      <c r="E10" s="1685">
        <f t="shared" si="1"/>
        <v>1860</v>
      </c>
      <c r="F10" s="1685">
        <f t="shared" si="1"/>
        <v>1006621</v>
      </c>
      <c r="G10" s="1685">
        <f t="shared" si="1"/>
        <v>358003</v>
      </c>
      <c r="H10" s="1685">
        <f t="shared" si="1"/>
        <v>340126</v>
      </c>
      <c r="I10" s="1685">
        <f t="shared" si="1"/>
        <v>237592</v>
      </c>
      <c r="J10" s="1685">
        <f t="shared" si="1"/>
        <v>2075</v>
      </c>
      <c r="K10" s="1685">
        <f t="shared" si="1"/>
        <v>64518</v>
      </c>
      <c r="L10" s="515"/>
    </row>
    <row r="11" spans="1:13" s="516" customFormat="1" ht="16.7" customHeight="1" thickTop="1" x14ac:dyDescent="0.2">
      <c r="A11" s="2156" t="s">
        <v>1176</v>
      </c>
      <c r="B11" s="2157"/>
      <c r="C11" s="1567"/>
      <c r="D11" s="1568"/>
      <c r="E11" s="1568"/>
      <c r="F11" s="1568"/>
      <c r="G11" s="1568"/>
      <c r="H11" s="1568"/>
      <c r="I11" s="1568"/>
      <c r="J11" s="1568"/>
      <c r="K11" s="1569"/>
      <c r="L11" s="515"/>
    </row>
    <row r="12" spans="1:13" ht="15.75" customHeight="1" x14ac:dyDescent="0.2">
      <c r="A12" s="1573" t="s">
        <v>456</v>
      </c>
      <c r="B12" s="1575">
        <v>1000</v>
      </c>
      <c r="C12" s="1739">
        <f>'Expenditures 15-22'!K33</f>
        <v>7045690</v>
      </c>
      <c r="D12" s="517" t="s">
        <v>1169</v>
      </c>
      <c r="E12" s="468" t="s">
        <v>1169</v>
      </c>
      <c r="F12" s="468" t="s">
        <v>1169</v>
      </c>
      <c r="G12" s="1739">
        <f>'Expenditures 15-22'!K229</f>
        <v>219526</v>
      </c>
      <c r="H12" s="518"/>
      <c r="I12" s="468" t="s">
        <v>1169</v>
      </c>
      <c r="J12" s="468" t="s">
        <v>1169</v>
      </c>
      <c r="K12" s="518" t="s">
        <v>1169</v>
      </c>
      <c r="L12" s="347"/>
    </row>
    <row r="13" spans="1:13" ht="15.75" customHeight="1" x14ac:dyDescent="0.2">
      <c r="A13" s="1573" t="s">
        <v>457</v>
      </c>
      <c r="B13" s="1575">
        <v>2000</v>
      </c>
      <c r="C13" s="1740">
        <f>'Expenditures 15-22'!K74</f>
        <v>3255116</v>
      </c>
      <c r="D13" s="1740">
        <f>'Expenditures 15-22'!K129</f>
        <v>822256</v>
      </c>
      <c r="E13" s="469" t="s">
        <v>1169</v>
      </c>
      <c r="F13" s="1740">
        <f>'Expenditures 15-22'!K184</f>
        <v>607785</v>
      </c>
      <c r="G13" s="1740">
        <f>'Expenditures 15-22'!K279</f>
        <v>305719</v>
      </c>
      <c r="H13" s="1740">
        <f>'Expenditures 15-22'!K303</f>
        <v>7178836</v>
      </c>
      <c r="I13" s="468" t="s">
        <v>1169</v>
      </c>
      <c r="J13" s="1740">
        <f>'Expenditures 15-22'!K330</f>
        <v>450</v>
      </c>
      <c r="K13" s="1744">
        <f>'Expenditures 15-22'!K352</f>
        <v>0</v>
      </c>
      <c r="L13" s="347"/>
    </row>
    <row r="14" spans="1:13" ht="15.75" customHeight="1" x14ac:dyDescent="0.2">
      <c r="A14" s="1573" t="s">
        <v>449</v>
      </c>
      <c r="B14" s="1575">
        <v>3000</v>
      </c>
      <c r="C14" s="1740">
        <f>'Expenditures 15-22'!K75</f>
        <v>35849</v>
      </c>
      <c r="D14" s="1740">
        <f>'Expenditures 15-22'!K130</f>
        <v>0</v>
      </c>
      <c r="E14" s="517" t="s">
        <v>1169</v>
      </c>
      <c r="F14" s="1740">
        <f>'Expenditures 15-22'!K185</f>
        <v>0</v>
      </c>
      <c r="G14" s="1740">
        <f>'Expenditures 15-22'!K280</f>
        <v>6625</v>
      </c>
      <c r="H14" s="509"/>
      <c r="I14" s="468" t="s">
        <v>1169</v>
      </c>
      <c r="J14" s="468" t="s">
        <v>1169</v>
      </c>
      <c r="K14" s="509" t="s">
        <v>1169</v>
      </c>
      <c r="L14" s="347"/>
    </row>
    <row r="15" spans="1:13" ht="15.75" customHeight="1" x14ac:dyDescent="0.2">
      <c r="A15" s="1573" t="s">
        <v>107</v>
      </c>
      <c r="B15" s="1575">
        <v>4000</v>
      </c>
      <c r="C15" s="1740">
        <f>'Expenditures 15-22'!K102</f>
        <v>130434</v>
      </c>
      <c r="D15" s="1740">
        <f>'Expenditures 15-22'!K139</f>
        <v>28005</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1127724</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10467089</v>
      </c>
      <c r="D17" s="1685">
        <f t="shared" si="2"/>
        <v>850261</v>
      </c>
      <c r="E17" s="1685">
        <f t="shared" si="2"/>
        <v>1127724</v>
      </c>
      <c r="F17" s="1685">
        <f t="shared" si="2"/>
        <v>607785</v>
      </c>
      <c r="G17" s="1685">
        <f t="shared" si="2"/>
        <v>531870</v>
      </c>
      <c r="H17" s="1685">
        <f t="shared" si="2"/>
        <v>7178836</v>
      </c>
      <c r="I17" s="468"/>
      <c r="J17" s="1685">
        <f>SUM(J12:J16)</f>
        <v>450</v>
      </c>
      <c r="K17" s="1685">
        <f>SUM(K12:K16)</f>
        <v>0</v>
      </c>
      <c r="L17" s="347"/>
    </row>
    <row r="18" spans="1:12" ht="15" customHeight="1" thickTop="1" x14ac:dyDescent="0.2">
      <c r="A18" s="1741" t="s">
        <v>1654</v>
      </c>
      <c r="B18" s="1742">
        <v>4180</v>
      </c>
      <c r="C18" s="1739">
        <f t="shared" ref="C18:H18" si="3">C9</f>
        <v>4126798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14593887</v>
      </c>
      <c r="D19" s="1685">
        <f t="shared" si="4"/>
        <v>850261</v>
      </c>
      <c r="E19" s="1685">
        <f t="shared" si="4"/>
        <v>1127724</v>
      </c>
      <c r="F19" s="1685">
        <f t="shared" si="4"/>
        <v>607785</v>
      </c>
      <c r="G19" s="1685">
        <f t="shared" si="4"/>
        <v>531870</v>
      </c>
      <c r="H19" s="1685">
        <f t="shared" si="4"/>
        <v>7178836</v>
      </c>
      <c r="I19" s="468"/>
      <c r="J19" s="1685">
        <f>SUM(J17:J18)</f>
        <v>450</v>
      </c>
      <c r="K19" s="1685">
        <f>SUM(K17:K18)</f>
        <v>0</v>
      </c>
      <c r="L19" s="347"/>
    </row>
    <row r="20" spans="1:12" ht="16.5" thickTop="1" thickBot="1" x14ac:dyDescent="0.25">
      <c r="A20" s="2172" t="s">
        <v>1655</v>
      </c>
      <c r="B20" s="2173"/>
      <c r="C20" s="1743">
        <f>C8-C17</f>
        <v>-18426</v>
      </c>
      <c r="D20" s="1743">
        <f t="shared" ref="D20:K20" si="5">D8-D17</f>
        <v>2726332</v>
      </c>
      <c r="E20" s="1743">
        <f t="shared" si="5"/>
        <v>-1125864</v>
      </c>
      <c r="F20" s="1743">
        <f t="shared" si="5"/>
        <v>398836</v>
      </c>
      <c r="G20" s="1743">
        <f t="shared" si="5"/>
        <v>-173867</v>
      </c>
      <c r="H20" s="1743">
        <f t="shared" si="5"/>
        <v>-6838710</v>
      </c>
      <c r="I20" s="1743">
        <f t="shared" si="5"/>
        <v>237592</v>
      </c>
      <c r="J20" s="1743">
        <f t="shared" si="5"/>
        <v>1625</v>
      </c>
      <c r="K20" s="1743">
        <f t="shared" si="5"/>
        <v>64518</v>
      </c>
      <c r="L20" s="347"/>
    </row>
    <row r="21" spans="1:12" ht="16.7" customHeight="1" thickTop="1" x14ac:dyDescent="0.2">
      <c r="A21" s="2184" t="s">
        <v>595</v>
      </c>
      <c r="B21" s="2185"/>
      <c r="C21" s="1567"/>
      <c r="D21" s="1568"/>
      <c r="E21" s="1568"/>
      <c r="F21" s="1568"/>
      <c r="G21" s="1568"/>
      <c r="H21" s="1568"/>
      <c r="I21" s="1568"/>
      <c r="J21" s="1568"/>
      <c r="K21" s="1569"/>
      <c r="L21" s="521"/>
    </row>
    <row r="22" spans="1:12" ht="15.75" customHeight="1" collapsed="1" x14ac:dyDescent="0.2">
      <c r="A22" s="2180" t="s">
        <v>596</v>
      </c>
      <c r="B22" s="2181"/>
      <c r="C22" s="475"/>
      <c r="D22" s="475"/>
      <c r="E22" s="475"/>
      <c r="F22" s="475"/>
      <c r="G22" s="475"/>
      <c r="H22" s="475"/>
      <c r="I22" s="475"/>
      <c r="J22" s="475"/>
      <c r="K22" s="475"/>
      <c r="L22" s="347"/>
    </row>
    <row r="23" spans="1:12" s="483" customFormat="1" ht="15.75" customHeight="1" x14ac:dyDescent="0.2">
      <c r="A23" s="2176" t="s">
        <v>293</v>
      </c>
      <c r="B23" s="217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8" t="s">
        <v>981</v>
      </c>
      <c r="B32" s="217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4550000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1125864</v>
      </c>
      <c r="F43" s="467">
        <v>0</v>
      </c>
      <c r="G43" s="467">
        <v>0</v>
      </c>
      <c r="H43" s="467">
        <v>0</v>
      </c>
      <c r="I43" s="467">
        <v>0</v>
      </c>
      <c r="J43" s="467">
        <v>0</v>
      </c>
      <c r="K43" s="467">
        <v>0</v>
      </c>
      <c r="L43" s="521"/>
    </row>
    <row r="44" spans="1:12" s="483" customFormat="1" ht="13.5" customHeight="1" thickBot="1" x14ac:dyDescent="0.25">
      <c r="A44" s="2186" t="s">
        <v>374</v>
      </c>
      <c r="B44" s="2187"/>
      <c r="C44" s="1700">
        <f>SUM(C24:C43)</f>
        <v>0</v>
      </c>
      <c r="D44" s="1700">
        <f t="shared" ref="D44:K44" si="6">SUM(D24:D43)</f>
        <v>0</v>
      </c>
      <c r="E44" s="1700">
        <f t="shared" si="6"/>
        <v>1125864</v>
      </c>
      <c r="F44" s="1700">
        <f t="shared" si="6"/>
        <v>0</v>
      </c>
      <c r="G44" s="1700">
        <f t="shared" si="6"/>
        <v>0</v>
      </c>
      <c r="H44" s="1700">
        <f t="shared" si="6"/>
        <v>4550000</v>
      </c>
      <c r="I44" s="1700">
        <f t="shared" si="6"/>
        <v>0</v>
      </c>
      <c r="J44" s="1700">
        <f t="shared" si="6"/>
        <v>0</v>
      </c>
      <c r="K44" s="1700">
        <f t="shared" si="6"/>
        <v>0</v>
      </c>
      <c r="L44" s="521"/>
    </row>
    <row r="45" spans="1:12" ht="15.75" customHeight="1" thickTop="1" x14ac:dyDescent="0.2">
      <c r="A45" s="2180" t="s">
        <v>108</v>
      </c>
      <c r="B45" s="2181"/>
      <c r="C45" s="525"/>
      <c r="D45" s="525"/>
      <c r="E45" s="525"/>
      <c r="F45" s="525"/>
      <c r="G45" s="525"/>
      <c r="H45" s="525"/>
      <c r="I45" s="525"/>
      <c r="J45" s="525"/>
      <c r="K45" s="525"/>
      <c r="L45" s="347"/>
    </row>
    <row r="46" spans="1:12" s="483" customFormat="1" ht="15.75" customHeight="1" x14ac:dyDescent="0.2">
      <c r="A46" s="2188" t="s">
        <v>109</v>
      </c>
      <c r="B46" s="218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4550000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1125864</v>
      </c>
      <c r="E75" s="527">
        <v>0</v>
      </c>
      <c r="F75" s="529">
        <v>0</v>
      </c>
      <c r="G75" s="529">
        <v>0</v>
      </c>
      <c r="H75" s="529">
        <v>0</v>
      </c>
      <c r="I75" s="527">
        <v>0</v>
      </c>
      <c r="J75" s="527">
        <v>0</v>
      </c>
      <c r="K75" s="529">
        <v>0</v>
      </c>
      <c r="L75" s="521"/>
    </row>
    <row r="76" spans="1:12" s="483" customFormat="1" ht="14.25" thickTop="1" thickBot="1" x14ac:dyDescent="0.25">
      <c r="A76" s="2162" t="s">
        <v>440</v>
      </c>
      <c r="B76" s="2163"/>
      <c r="C76" s="1700">
        <f t="shared" ref="C76:K76" si="7">SUM(C47:C75)</f>
        <v>0</v>
      </c>
      <c r="D76" s="1700">
        <f t="shared" si="7"/>
        <v>5675864</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64" t="s">
        <v>1177</v>
      </c>
      <c r="B77" s="2165"/>
      <c r="C77" s="1700">
        <f t="shared" ref="C77:K77" si="8">C44-C76</f>
        <v>0</v>
      </c>
      <c r="D77" s="1700">
        <f t="shared" si="8"/>
        <v>-5675864</v>
      </c>
      <c r="E77" s="1700">
        <f t="shared" si="8"/>
        <v>1125864</v>
      </c>
      <c r="F77" s="1700">
        <f t="shared" si="8"/>
        <v>0</v>
      </c>
      <c r="G77" s="1700">
        <f t="shared" si="8"/>
        <v>0</v>
      </c>
      <c r="H77" s="1700">
        <f t="shared" si="8"/>
        <v>4550000</v>
      </c>
      <c r="I77" s="1700">
        <f t="shared" si="8"/>
        <v>0</v>
      </c>
      <c r="J77" s="1700">
        <f t="shared" si="8"/>
        <v>0</v>
      </c>
      <c r="K77" s="1700">
        <f t="shared" si="8"/>
        <v>0</v>
      </c>
      <c r="L77" s="347"/>
    </row>
    <row r="78" spans="1:12" ht="21.75" customHeight="1" thickTop="1" thickBot="1" x14ac:dyDescent="0.25">
      <c r="A78" s="2168" t="s">
        <v>597</v>
      </c>
      <c r="B78" s="2169"/>
      <c r="C78" s="1699">
        <f t="shared" ref="C78:K78" si="9">C20+C77</f>
        <v>-18426</v>
      </c>
      <c r="D78" s="1699">
        <f t="shared" si="9"/>
        <v>-2949532</v>
      </c>
      <c r="E78" s="1699">
        <f t="shared" si="9"/>
        <v>0</v>
      </c>
      <c r="F78" s="1699">
        <f t="shared" si="9"/>
        <v>398836</v>
      </c>
      <c r="G78" s="1699">
        <f t="shared" si="9"/>
        <v>-173867</v>
      </c>
      <c r="H78" s="1699">
        <f t="shared" si="9"/>
        <v>-2288710</v>
      </c>
      <c r="I78" s="1699">
        <f t="shared" si="9"/>
        <v>237592</v>
      </c>
      <c r="J78" s="1699">
        <f t="shared" si="9"/>
        <v>1625</v>
      </c>
      <c r="K78" s="1699">
        <f t="shared" si="9"/>
        <v>64518</v>
      </c>
      <c r="L78" s="530"/>
    </row>
    <row r="79" spans="1:12" ht="13.5" thickTop="1" x14ac:dyDescent="0.2">
      <c r="A79" s="1491" t="s">
        <v>1949</v>
      </c>
      <c r="B79" s="531"/>
      <c r="C79" s="476">
        <v>6005663</v>
      </c>
      <c r="D79" s="476">
        <v>4434216</v>
      </c>
      <c r="E79" s="476">
        <v>355118</v>
      </c>
      <c r="F79" s="476">
        <v>1378905</v>
      </c>
      <c r="G79" s="476">
        <v>413007</v>
      </c>
      <c r="H79" s="476">
        <v>2791023</v>
      </c>
      <c r="I79" s="476">
        <v>3162417</v>
      </c>
      <c r="J79" s="476">
        <v>113025</v>
      </c>
      <c r="K79" s="476">
        <v>113998</v>
      </c>
      <c r="L79" s="347"/>
    </row>
    <row r="80" spans="1:12" x14ac:dyDescent="0.2">
      <c r="A80" s="2174" t="s">
        <v>1795</v>
      </c>
      <c r="B80" s="2175"/>
      <c r="C80" s="467">
        <v>0</v>
      </c>
      <c r="D80" s="467">
        <v>0</v>
      </c>
      <c r="E80" s="467">
        <v>0</v>
      </c>
      <c r="F80" s="467">
        <v>0</v>
      </c>
      <c r="G80" s="467">
        <v>0</v>
      </c>
      <c r="H80" s="467">
        <v>0</v>
      </c>
      <c r="I80" s="467">
        <v>0</v>
      </c>
      <c r="J80" s="467">
        <v>0</v>
      </c>
      <c r="K80" s="467">
        <v>0</v>
      </c>
      <c r="L80" s="347"/>
    </row>
    <row r="81" spans="1:12" ht="13.5" thickBot="1" x14ac:dyDescent="0.25">
      <c r="A81" s="2166" t="s">
        <v>1950</v>
      </c>
      <c r="B81" s="2167"/>
      <c r="C81" s="1685">
        <f>(SUM(C78:C80))</f>
        <v>5987237</v>
      </c>
      <c r="D81" s="1685">
        <f>SUM(D78:D80)</f>
        <v>1484684</v>
      </c>
      <c r="E81" s="1685">
        <f t="shared" ref="E81:K81" si="10">SUM(E78:E80)</f>
        <v>355118</v>
      </c>
      <c r="F81" s="1685">
        <f t="shared" si="10"/>
        <v>1777741</v>
      </c>
      <c r="G81" s="1685">
        <f t="shared" si="10"/>
        <v>239140</v>
      </c>
      <c r="H81" s="1685">
        <f t="shared" si="10"/>
        <v>502313</v>
      </c>
      <c r="I81" s="1685">
        <f t="shared" si="10"/>
        <v>3400009</v>
      </c>
      <c r="J81" s="1685">
        <f t="shared" si="10"/>
        <v>114650</v>
      </c>
      <c r="K81" s="1685">
        <f t="shared" si="10"/>
        <v>178516</v>
      </c>
      <c r="L81" s="347"/>
    </row>
    <row r="82" spans="1:12" ht="0.75" customHeight="1" thickTop="1" thickBot="1" x14ac:dyDescent="0.25">
      <c r="A82" s="533" t="s">
        <v>343</v>
      </c>
      <c r="B82" s="534"/>
      <c r="C82" s="535">
        <f>(C81-C79)</f>
        <v>-18426</v>
      </c>
      <c r="D82" s="535">
        <f t="shared" ref="D82:K82" si="11">(D81-D79)</f>
        <v>-2949532</v>
      </c>
      <c r="E82" s="535">
        <f t="shared" si="11"/>
        <v>0</v>
      </c>
      <c r="F82" s="535">
        <f t="shared" si="11"/>
        <v>398836</v>
      </c>
      <c r="G82" s="535">
        <f t="shared" si="11"/>
        <v>-173867</v>
      </c>
      <c r="H82" s="535">
        <f t="shared" si="11"/>
        <v>-2288710</v>
      </c>
      <c r="I82" s="535">
        <f t="shared" si="11"/>
        <v>237592</v>
      </c>
      <c r="J82" s="535">
        <f t="shared" si="11"/>
        <v>1625</v>
      </c>
      <c r="K82" s="535">
        <f t="shared" si="11"/>
        <v>64518</v>
      </c>
    </row>
    <row r="83" spans="1:12" ht="14.25" hidden="1" thickTop="1" thickBot="1" x14ac:dyDescent="0.25">
      <c r="A83" s="536" t="s">
        <v>344</v>
      </c>
      <c r="B83" s="464"/>
      <c r="C83" s="537">
        <f>C82/C81</f>
        <v>-3.0775464542325617E-3</v>
      </c>
      <c r="D83" s="537">
        <f t="shared" ref="D83:K83" si="12">D82/D81</f>
        <v>-1.9866395812172826</v>
      </c>
      <c r="E83" s="537">
        <f t="shared" si="12"/>
        <v>0</v>
      </c>
      <c r="F83" s="537">
        <f t="shared" si="12"/>
        <v>0.22434989123837498</v>
      </c>
      <c r="G83" s="537">
        <f t="shared" si="12"/>
        <v>-0.7270510997741908</v>
      </c>
      <c r="H83" s="537">
        <f t="shared" si="12"/>
        <v>-4.5563423602415227</v>
      </c>
      <c r="I83" s="537">
        <f t="shared" si="12"/>
        <v>6.9879815024019049E-2</v>
      </c>
      <c r="J83" s="537">
        <f t="shared" si="12"/>
        <v>1.41735717400785E-2</v>
      </c>
      <c r="K83" s="537">
        <f t="shared" si="12"/>
        <v>0.36141298258979587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7" sqref="A17:H17"/>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70" t="s">
        <v>1802</v>
      </c>
      <c r="B1" s="452"/>
      <c r="C1" s="453" t="s">
        <v>425</v>
      </c>
      <c r="D1" s="453" t="s">
        <v>426</v>
      </c>
      <c r="E1" s="453" t="s">
        <v>427</v>
      </c>
      <c r="F1" s="453" t="s">
        <v>428</v>
      </c>
      <c r="G1" s="453" t="s">
        <v>429</v>
      </c>
      <c r="H1" s="453" t="s">
        <v>430</v>
      </c>
      <c r="I1" s="453" t="s">
        <v>431</v>
      </c>
      <c r="J1" s="453" t="s">
        <v>432</v>
      </c>
      <c r="K1" s="453" t="s">
        <v>756</v>
      </c>
    </row>
    <row r="2" spans="1:12" ht="36" x14ac:dyDescent="0.2">
      <c r="A2" s="217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7170254</v>
      </c>
      <c r="D5" s="479">
        <v>1792545</v>
      </c>
      <c r="E5" s="466">
        <v>0</v>
      </c>
      <c r="F5" s="545">
        <v>709359</v>
      </c>
      <c r="G5" s="466">
        <v>77075</v>
      </c>
      <c r="H5" s="466">
        <v>0</v>
      </c>
      <c r="I5" s="466">
        <v>179256</v>
      </c>
      <c r="J5" s="467">
        <v>6</v>
      </c>
      <c r="K5" s="466">
        <v>62410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11</v>
      </c>
      <c r="D7" s="466">
        <v>0</v>
      </c>
      <c r="E7" s="468"/>
      <c r="F7" s="467">
        <v>0</v>
      </c>
      <c r="G7" s="467">
        <v>0</v>
      </c>
      <c r="H7" s="467">
        <v>0</v>
      </c>
      <c r="I7" s="468"/>
      <c r="J7" s="468"/>
      <c r="K7" s="468"/>
    </row>
    <row r="8" spans="1:12" x14ac:dyDescent="0.2">
      <c r="A8" s="463" t="s">
        <v>413</v>
      </c>
      <c r="B8" s="470">
        <v>1150</v>
      </c>
      <c r="C8" s="474"/>
      <c r="D8" s="474"/>
      <c r="E8" s="475"/>
      <c r="F8" s="475"/>
      <c r="G8" s="479">
        <v>65842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7170265</v>
      </c>
      <c r="D12" s="1704">
        <f t="shared" si="0"/>
        <v>1792545</v>
      </c>
      <c r="E12" s="1704">
        <f t="shared" si="0"/>
        <v>0</v>
      </c>
      <c r="F12" s="1704">
        <f t="shared" si="0"/>
        <v>709359</v>
      </c>
      <c r="G12" s="1704">
        <f t="shared" si="0"/>
        <v>142917</v>
      </c>
      <c r="H12" s="1704">
        <f t="shared" si="0"/>
        <v>0</v>
      </c>
      <c r="I12" s="1704">
        <f t="shared" si="0"/>
        <v>179256</v>
      </c>
      <c r="J12" s="1704">
        <f t="shared" si="0"/>
        <v>6</v>
      </c>
      <c r="K12" s="1685">
        <f t="shared" si="0"/>
        <v>62410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1373</v>
      </c>
      <c r="D14" s="466">
        <v>343</v>
      </c>
      <c r="E14" s="466">
        <v>0</v>
      </c>
      <c r="F14" s="466">
        <v>126</v>
      </c>
      <c r="G14" s="466">
        <v>0</v>
      </c>
      <c r="H14" s="466">
        <v>0</v>
      </c>
      <c r="I14" s="466">
        <v>34</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1843435</v>
      </c>
      <c r="D16" s="466">
        <v>1717363</v>
      </c>
      <c r="E16" s="466">
        <v>0</v>
      </c>
      <c r="F16" s="466">
        <v>0</v>
      </c>
      <c r="G16" s="466">
        <v>212170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1844808</v>
      </c>
      <c r="D18" s="1707">
        <f t="shared" ref="D18:K18" si="1">SUM(D14:D17)</f>
        <v>1717706</v>
      </c>
      <c r="E18" s="1707">
        <f t="shared" si="1"/>
        <v>0</v>
      </c>
      <c r="F18" s="1707">
        <f t="shared" si="1"/>
        <v>126</v>
      </c>
      <c r="G18" s="1707">
        <f t="shared" si="1"/>
        <v>212170</v>
      </c>
      <c r="H18" s="1707">
        <f t="shared" si="1"/>
        <v>0</v>
      </c>
      <c r="I18" s="1707">
        <f t="shared" si="1"/>
        <v>34</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24078</v>
      </c>
      <c r="D65" s="466">
        <v>22241</v>
      </c>
      <c r="E65" s="466">
        <v>1860</v>
      </c>
      <c r="F65" s="467">
        <v>5022</v>
      </c>
      <c r="G65" s="466">
        <v>479</v>
      </c>
      <c r="H65" s="466">
        <v>14180</v>
      </c>
      <c r="I65" s="466">
        <v>58302</v>
      </c>
      <c r="J65" s="467">
        <v>2069</v>
      </c>
      <c r="K65" s="466">
        <v>2108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24078</v>
      </c>
      <c r="D67" s="1685">
        <f t="shared" ref="D67:K67" si="2">SUM(D65:D66)</f>
        <v>22241</v>
      </c>
      <c r="E67" s="1685">
        <f t="shared" si="2"/>
        <v>1860</v>
      </c>
      <c r="F67" s="1685">
        <f t="shared" si="2"/>
        <v>5022</v>
      </c>
      <c r="G67" s="1685">
        <f t="shared" si="2"/>
        <v>479</v>
      </c>
      <c r="H67" s="1685">
        <f t="shared" si="2"/>
        <v>14180</v>
      </c>
      <c r="I67" s="1685">
        <f t="shared" si="2"/>
        <v>58302</v>
      </c>
      <c r="J67" s="1685">
        <f t="shared" si="2"/>
        <v>2069</v>
      </c>
      <c r="K67" s="1685">
        <f t="shared" si="2"/>
        <v>2108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130020</v>
      </c>
      <c r="D69" s="468"/>
      <c r="E69" s="468"/>
      <c r="F69" s="468"/>
      <c r="G69" s="468"/>
      <c r="H69" s="468"/>
      <c r="I69" s="468"/>
      <c r="J69" s="468"/>
      <c r="K69" s="468"/>
    </row>
    <row r="70" spans="1:11" ht="12.75" customHeight="1" x14ac:dyDescent="0.2">
      <c r="A70" s="463" t="s">
        <v>997</v>
      </c>
      <c r="B70" s="470">
        <v>1612</v>
      </c>
      <c r="C70" s="548">
        <v>71</v>
      </c>
      <c r="D70" s="468"/>
      <c r="E70" s="468"/>
      <c r="F70" s="468"/>
      <c r="G70" s="468"/>
      <c r="H70" s="468"/>
      <c r="I70" s="468"/>
      <c r="J70" s="468"/>
      <c r="K70" s="468"/>
    </row>
    <row r="71" spans="1:11" ht="12.75" customHeight="1" x14ac:dyDescent="0.2">
      <c r="A71" s="463" t="s">
        <v>273</v>
      </c>
      <c r="B71" s="470">
        <v>1613</v>
      </c>
      <c r="C71" s="548">
        <v>551</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289</v>
      </c>
      <c r="D74" s="468"/>
      <c r="E74" s="468"/>
      <c r="F74" s="468"/>
      <c r="G74" s="468"/>
      <c r="H74" s="468"/>
      <c r="I74" s="468"/>
      <c r="J74" s="468"/>
      <c r="K74" s="468"/>
    </row>
    <row r="75" spans="1:11" ht="12.75" customHeight="1" thickBot="1" x14ac:dyDescent="0.25">
      <c r="A75" s="1705" t="s">
        <v>548</v>
      </c>
      <c r="B75" s="1706"/>
      <c r="C75" s="1685">
        <f>SUM(C69:C74)</f>
        <v>130931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15614</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11196</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26810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33001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13892</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46893</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555</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2200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325946</v>
      </c>
      <c r="I103" s="468"/>
      <c r="J103" s="507"/>
      <c r="K103" s="507"/>
    </row>
    <row r="104" spans="1:12" ht="12.75" customHeight="1" x14ac:dyDescent="0.2">
      <c r="A104" s="463" t="s">
        <v>830</v>
      </c>
      <c r="B104" s="470">
        <v>1991</v>
      </c>
      <c r="C104" s="486">
        <v>42163</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61831</v>
      </c>
      <c r="D107" s="466">
        <v>246</v>
      </c>
      <c r="E107" s="466">
        <v>0</v>
      </c>
      <c r="F107" s="466">
        <v>1833</v>
      </c>
      <c r="G107" s="466">
        <v>2437</v>
      </c>
      <c r="H107" s="466">
        <v>0</v>
      </c>
      <c r="I107" s="466">
        <v>0</v>
      </c>
      <c r="J107" s="467">
        <v>0</v>
      </c>
      <c r="K107" s="466">
        <v>0</v>
      </c>
    </row>
    <row r="108" spans="1:12" ht="12.75" customHeight="1" thickBot="1" x14ac:dyDescent="0.25">
      <c r="A108" s="1705" t="s">
        <v>487</v>
      </c>
      <c r="B108" s="1709"/>
      <c r="C108" s="1704">
        <f>SUM(C95:C107)</f>
        <v>106194</v>
      </c>
      <c r="D108" s="1704">
        <f t="shared" ref="D108:K108" si="3">SUM(D95:D107)</f>
        <v>801</v>
      </c>
      <c r="E108" s="1704">
        <f t="shared" si="3"/>
        <v>0</v>
      </c>
      <c r="F108" s="1704">
        <f t="shared" si="3"/>
        <v>1833</v>
      </c>
      <c r="G108" s="1704">
        <f t="shared" si="3"/>
        <v>2437</v>
      </c>
      <c r="H108" s="1704">
        <f t="shared" si="3"/>
        <v>325946</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9349979</v>
      </c>
      <c r="D109" s="1712">
        <f t="shared" si="4"/>
        <v>3533293</v>
      </c>
      <c r="E109" s="1712">
        <f t="shared" si="4"/>
        <v>1860</v>
      </c>
      <c r="F109" s="1712">
        <f t="shared" si="4"/>
        <v>716340</v>
      </c>
      <c r="G109" s="1712">
        <f t="shared" si="4"/>
        <v>358003</v>
      </c>
      <c r="H109" s="1712">
        <f t="shared" si="4"/>
        <v>340126</v>
      </c>
      <c r="I109" s="1712">
        <f t="shared" si="4"/>
        <v>237592</v>
      </c>
      <c r="J109" s="1712">
        <f t="shared" si="4"/>
        <v>2075</v>
      </c>
      <c r="K109" s="1699">
        <f t="shared" si="4"/>
        <v>64518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414122</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414122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4985</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4985</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9279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9279</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1388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8539</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159796</v>
      </c>
      <c r="G152" s="467">
        <v>0</v>
      </c>
      <c r="H152" s="468"/>
      <c r="I152" s="468"/>
      <c r="J152" s="468"/>
      <c r="K152" s="468"/>
    </row>
    <row r="153" spans="1:11" ht="12.75" customHeight="1" x14ac:dyDescent="0.2">
      <c r="A153" s="463" t="s">
        <v>1057</v>
      </c>
      <c r="B153" s="559">
        <v>3510</v>
      </c>
      <c r="C153" s="548">
        <v>0</v>
      </c>
      <c r="D153" s="466">
        <v>0</v>
      </c>
      <c r="E153" s="558"/>
      <c r="F153" s="466">
        <v>109766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269562</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209442</v>
      </c>
      <c r="D159" s="575">
        <v>43300</v>
      </c>
      <c r="E159" s="558"/>
      <c r="F159" s="573">
        <v>20719</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90" t="s">
        <v>398</v>
      </c>
      <c r="B169" s="2191"/>
      <c r="C169" s="1719">
        <f t="shared" ref="C169:K169" si="6">SUM(C132,C141,C145,C146:C150,C155,C156:C167,C168)</f>
        <v>234383</v>
      </c>
      <c r="D169" s="1719">
        <f t="shared" si="6"/>
        <v>43300</v>
      </c>
      <c r="E169" s="1719">
        <f t="shared" si="6"/>
        <v>0</v>
      </c>
      <c r="F169" s="1719">
        <f t="shared" si="6"/>
        <v>290281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648505</v>
      </c>
      <c r="D170" s="1712">
        <f t="shared" si="7"/>
        <v>43300</v>
      </c>
      <c r="E170" s="1712">
        <f t="shared" si="7"/>
        <v>0</v>
      </c>
      <c r="F170" s="1712">
        <f t="shared" si="7"/>
        <v>290281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92" t="s">
        <v>1492</v>
      </c>
      <c r="B172" s="219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6" t="s">
        <v>1665</v>
      </c>
      <c r="B175" s="219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00" t="s">
        <v>1664</v>
      </c>
      <c r="B176" s="220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8" t="s">
        <v>785</v>
      </c>
      <c r="B181" s="219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94" t="s">
        <v>1803</v>
      </c>
      <c r="B182" s="219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92487</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7846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100333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78070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78070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216541</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216541</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23815</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17028</v>
      </c>
      <c r="D263" s="573">
        <v>0</v>
      </c>
      <c r="E263" s="468"/>
      <c r="F263" s="573">
        <v>0</v>
      </c>
      <c r="G263" s="573">
        <v>0</v>
      </c>
      <c r="H263" s="468"/>
      <c r="I263" s="468"/>
      <c r="J263" s="468"/>
      <c r="K263" s="468"/>
    </row>
    <row r="264" spans="1:11" ht="12.75" customHeight="1" thickTop="1" thickBot="1" x14ac:dyDescent="0.25">
      <c r="A264" s="463" t="s">
        <v>377</v>
      </c>
      <c r="B264" s="470">
        <v>4992</v>
      </c>
      <c r="C264" s="572">
        <v>14392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450179</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450179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10448663</v>
      </c>
      <c r="D268" s="1712">
        <f t="shared" si="12"/>
        <v>3576593</v>
      </c>
      <c r="E268" s="1712">
        <f t="shared" si="12"/>
        <v>1860</v>
      </c>
      <c r="F268" s="1712">
        <f t="shared" si="12"/>
        <v>1006621</v>
      </c>
      <c r="G268" s="1712">
        <f t="shared" si="12"/>
        <v>358003</v>
      </c>
      <c r="H268" s="1712">
        <f t="shared" si="12"/>
        <v>340126</v>
      </c>
      <c r="I268" s="1712">
        <f t="shared" si="12"/>
        <v>237592</v>
      </c>
      <c r="J268" s="1712">
        <f t="shared" si="12"/>
        <v>2075</v>
      </c>
      <c r="K268" s="1699">
        <f t="shared" si="12"/>
        <v>64518</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7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0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10" t="s">
        <v>297</v>
      </c>
      <c r="B3" s="221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3697122</v>
      </c>
      <c r="D5" s="466">
        <v>1040102</v>
      </c>
      <c r="E5" s="466">
        <v>53045</v>
      </c>
      <c r="F5" s="466">
        <v>155709</v>
      </c>
      <c r="G5" s="466">
        <v>29642</v>
      </c>
      <c r="H5" s="466">
        <v>0</v>
      </c>
      <c r="I5" s="467">
        <v>0</v>
      </c>
      <c r="J5" s="467">
        <v>0</v>
      </c>
      <c r="K5" s="1668">
        <f>SUM(C5:J5)</f>
        <v>4975620</v>
      </c>
      <c r="L5" s="471">
        <v>5089667</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112406</v>
      </c>
      <c r="D7" s="467">
        <v>33253</v>
      </c>
      <c r="E7" s="467">
        <v>779</v>
      </c>
      <c r="F7" s="467">
        <v>10929</v>
      </c>
      <c r="G7" s="467">
        <v>0</v>
      </c>
      <c r="H7" s="467">
        <v>0</v>
      </c>
      <c r="I7" s="467">
        <v>0</v>
      </c>
      <c r="J7" s="467">
        <v>0</v>
      </c>
      <c r="K7" s="1668">
        <f t="shared" ref="K7:K32" si="0">SUM(C7:J7)</f>
        <v>157367</v>
      </c>
      <c r="L7" s="471">
        <v>144784</v>
      </c>
    </row>
    <row r="8" spans="1:14" x14ac:dyDescent="0.2">
      <c r="A8" s="1501" t="s">
        <v>164</v>
      </c>
      <c r="B8" s="611">
        <v>1200</v>
      </c>
      <c r="C8" s="466">
        <v>1044172</v>
      </c>
      <c r="D8" s="466">
        <v>151680</v>
      </c>
      <c r="E8" s="466">
        <v>0</v>
      </c>
      <c r="F8" s="466">
        <v>26364</v>
      </c>
      <c r="G8" s="466">
        <v>0</v>
      </c>
      <c r="H8" s="466">
        <v>0</v>
      </c>
      <c r="I8" s="467">
        <v>0</v>
      </c>
      <c r="J8" s="467">
        <v>0</v>
      </c>
      <c r="K8" s="1668">
        <f t="shared" si="0"/>
        <v>1222216</v>
      </c>
      <c r="L8" s="471">
        <v>1102164</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68352</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239765</v>
      </c>
      <c r="D14" s="466">
        <v>20598</v>
      </c>
      <c r="E14" s="466">
        <v>59767</v>
      </c>
      <c r="F14" s="466">
        <v>78509</v>
      </c>
      <c r="G14" s="466">
        <v>0</v>
      </c>
      <c r="H14" s="466">
        <v>0</v>
      </c>
      <c r="I14" s="467">
        <v>0</v>
      </c>
      <c r="J14" s="467">
        <v>0</v>
      </c>
      <c r="K14" s="1668">
        <f t="shared" si="0"/>
        <v>398639</v>
      </c>
      <c r="L14" s="471">
        <v>391628</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57374</v>
      </c>
      <c r="D17" s="467">
        <v>21037</v>
      </c>
      <c r="E17" s="467">
        <v>0</v>
      </c>
      <c r="F17" s="467">
        <v>0</v>
      </c>
      <c r="G17" s="467">
        <v>0</v>
      </c>
      <c r="H17" s="467">
        <v>0</v>
      </c>
      <c r="I17" s="467">
        <v>0</v>
      </c>
      <c r="J17" s="467">
        <v>0</v>
      </c>
      <c r="K17" s="1668">
        <f t="shared" si="0"/>
        <v>78411</v>
      </c>
      <c r="L17" s="471">
        <v>79982</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26188</v>
      </c>
      <c r="I21" s="613"/>
      <c r="J21" s="475"/>
      <c r="K21" s="1668">
        <f t="shared" si="0"/>
        <v>26188</v>
      </c>
      <c r="L21" s="471">
        <v>10000</v>
      </c>
    </row>
    <row r="22" spans="1:12" x14ac:dyDescent="0.2">
      <c r="A22" s="1502" t="s">
        <v>740</v>
      </c>
      <c r="B22" s="599" t="s">
        <v>727</v>
      </c>
      <c r="C22" s="475"/>
      <c r="D22" s="475"/>
      <c r="E22" s="475"/>
      <c r="F22" s="475"/>
      <c r="G22" s="475"/>
      <c r="H22" s="473">
        <v>187249</v>
      </c>
      <c r="I22" s="613"/>
      <c r="J22" s="475"/>
      <c r="K22" s="1668">
        <f t="shared" si="0"/>
        <v>187249</v>
      </c>
      <c r="L22" s="471">
        <v>205000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5150839</v>
      </c>
      <c r="D33" s="1667">
        <f t="shared" ref="D33:L33" si="1">SUM(D5:D32)</f>
        <v>1266670</v>
      </c>
      <c r="E33" s="1667">
        <f t="shared" si="1"/>
        <v>113591</v>
      </c>
      <c r="F33" s="1667">
        <f t="shared" si="1"/>
        <v>271511</v>
      </c>
      <c r="G33" s="1667">
        <f t="shared" si="1"/>
        <v>29642</v>
      </c>
      <c r="H33" s="1667">
        <f t="shared" si="1"/>
        <v>213437</v>
      </c>
      <c r="I33" s="1667">
        <f t="shared" si="1"/>
        <v>0</v>
      </c>
      <c r="J33" s="1667">
        <f t="shared" si="1"/>
        <v>0</v>
      </c>
      <c r="K33" s="1667">
        <f t="shared" si="1"/>
        <v>7045690</v>
      </c>
      <c r="L33" s="1667">
        <f t="shared" si="1"/>
        <v>7091577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265585</v>
      </c>
      <c r="D37" s="466">
        <v>64531</v>
      </c>
      <c r="E37" s="466">
        <v>4308</v>
      </c>
      <c r="F37" s="466">
        <v>12892</v>
      </c>
      <c r="G37" s="466">
        <v>0</v>
      </c>
      <c r="H37" s="466">
        <v>0</v>
      </c>
      <c r="I37" s="467">
        <v>0</v>
      </c>
      <c r="J37" s="467">
        <v>0</v>
      </c>
      <c r="K37" s="1668">
        <f t="shared" si="2"/>
        <v>347316</v>
      </c>
      <c r="L37" s="466">
        <v>342201</v>
      </c>
    </row>
    <row r="38" spans="1:14" x14ac:dyDescent="0.2">
      <c r="A38" s="1501" t="s">
        <v>198</v>
      </c>
      <c r="B38" s="611">
        <v>2130</v>
      </c>
      <c r="C38" s="466">
        <v>85026</v>
      </c>
      <c r="D38" s="466">
        <v>13580</v>
      </c>
      <c r="E38" s="466">
        <v>110</v>
      </c>
      <c r="F38" s="466">
        <v>2225</v>
      </c>
      <c r="G38" s="466">
        <v>0</v>
      </c>
      <c r="H38" s="466">
        <v>0</v>
      </c>
      <c r="I38" s="467">
        <v>0</v>
      </c>
      <c r="J38" s="467">
        <v>0</v>
      </c>
      <c r="K38" s="1668">
        <f t="shared" si="2"/>
        <v>100941</v>
      </c>
      <c r="L38" s="466">
        <v>85569</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69057</v>
      </c>
      <c r="D40" s="466">
        <v>21893</v>
      </c>
      <c r="E40" s="466">
        <v>0</v>
      </c>
      <c r="F40" s="466">
        <v>0</v>
      </c>
      <c r="G40" s="466">
        <v>0</v>
      </c>
      <c r="H40" s="466">
        <v>0</v>
      </c>
      <c r="I40" s="467">
        <v>0</v>
      </c>
      <c r="J40" s="467">
        <v>0</v>
      </c>
      <c r="K40" s="1668">
        <f t="shared" si="2"/>
        <v>90950</v>
      </c>
      <c r="L40" s="466">
        <v>93002</v>
      </c>
    </row>
    <row r="41" spans="1:14" x14ac:dyDescent="0.2">
      <c r="A41" s="1501" t="s">
        <v>1669</v>
      </c>
      <c r="B41" s="611">
        <v>2190</v>
      </c>
      <c r="C41" s="466">
        <v>2821</v>
      </c>
      <c r="D41" s="466">
        <v>0</v>
      </c>
      <c r="E41" s="466">
        <v>0</v>
      </c>
      <c r="F41" s="466">
        <v>6259</v>
      </c>
      <c r="G41" s="466">
        <v>0</v>
      </c>
      <c r="H41" s="466">
        <v>0</v>
      </c>
      <c r="I41" s="467">
        <v>0</v>
      </c>
      <c r="J41" s="467">
        <v>0</v>
      </c>
      <c r="K41" s="1668">
        <f t="shared" si="2"/>
        <v>9080</v>
      </c>
      <c r="L41" s="466">
        <v>15832</v>
      </c>
    </row>
    <row r="42" spans="1:14" ht="12.75" customHeight="1" thickBot="1" x14ac:dyDescent="0.25">
      <c r="A42" s="1665" t="s">
        <v>560</v>
      </c>
      <c r="B42" s="1666" t="s">
        <v>716</v>
      </c>
      <c r="C42" s="1667">
        <f>SUM(C36:C41)</f>
        <v>422489</v>
      </c>
      <c r="D42" s="1667">
        <f t="shared" ref="D42:L42" si="3">SUM(D36:D41)</f>
        <v>100004</v>
      </c>
      <c r="E42" s="1667">
        <f t="shared" si="3"/>
        <v>4418</v>
      </c>
      <c r="F42" s="1667">
        <f t="shared" si="3"/>
        <v>21376</v>
      </c>
      <c r="G42" s="1667">
        <f t="shared" si="3"/>
        <v>0</v>
      </c>
      <c r="H42" s="1667">
        <f t="shared" si="3"/>
        <v>0</v>
      </c>
      <c r="I42" s="1667">
        <f t="shared" si="3"/>
        <v>0</v>
      </c>
      <c r="J42" s="1667">
        <f t="shared" si="3"/>
        <v>0</v>
      </c>
      <c r="K42" s="1667">
        <f t="shared" si="3"/>
        <v>548287</v>
      </c>
      <c r="L42" s="1667">
        <f t="shared" si="3"/>
        <v>536604</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7899</v>
      </c>
      <c r="F44" s="479">
        <v>0</v>
      </c>
      <c r="G44" s="479">
        <v>0</v>
      </c>
      <c r="H44" s="479">
        <v>0</v>
      </c>
      <c r="I44" s="467">
        <v>0</v>
      </c>
      <c r="J44" s="467">
        <v>0</v>
      </c>
      <c r="K44" s="1669">
        <f>SUM(C44:J44)</f>
        <v>7899</v>
      </c>
      <c r="L44" s="479">
        <v>14320</v>
      </c>
    </row>
    <row r="45" spans="1:14" x14ac:dyDescent="0.2">
      <c r="A45" s="1501" t="s">
        <v>815</v>
      </c>
      <c r="B45" s="611">
        <v>2220</v>
      </c>
      <c r="C45" s="466">
        <v>108979</v>
      </c>
      <c r="D45" s="466">
        <v>19389</v>
      </c>
      <c r="E45" s="466">
        <v>162</v>
      </c>
      <c r="F45" s="466">
        <v>15409</v>
      </c>
      <c r="G45" s="466">
        <v>98</v>
      </c>
      <c r="H45" s="466">
        <v>0</v>
      </c>
      <c r="I45" s="467">
        <v>0</v>
      </c>
      <c r="J45" s="467">
        <v>0</v>
      </c>
      <c r="K45" s="1669">
        <f>SUM(C45:J45)</f>
        <v>144037</v>
      </c>
      <c r="L45" s="466">
        <v>158437</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108979</v>
      </c>
      <c r="D47" s="1667">
        <f t="shared" ref="D47:K47" si="4">SUM(D44:D46)</f>
        <v>19389</v>
      </c>
      <c r="E47" s="1667">
        <f t="shared" si="4"/>
        <v>8061</v>
      </c>
      <c r="F47" s="1667">
        <f t="shared" si="4"/>
        <v>15409</v>
      </c>
      <c r="G47" s="1667">
        <f t="shared" si="4"/>
        <v>98</v>
      </c>
      <c r="H47" s="1667">
        <f t="shared" si="4"/>
        <v>0</v>
      </c>
      <c r="I47" s="1667">
        <f t="shared" si="4"/>
        <v>0</v>
      </c>
      <c r="J47" s="1667">
        <f t="shared" si="4"/>
        <v>0</v>
      </c>
      <c r="K47" s="1667">
        <f t="shared" si="4"/>
        <v>151936</v>
      </c>
      <c r="L47" s="1667">
        <f>SUM(L44:L46)</f>
        <v>172757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35491</v>
      </c>
      <c r="D49" s="479">
        <v>0</v>
      </c>
      <c r="E49" s="479">
        <v>136416</v>
      </c>
      <c r="F49" s="479">
        <v>4570</v>
      </c>
      <c r="G49" s="479">
        <v>0</v>
      </c>
      <c r="H49" s="479">
        <v>39024</v>
      </c>
      <c r="I49" s="467">
        <v>0</v>
      </c>
      <c r="J49" s="467">
        <v>0</v>
      </c>
      <c r="K49" s="1669">
        <f>SUM(C49:J49)</f>
        <v>215501</v>
      </c>
      <c r="L49" s="479">
        <v>187571</v>
      </c>
    </row>
    <row r="50" spans="1:14" x14ac:dyDescent="0.2">
      <c r="A50" s="1501" t="s">
        <v>818</v>
      </c>
      <c r="B50" s="611">
        <v>2320</v>
      </c>
      <c r="C50" s="467">
        <v>204868</v>
      </c>
      <c r="D50" s="466">
        <v>54773</v>
      </c>
      <c r="E50" s="466">
        <v>23075</v>
      </c>
      <c r="F50" s="466">
        <v>14295</v>
      </c>
      <c r="G50" s="466">
        <v>0</v>
      </c>
      <c r="H50" s="466">
        <v>0</v>
      </c>
      <c r="I50" s="467">
        <v>0</v>
      </c>
      <c r="J50" s="467">
        <v>0</v>
      </c>
      <c r="K50" s="1669">
        <f>SUM(C50:J50)</f>
        <v>297011</v>
      </c>
      <c r="L50" s="466">
        <v>248286</v>
      </c>
    </row>
    <row r="51" spans="1:14" x14ac:dyDescent="0.2">
      <c r="A51" s="1501" t="s">
        <v>42</v>
      </c>
      <c r="B51" s="611">
        <v>2330</v>
      </c>
      <c r="C51" s="466">
        <v>0</v>
      </c>
      <c r="D51" s="466">
        <v>0</v>
      </c>
      <c r="E51" s="466">
        <v>0</v>
      </c>
      <c r="F51" s="466">
        <v>0</v>
      </c>
      <c r="G51" s="466">
        <v>0</v>
      </c>
      <c r="H51" s="466">
        <v>0</v>
      </c>
      <c r="I51" s="467">
        <v>0</v>
      </c>
      <c r="J51" s="467">
        <v>0</v>
      </c>
      <c r="K51" s="1669">
        <f>SUM(C51:J51)</f>
        <v>0</v>
      </c>
      <c r="L51" s="466">
        <v>2500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240359</v>
      </c>
      <c r="D53" s="1667">
        <f t="shared" ref="D53:L53" si="5">SUM(D49:D52)</f>
        <v>54773</v>
      </c>
      <c r="E53" s="1667">
        <f t="shared" si="5"/>
        <v>159491</v>
      </c>
      <c r="F53" s="1667">
        <f t="shared" si="5"/>
        <v>18865</v>
      </c>
      <c r="G53" s="1667">
        <f t="shared" si="5"/>
        <v>0</v>
      </c>
      <c r="H53" s="1667">
        <f t="shared" si="5"/>
        <v>39024</v>
      </c>
      <c r="I53" s="1667">
        <f t="shared" si="5"/>
        <v>0</v>
      </c>
      <c r="J53" s="1667">
        <f t="shared" si="5"/>
        <v>0</v>
      </c>
      <c r="K53" s="1667">
        <f t="shared" si="5"/>
        <v>512512</v>
      </c>
      <c r="L53" s="1667">
        <f t="shared" si="5"/>
        <v>438357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610659</v>
      </c>
      <c r="D55" s="479">
        <v>137215</v>
      </c>
      <c r="E55" s="479">
        <v>17588</v>
      </c>
      <c r="F55" s="479">
        <v>7043</v>
      </c>
      <c r="G55" s="479">
        <v>1000</v>
      </c>
      <c r="H55" s="479">
        <v>4264</v>
      </c>
      <c r="I55" s="467">
        <v>0</v>
      </c>
      <c r="J55" s="467">
        <v>0</v>
      </c>
      <c r="K55" s="1669">
        <f>SUM(C55:J55)</f>
        <v>777769</v>
      </c>
      <c r="L55" s="479">
        <v>763332</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610659</v>
      </c>
      <c r="D57" s="1671">
        <f t="shared" ref="D57:K57" si="6">SUM(D55:D56)</f>
        <v>137215</v>
      </c>
      <c r="E57" s="1671">
        <f t="shared" si="6"/>
        <v>17588</v>
      </c>
      <c r="F57" s="1671">
        <f t="shared" si="6"/>
        <v>7043</v>
      </c>
      <c r="G57" s="1671">
        <f t="shared" si="6"/>
        <v>1000</v>
      </c>
      <c r="H57" s="1671">
        <f t="shared" si="6"/>
        <v>4264</v>
      </c>
      <c r="I57" s="1671">
        <f t="shared" si="6"/>
        <v>0</v>
      </c>
      <c r="J57" s="1671">
        <f t="shared" si="6"/>
        <v>0</v>
      </c>
      <c r="K57" s="1671">
        <f t="shared" si="6"/>
        <v>777769</v>
      </c>
      <c r="L57" s="1667">
        <f>SUM(L55:L56)</f>
        <v>763332</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72714</v>
      </c>
      <c r="D60" s="466">
        <v>114</v>
      </c>
      <c r="E60" s="466">
        <v>150</v>
      </c>
      <c r="F60" s="466">
        <v>1758</v>
      </c>
      <c r="G60" s="466">
        <v>0</v>
      </c>
      <c r="H60" s="466">
        <v>0</v>
      </c>
      <c r="I60" s="467">
        <v>0</v>
      </c>
      <c r="J60" s="467">
        <v>0</v>
      </c>
      <c r="K60" s="1669">
        <f t="shared" si="7"/>
        <v>74736</v>
      </c>
      <c r="L60" s="466">
        <v>93896</v>
      </c>
      <c r="M60" s="606"/>
      <c r="N60" s="606"/>
    </row>
    <row r="61" spans="1:14" s="343" customFormat="1" x14ac:dyDescent="0.2">
      <c r="A61" s="1501" t="s">
        <v>197</v>
      </c>
      <c r="B61" s="611">
        <v>2540</v>
      </c>
      <c r="C61" s="466">
        <v>468237</v>
      </c>
      <c r="D61" s="466">
        <v>266</v>
      </c>
      <c r="E61" s="466">
        <v>0</v>
      </c>
      <c r="F61" s="466">
        <v>0</v>
      </c>
      <c r="G61" s="466">
        <v>0</v>
      </c>
      <c r="H61" s="466">
        <v>0</v>
      </c>
      <c r="I61" s="467">
        <v>0</v>
      </c>
      <c r="J61" s="467">
        <v>0</v>
      </c>
      <c r="K61" s="1669">
        <f t="shared" si="7"/>
        <v>468503</v>
      </c>
      <c r="L61" s="466">
        <v>560228</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167648</v>
      </c>
      <c r="D63" s="466">
        <v>163</v>
      </c>
      <c r="E63" s="466">
        <v>3243</v>
      </c>
      <c r="F63" s="466">
        <v>151744</v>
      </c>
      <c r="G63" s="466">
        <v>0</v>
      </c>
      <c r="H63" s="466">
        <v>0</v>
      </c>
      <c r="I63" s="467">
        <v>0</v>
      </c>
      <c r="J63" s="467">
        <v>0</v>
      </c>
      <c r="K63" s="1669">
        <f t="shared" si="7"/>
        <v>322798</v>
      </c>
      <c r="L63" s="466">
        <v>381056</v>
      </c>
    </row>
    <row r="64" spans="1:14" s="606" customFormat="1" x14ac:dyDescent="0.2">
      <c r="A64" s="1506" t="s">
        <v>101</v>
      </c>
      <c r="B64" s="627">
        <v>2570</v>
      </c>
      <c r="C64" s="467">
        <v>0</v>
      </c>
      <c r="D64" s="479">
        <v>0</v>
      </c>
      <c r="E64" s="479">
        <v>0</v>
      </c>
      <c r="F64" s="479">
        <v>2088</v>
      </c>
      <c r="G64" s="479">
        <v>0</v>
      </c>
      <c r="H64" s="479">
        <v>0</v>
      </c>
      <c r="I64" s="467">
        <v>0</v>
      </c>
      <c r="J64" s="467">
        <v>0</v>
      </c>
      <c r="K64" s="1669">
        <f t="shared" si="7"/>
        <v>2088</v>
      </c>
      <c r="L64" s="479">
        <v>2000</v>
      </c>
    </row>
    <row r="65" spans="1:14" s="343" customFormat="1" ht="12.75" customHeight="1" thickBot="1" x14ac:dyDescent="0.25">
      <c r="A65" s="1665" t="s">
        <v>719</v>
      </c>
      <c r="B65" s="1666" t="s">
        <v>35</v>
      </c>
      <c r="C65" s="1667">
        <f>SUM(C59:C64)</f>
        <v>708599</v>
      </c>
      <c r="D65" s="1667">
        <f t="shared" ref="D65:L65" si="8">SUM(D59:D64)</f>
        <v>543</v>
      </c>
      <c r="E65" s="1667">
        <f t="shared" si="8"/>
        <v>3393</v>
      </c>
      <c r="F65" s="1667">
        <f t="shared" si="8"/>
        <v>155590</v>
      </c>
      <c r="G65" s="1667">
        <f t="shared" si="8"/>
        <v>0</v>
      </c>
      <c r="H65" s="1667">
        <f t="shared" si="8"/>
        <v>0</v>
      </c>
      <c r="I65" s="1667">
        <f t="shared" si="8"/>
        <v>0</v>
      </c>
      <c r="J65" s="1667">
        <f t="shared" si="8"/>
        <v>0</v>
      </c>
      <c r="K65" s="1667">
        <f t="shared" si="8"/>
        <v>868125</v>
      </c>
      <c r="L65" s="1667">
        <f t="shared" si="8"/>
        <v>1037180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8807</v>
      </c>
      <c r="D68" s="466">
        <v>1168</v>
      </c>
      <c r="E68" s="466">
        <v>2915</v>
      </c>
      <c r="F68" s="466">
        <v>0</v>
      </c>
      <c r="G68" s="466">
        <v>0</v>
      </c>
      <c r="H68" s="466">
        <v>0</v>
      </c>
      <c r="I68" s="467">
        <v>0</v>
      </c>
      <c r="J68" s="467">
        <v>0</v>
      </c>
      <c r="K68" s="1669">
        <f>SUM(C68:J68)</f>
        <v>12890</v>
      </c>
      <c r="L68" s="466">
        <v>14444</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135875</v>
      </c>
      <c r="D70" s="466">
        <v>153</v>
      </c>
      <c r="E70" s="466">
        <v>114917</v>
      </c>
      <c r="F70" s="466">
        <v>62841</v>
      </c>
      <c r="G70" s="466">
        <v>69811</v>
      </c>
      <c r="H70" s="466">
        <v>0</v>
      </c>
      <c r="I70" s="467">
        <v>0</v>
      </c>
      <c r="J70" s="467">
        <v>0</v>
      </c>
      <c r="K70" s="1669">
        <f>SUM(C70:J70)</f>
        <v>383597</v>
      </c>
      <c r="L70" s="466">
        <v>390923</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144682</v>
      </c>
      <c r="D72" s="1667">
        <f t="shared" ref="D72:K72" si="9">SUM(D67:D71)</f>
        <v>1321</v>
      </c>
      <c r="E72" s="1667">
        <f t="shared" si="9"/>
        <v>117832</v>
      </c>
      <c r="F72" s="1667">
        <f t="shared" si="9"/>
        <v>62841</v>
      </c>
      <c r="G72" s="1667">
        <f t="shared" si="9"/>
        <v>69811</v>
      </c>
      <c r="H72" s="1667">
        <f t="shared" si="9"/>
        <v>0</v>
      </c>
      <c r="I72" s="1667">
        <f t="shared" si="9"/>
        <v>0</v>
      </c>
      <c r="J72" s="1667">
        <f t="shared" si="9"/>
        <v>0</v>
      </c>
      <c r="K72" s="1667">
        <f t="shared" si="9"/>
        <v>396487</v>
      </c>
      <c r="L72" s="1667">
        <f>SUM(L67:L71)</f>
        <v>405367</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2235767</v>
      </c>
      <c r="D74" s="1674">
        <f t="shared" ref="D74:K74" si="10">SUM(D42,D47,D53,D57,D65,D72,D73)</f>
        <v>313245</v>
      </c>
      <c r="E74" s="1674">
        <f t="shared" si="10"/>
        <v>310783</v>
      </c>
      <c r="F74" s="1674">
        <f t="shared" si="10"/>
        <v>281124</v>
      </c>
      <c r="G74" s="1674">
        <f t="shared" si="10"/>
        <v>70909</v>
      </c>
      <c r="H74" s="1674">
        <f t="shared" si="10"/>
        <v>43288</v>
      </c>
      <c r="I74" s="1674">
        <f t="shared" si="10"/>
        <v>0</v>
      </c>
      <c r="J74" s="1674">
        <f t="shared" si="10"/>
        <v>0</v>
      </c>
      <c r="K74" s="1674">
        <f t="shared" si="10"/>
        <v>3255116</v>
      </c>
      <c r="L74" s="1674">
        <f>SUM(L42,L47,L53,L57,L65,L72,L73)</f>
        <v>3353597</v>
      </c>
    </row>
    <row r="75" spans="1:14" s="259" customFormat="1" ht="15.75" customHeight="1" thickTop="1" thickBot="1" x14ac:dyDescent="0.25">
      <c r="A75" s="1607" t="s">
        <v>47</v>
      </c>
      <c r="B75" s="1608" t="s">
        <v>575</v>
      </c>
      <c r="C75" s="467">
        <v>32976</v>
      </c>
      <c r="D75" s="467">
        <v>0</v>
      </c>
      <c r="E75" s="467">
        <v>0</v>
      </c>
      <c r="F75" s="467">
        <v>2873</v>
      </c>
      <c r="G75" s="467">
        <v>0</v>
      </c>
      <c r="H75" s="467">
        <v>0</v>
      </c>
      <c r="I75" s="467">
        <v>0</v>
      </c>
      <c r="J75" s="467">
        <v>0</v>
      </c>
      <c r="K75" s="1667">
        <f>SUM(C75:J75)</f>
        <v>35849</v>
      </c>
      <c r="L75" s="573">
        <v>35465</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140</v>
      </c>
      <c r="I78" s="475"/>
      <c r="J78" s="475"/>
      <c r="K78" s="1668">
        <f t="shared" ref="K78:K83" si="11">SUM(C78:J78)</f>
        <v>140</v>
      </c>
      <c r="L78" s="479">
        <v>27500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0</v>
      </c>
      <c r="F84" s="613"/>
      <c r="G84" s="613"/>
      <c r="H84" s="1667">
        <f>SUM(H78:H83)</f>
        <v>140</v>
      </c>
      <c r="I84" s="475"/>
      <c r="J84" s="475"/>
      <c r="K84" s="1667">
        <f>SUM(K78:K83)</f>
        <v>140</v>
      </c>
      <c r="L84" s="1667">
        <f>SUM(L78:L83)</f>
        <v>27500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107055</v>
      </c>
      <c r="I86" s="475"/>
      <c r="J86" s="475"/>
      <c r="K86" s="1674">
        <f t="shared" ref="K86:K98" si="12">H86</f>
        <v>107055</v>
      </c>
      <c r="L86" s="527">
        <v>125000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23239</v>
      </c>
      <c r="I88" s="475"/>
      <c r="J88" s="475"/>
      <c r="K88" s="1674">
        <f t="shared" si="12"/>
        <v>23239</v>
      </c>
      <c r="L88" s="527">
        <v>21500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130294</v>
      </c>
      <c r="I92" s="475"/>
      <c r="J92" s="475"/>
      <c r="K92" s="1674">
        <f t="shared" si="12"/>
        <v>130294</v>
      </c>
      <c r="L92" s="1667">
        <f>SUM(L85:L91)</f>
        <v>146500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130434</v>
      </c>
      <c r="I102" s="475"/>
      <c r="J102" s="475"/>
      <c r="K102" s="1674">
        <f>SUM(K84,K92,K100,K101)</f>
        <v>130434</v>
      </c>
      <c r="L102" s="1674">
        <f>SUM(L84,L92,L100,L101)</f>
        <v>174000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7419582</v>
      </c>
      <c r="D114" s="1667">
        <f t="shared" ref="D114:K114" si="13">SUM(D33,D74,D75,D102,D112,D113)</f>
        <v>1579915</v>
      </c>
      <c r="E114" s="1667">
        <f t="shared" si="13"/>
        <v>424374</v>
      </c>
      <c r="F114" s="1667">
        <f t="shared" si="13"/>
        <v>555508</v>
      </c>
      <c r="G114" s="1667">
        <f t="shared" si="13"/>
        <v>100551</v>
      </c>
      <c r="H114" s="1667">
        <f>SUM(H33,H74,H75,H102,H112,H113)</f>
        <v>387159</v>
      </c>
      <c r="I114" s="1667">
        <f t="shared" si="13"/>
        <v>0</v>
      </c>
      <c r="J114" s="1667">
        <f t="shared" si="13"/>
        <v>0</v>
      </c>
      <c r="K114" s="1667">
        <f t="shared" si="13"/>
        <v>10467089</v>
      </c>
      <c r="L114" s="1667">
        <f>SUM(L33,L74,L75,L102,L112,L113)</f>
        <v>10654639</v>
      </c>
    </row>
    <row r="115" spans="1:14" ht="13.5" thickTop="1" x14ac:dyDescent="0.2">
      <c r="A115" s="2202" t="s">
        <v>996</v>
      </c>
      <c r="B115" s="2203"/>
      <c r="C115" s="615"/>
      <c r="D115" s="615"/>
      <c r="E115" s="615"/>
      <c r="F115" s="615"/>
      <c r="G115" s="615"/>
      <c r="H115" s="615"/>
      <c r="I115" s="615"/>
      <c r="J115" s="615"/>
      <c r="K115" s="1681">
        <f>'Revenues 9-14'!C268-'Expenditures 15-22'!K114</f>
        <v>-18426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7" t="s">
        <v>296</v>
      </c>
      <c r="B117" s="220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277742</v>
      </c>
      <c r="F124" s="466">
        <v>357868</v>
      </c>
      <c r="G124" s="466">
        <v>186646</v>
      </c>
      <c r="H124" s="466">
        <v>0</v>
      </c>
      <c r="I124" s="467">
        <v>0</v>
      </c>
      <c r="J124" s="467">
        <v>0</v>
      </c>
      <c r="K124" s="1667">
        <f>SUM(C124:J124)</f>
        <v>822256</v>
      </c>
      <c r="L124" s="466">
        <v>915500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277742</v>
      </c>
      <c r="F127" s="1667">
        <f t="shared" si="14"/>
        <v>357868</v>
      </c>
      <c r="G127" s="1667">
        <f t="shared" si="14"/>
        <v>186646</v>
      </c>
      <c r="H127" s="1667">
        <f t="shared" si="14"/>
        <v>0</v>
      </c>
      <c r="I127" s="1667">
        <f t="shared" si="14"/>
        <v>0</v>
      </c>
      <c r="J127" s="1667">
        <f t="shared" si="14"/>
        <v>0</v>
      </c>
      <c r="K127" s="1667">
        <f t="shared" si="14"/>
        <v>822256</v>
      </c>
      <c r="L127" s="1667">
        <f t="shared" si="14"/>
        <v>915500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277742</v>
      </c>
      <c r="F129" s="1674">
        <f t="shared" si="15"/>
        <v>357868</v>
      </c>
      <c r="G129" s="1674">
        <f t="shared" si="15"/>
        <v>186646</v>
      </c>
      <c r="H129" s="1674">
        <f t="shared" si="15"/>
        <v>0</v>
      </c>
      <c r="I129" s="1674">
        <f t="shared" si="15"/>
        <v>0</v>
      </c>
      <c r="J129" s="1674">
        <f t="shared" si="15"/>
        <v>0</v>
      </c>
      <c r="K129" s="1674">
        <f t="shared" si="15"/>
        <v>822256</v>
      </c>
      <c r="L129" s="1674">
        <f t="shared" si="15"/>
        <v>915500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28005</v>
      </c>
      <c r="I135" s="475"/>
      <c r="J135" s="613"/>
      <c r="K135" s="1669">
        <f>SUM(E135,H135)</f>
        <v>28005</v>
      </c>
      <c r="L135" s="466">
        <v>32500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28005</v>
      </c>
      <c r="I137" s="475"/>
      <c r="J137" s="613"/>
      <c r="K137" s="1667">
        <f>SUM(K133:K136)</f>
        <v>28005</v>
      </c>
      <c r="L137" s="1667">
        <f>SUM(L133:L136)</f>
        <v>32500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28005</v>
      </c>
      <c r="I139" s="475"/>
      <c r="J139" s="613"/>
      <c r="K139" s="1669">
        <f>SUM(K137,K138)</f>
        <v>28005</v>
      </c>
      <c r="L139" s="1676">
        <f>SUM(L137,L138)</f>
        <v>32500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9" t="s">
        <v>620</v>
      </c>
      <c r="B151" s="2199"/>
      <c r="C151" s="1667">
        <f>SUM(C129,C130,C139,C149,C150)</f>
        <v>0</v>
      </c>
      <c r="D151" s="1667">
        <f t="shared" ref="D151:K151" si="16">SUM(D129,D130,D139,D149,D150)</f>
        <v>0</v>
      </c>
      <c r="E151" s="1667">
        <f t="shared" si="16"/>
        <v>277742</v>
      </c>
      <c r="F151" s="1667">
        <f t="shared" si="16"/>
        <v>357868</v>
      </c>
      <c r="G151" s="1667">
        <f t="shared" si="16"/>
        <v>186646</v>
      </c>
      <c r="H151" s="1667">
        <f t="shared" si="16"/>
        <v>28005</v>
      </c>
      <c r="I151" s="1667">
        <f t="shared" si="16"/>
        <v>0</v>
      </c>
      <c r="J151" s="1667">
        <f t="shared" si="16"/>
        <v>0</v>
      </c>
      <c r="K151" s="1667">
        <f t="shared" si="16"/>
        <v>850261</v>
      </c>
      <c r="L151" s="1667">
        <f>SUM(L129,L130,L139,L149,L150)</f>
        <v>948000</v>
      </c>
    </row>
    <row r="152" spans="1:14" ht="12.75" customHeight="1" thickTop="1" x14ac:dyDescent="0.2">
      <c r="A152" s="2222" t="s">
        <v>1178</v>
      </c>
      <c r="B152" s="2223"/>
      <c r="C152" s="615"/>
      <c r="D152" s="615"/>
      <c r="E152" s="615"/>
      <c r="F152" s="615"/>
      <c r="G152" s="615"/>
      <c r="H152" s="615"/>
      <c r="I152" s="615"/>
      <c r="J152" s="613"/>
      <c r="K152" s="1681">
        <f>'Revenues 9-14'!D268-'Expenditures 15-22'!K151</f>
        <v>2726332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7" t="s">
        <v>621</v>
      </c>
      <c r="B154" s="220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67191</v>
      </c>
      <c r="I169" s="613"/>
      <c r="J169" s="613"/>
      <c r="K169" s="1668">
        <f>SUM(C169:H169)</f>
        <v>67191</v>
      </c>
      <c r="L169" s="653">
        <v>67191</v>
      </c>
    </row>
    <row r="170" spans="1:14" ht="33.75" customHeight="1" x14ac:dyDescent="0.2">
      <c r="A170" s="666" t="s">
        <v>1670</v>
      </c>
      <c r="B170" s="668" t="s">
        <v>31</v>
      </c>
      <c r="C170" s="613"/>
      <c r="D170" s="613"/>
      <c r="E170" s="613"/>
      <c r="F170" s="613"/>
      <c r="G170" s="613"/>
      <c r="H170" s="566">
        <v>1060533</v>
      </c>
      <c r="I170" s="613"/>
      <c r="J170" s="613"/>
      <c r="K170" s="1668">
        <f>SUM(C170:J170)</f>
        <v>1060533</v>
      </c>
      <c r="L170" s="566">
        <v>1060533</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1127724</v>
      </c>
      <c r="I172" s="635"/>
      <c r="J172" s="613"/>
      <c r="K172" s="1674">
        <f>SUM(K168,K169,K170,K171)</f>
        <v>1127724</v>
      </c>
      <c r="L172" s="1674">
        <f>SUM(L168,L169,L170,L171)</f>
        <v>1127724</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1127724</v>
      </c>
      <c r="I174" s="635"/>
      <c r="J174" s="613"/>
      <c r="K174" s="1674">
        <f>SUM(K160,K172,K173)</f>
        <v>1127724</v>
      </c>
      <c r="L174" s="1674">
        <f>SUM(L160,L172,L173)</f>
        <v>1127724</v>
      </c>
    </row>
    <row r="175" spans="1:14" ht="13.5" thickTop="1" x14ac:dyDescent="0.2">
      <c r="A175" s="2202" t="s">
        <v>996</v>
      </c>
      <c r="B175" s="2203"/>
      <c r="C175" s="613"/>
      <c r="D175" s="613"/>
      <c r="E175" s="613"/>
      <c r="F175" s="613"/>
      <c r="G175" s="613"/>
      <c r="H175" s="615"/>
      <c r="I175" s="613"/>
      <c r="J175" s="613"/>
      <c r="K175" s="1681">
        <f>'Revenues 9-14'!E268-'Expenditures 15-22'!K174</f>
        <v>-1125864</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381438</v>
      </c>
      <c r="D182" s="466">
        <v>306</v>
      </c>
      <c r="E182" s="466">
        <v>143364</v>
      </c>
      <c r="F182" s="466">
        <v>82677</v>
      </c>
      <c r="G182" s="466">
        <v>0</v>
      </c>
      <c r="H182" s="466">
        <v>0</v>
      </c>
      <c r="I182" s="467">
        <v>0</v>
      </c>
      <c r="J182" s="467">
        <v>0</v>
      </c>
      <c r="K182" s="1668">
        <f>SUM(C182:J182)</f>
        <v>607785</v>
      </c>
      <c r="L182" s="466">
        <v>700422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381438</v>
      </c>
      <c r="D184" s="1674">
        <f t="shared" ref="D184:J184" si="17">SUM(D180,D182,D183)</f>
        <v>306</v>
      </c>
      <c r="E184" s="1674">
        <f t="shared" si="17"/>
        <v>143364</v>
      </c>
      <c r="F184" s="1674">
        <f t="shared" si="17"/>
        <v>82677</v>
      </c>
      <c r="G184" s="1674">
        <f t="shared" si="17"/>
        <v>0</v>
      </c>
      <c r="H184" s="1674">
        <f t="shared" si="17"/>
        <v>0</v>
      </c>
      <c r="I184" s="1674">
        <f t="shared" si="17"/>
        <v>0</v>
      </c>
      <c r="J184" s="1674">
        <f t="shared" si="17"/>
        <v>0</v>
      </c>
      <c r="K184" s="1674">
        <f>SUM(K180,K182,K183)</f>
        <v>607785</v>
      </c>
      <c r="L184" s="1674">
        <f>SUM(L180, L182:L183)</f>
        <v>700422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381438</v>
      </c>
      <c r="D210" s="1667">
        <f>SUM(D184,D185)</f>
        <v>306</v>
      </c>
      <c r="E210" s="1667">
        <f>SUM(E184,E185,E196)</f>
        <v>143364</v>
      </c>
      <c r="F210" s="1667">
        <f>SUM(F184,F185)</f>
        <v>82677</v>
      </c>
      <c r="G210" s="1667">
        <f>SUM(G184,G185)</f>
        <v>0</v>
      </c>
      <c r="H210" s="1667">
        <f>SUM(H184,H185,H196,H208,H209)</f>
        <v>0</v>
      </c>
      <c r="I210" s="1667">
        <f>SUM(I184,I185)</f>
        <v>0</v>
      </c>
      <c r="J210" s="1667">
        <f>SUM(J184,J185)</f>
        <v>0</v>
      </c>
      <c r="K210" s="1668">
        <f>SUM(K184,K185,K196,K208,K209)</f>
        <v>607785</v>
      </c>
      <c r="L210" s="1667">
        <f>SUM(L184,L185,L196,L208,L209)</f>
        <v>700422</v>
      </c>
    </row>
    <row r="211" spans="1:14" ht="13.5" thickTop="1" x14ac:dyDescent="0.2">
      <c r="A211" s="2202" t="s">
        <v>996</v>
      </c>
      <c r="B211" s="2203"/>
      <c r="C211" s="615"/>
      <c r="D211" s="615"/>
      <c r="E211" s="615"/>
      <c r="F211" s="615"/>
      <c r="G211" s="615"/>
      <c r="H211" s="615"/>
      <c r="I211" s="613"/>
      <c r="J211" s="613"/>
      <c r="K211" s="1681">
        <f>'Revenues 9-14'!F268-'Expenditures 15-22'!K210</f>
        <v>398836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24" t="s">
        <v>965</v>
      </c>
      <c r="B213" s="222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106010</v>
      </c>
      <c r="E215" s="613"/>
      <c r="F215" s="613"/>
      <c r="G215" s="613"/>
      <c r="H215" s="613"/>
      <c r="I215" s="613"/>
      <c r="J215" s="613"/>
      <c r="K215" s="1668">
        <f>D215</f>
        <v>106010</v>
      </c>
      <c r="L215" s="466">
        <v>50846</v>
      </c>
    </row>
    <row r="216" spans="1:14" x14ac:dyDescent="0.2">
      <c r="A216" s="1501" t="s">
        <v>163</v>
      </c>
      <c r="B216" s="611" t="s">
        <v>967</v>
      </c>
      <c r="C216" s="613"/>
      <c r="D216" s="467">
        <v>9126</v>
      </c>
      <c r="E216" s="613"/>
      <c r="F216" s="613"/>
      <c r="G216" s="613"/>
      <c r="H216" s="613"/>
      <c r="I216" s="613"/>
      <c r="J216" s="613"/>
      <c r="K216" s="1668">
        <f t="shared" ref="K216:K228" si="19">D216</f>
        <v>9126</v>
      </c>
      <c r="L216" s="466">
        <v>33912</v>
      </c>
    </row>
    <row r="217" spans="1:14" x14ac:dyDescent="0.2">
      <c r="A217" s="1501" t="s">
        <v>164</v>
      </c>
      <c r="B217" s="611">
        <v>1200</v>
      </c>
      <c r="C217" s="613"/>
      <c r="D217" s="466">
        <v>90028</v>
      </c>
      <c r="E217" s="613"/>
      <c r="F217" s="613"/>
      <c r="G217" s="613"/>
      <c r="H217" s="613"/>
      <c r="I217" s="613"/>
      <c r="J217" s="613"/>
      <c r="K217" s="1668">
        <f t="shared" si="19"/>
        <v>90028</v>
      </c>
      <c r="L217" s="466">
        <v>89769</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659</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13562</v>
      </c>
      <c r="E223" s="613"/>
      <c r="F223" s="613"/>
      <c r="G223" s="613"/>
      <c r="H223" s="613"/>
      <c r="I223" s="613"/>
      <c r="J223" s="613"/>
      <c r="K223" s="1668">
        <f t="shared" si="19"/>
        <v>13562</v>
      </c>
      <c r="L223" s="466">
        <v>14400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800</v>
      </c>
      <c r="E226" s="613"/>
      <c r="F226" s="613"/>
      <c r="G226" s="613"/>
      <c r="H226" s="613"/>
      <c r="I226" s="613"/>
      <c r="J226" s="613"/>
      <c r="K226" s="1668">
        <f t="shared" si="19"/>
        <v>800</v>
      </c>
      <c r="L226" s="466">
        <v>916</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219526</v>
      </c>
      <c r="E229" s="613"/>
      <c r="F229" s="613"/>
      <c r="G229" s="613"/>
      <c r="H229" s="613"/>
      <c r="I229" s="613"/>
      <c r="J229" s="613"/>
      <c r="K229" s="1667">
        <f>SUM(K215:K228)</f>
        <v>219526</v>
      </c>
      <c r="L229" s="1667">
        <f>SUM(L215:L228)</f>
        <v>190502</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9158</v>
      </c>
      <c r="E233" s="613"/>
      <c r="F233" s="613"/>
      <c r="G233" s="613"/>
      <c r="H233" s="613"/>
      <c r="I233" s="613"/>
      <c r="J233" s="613"/>
      <c r="K233" s="1668">
        <f t="shared" si="20"/>
        <v>9158</v>
      </c>
      <c r="L233" s="466">
        <v>9533</v>
      </c>
    </row>
    <row r="234" spans="1:12" x14ac:dyDescent="0.2">
      <c r="A234" s="1501" t="s">
        <v>198</v>
      </c>
      <c r="B234" s="611">
        <v>2130</v>
      </c>
      <c r="C234" s="613"/>
      <c r="D234" s="466">
        <v>16539</v>
      </c>
      <c r="E234" s="613"/>
      <c r="F234" s="613"/>
      <c r="G234" s="613"/>
      <c r="H234" s="613"/>
      <c r="I234" s="613"/>
      <c r="J234" s="613"/>
      <c r="K234" s="1668">
        <f t="shared" si="20"/>
        <v>16539</v>
      </c>
      <c r="L234" s="466">
        <v>11074</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952</v>
      </c>
      <c r="E236" s="613"/>
      <c r="F236" s="613"/>
      <c r="G236" s="613"/>
      <c r="H236" s="613"/>
      <c r="I236" s="613"/>
      <c r="J236" s="613"/>
      <c r="K236" s="1668">
        <f t="shared" si="20"/>
        <v>952</v>
      </c>
      <c r="L236" s="466">
        <v>1102</v>
      </c>
    </row>
    <row r="237" spans="1:12" x14ac:dyDescent="0.2">
      <c r="A237" s="1501" t="s">
        <v>165</v>
      </c>
      <c r="B237" s="611">
        <v>2190</v>
      </c>
      <c r="C237" s="613"/>
      <c r="D237" s="466">
        <v>411</v>
      </c>
      <c r="E237" s="613"/>
      <c r="F237" s="613"/>
      <c r="G237" s="613"/>
      <c r="H237" s="613"/>
      <c r="I237" s="613"/>
      <c r="J237" s="613"/>
      <c r="K237" s="1668">
        <f t="shared" si="20"/>
        <v>411</v>
      </c>
      <c r="L237" s="466">
        <v>548</v>
      </c>
    </row>
    <row r="238" spans="1:12" ht="12.75" customHeight="1" thickBot="1" x14ac:dyDescent="0.25">
      <c r="A238" s="1665" t="s">
        <v>560</v>
      </c>
      <c r="B238" s="1672" t="s">
        <v>716</v>
      </c>
      <c r="C238" s="613"/>
      <c r="D238" s="1667">
        <f>SUM(D232:D237)</f>
        <v>27060</v>
      </c>
      <c r="E238" s="613"/>
      <c r="F238" s="613"/>
      <c r="G238" s="613"/>
      <c r="H238" s="613"/>
      <c r="I238" s="613"/>
      <c r="J238" s="613"/>
      <c r="K238" s="1667">
        <f>SUM(K232:K237)</f>
        <v>27060</v>
      </c>
      <c r="L238" s="1667">
        <f>SUM(L232:L237)</f>
        <v>22257</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6092</v>
      </c>
      <c r="E241" s="613"/>
      <c r="F241" s="613"/>
      <c r="G241" s="613"/>
      <c r="H241" s="613"/>
      <c r="I241" s="613"/>
      <c r="J241" s="613"/>
      <c r="K241" s="1669">
        <f>D241</f>
        <v>6092</v>
      </c>
      <c r="L241" s="466">
        <v>4523</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6092</v>
      </c>
      <c r="E243" s="613"/>
      <c r="F243" s="613"/>
      <c r="G243" s="613"/>
      <c r="H243" s="613"/>
      <c r="I243" s="613"/>
      <c r="J243" s="613"/>
      <c r="K243" s="1667">
        <f>SUM(K240:K242)</f>
        <v>6092</v>
      </c>
      <c r="L243" s="1667">
        <f>SUM(L240:L242)</f>
        <v>4523</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3810</v>
      </c>
      <c r="E245" s="613"/>
      <c r="F245" s="613"/>
      <c r="G245" s="613"/>
      <c r="H245" s="613"/>
      <c r="I245" s="613"/>
      <c r="J245" s="613"/>
      <c r="K245" s="1669">
        <f>D245</f>
        <v>3810</v>
      </c>
      <c r="L245" s="479">
        <v>2068</v>
      </c>
    </row>
    <row r="246" spans="1:12" x14ac:dyDescent="0.2">
      <c r="A246" s="1501" t="s">
        <v>818</v>
      </c>
      <c r="B246" s="611">
        <v>2320</v>
      </c>
      <c r="C246" s="613"/>
      <c r="D246" s="466">
        <v>13102</v>
      </c>
      <c r="E246" s="613"/>
      <c r="F246" s="613"/>
      <c r="G246" s="613"/>
      <c r="H246" s="613"/>
      <c r="I246" s="613"/>
      <c r="J246" s="613"/>
      <c r="K246" s="1669">
        <f t="shared" ref="K246:K256" si="21">D246</f>
        <v>13102</v>
      </c>
      <c r="L246" s="466">
        <v>14343</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16912</v>
      </c>
      <c r="E257" s="613"/>
      <c r="F257" s="613"/>
      <c r="G257" s="613"/>
      <c r="H257" s="613"/>
      <c r="I257" s="613"/>
      <c r="J257" s="613"/>
      <c r="K257" s="1667">
        <f>SUM(K245:K256)</f>
        <v>16912</v>
      </c>
      <c r="L257" s="1667">
        <f>SUM(L245:L256)</f>
        <v>16411</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41308</v>
      </c>
      <c r="E259" s="613"/>
      <c r="F259" s="613"/>
      <c r="G259" s="613"/>
      <c r="H259" s="613"/>
      <c r="I259" s="613"/>
      <c r="J259" s="613"/>
      <c r="K259" s="1669">
        <f>D259</f>
        <v>41308</v>
      </c>
      <c r="L259" s="479">
        <v>37650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41308</v>
      </c>
      <c r="E261" s="613"/>
      <c r="F261" s="613"/>
      <c r="G261" s="613"/>
      <c r="H261" s="613"/>
      <c r="I261" s="613"/>
      <c r="J261" s="613"/>
      <c r="K261" s="1667">
        <f>SUM(K259:K260)</f>
        <v>41308</v>
      </c>
      <c r="L261" s="1667">
        <f>SUM(L259:L260)</f>
        <v>37650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13309</v>
      </c>
      <c r="E264" s="613"/>
      <c r="F264" s="613"/>
      <c r="G264" s="613"/>
      <c r="H264" s="613"/>
      <c r="I264" s="613"/>
      <c r="J264" s="613"/>
      <c r="K264" s="1669">
        <f t="shared" ref="K264:K269" si="22">D264</f>
        <v>13309</v>
      </c>
      <c r="L264" s="466">
        <v>14686</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80241</v>
      </c>
      <c r="E266" s="613"/>
      <c r="F266" s="613"/>
      <c r="G266" s="613"/>
      <c r="H266" s="613"/>
      <c r="I266" s="613"/>
      <c r="J266" s="613"/>
      <c r="K266" s="1669">
        <f t="shared" si="22"/>
        <v>80241</v>
      </c>
      <c r="L266" s="466">
        <v>77315</v>
      </c>
    </row>
    <row r="267" spans="1:14" x14ac:dyDescent="0.2">
      <c r="A267" s="1501" t="s">
        <v>953</v>
      </c>
      <c r="B267" s="611">
        <v>2550</v>
      </c>
      <c r="C267" s="613"/>
      <c r="D267" s="466">
        <v>69817</v>
      </c>
      <c r="E267" s="613"/>
      <c r="F267" s="613"/>
      <c r="G267" s="613"/>
      <c r="H267" s="613"/>
      <c r="I267" s="613"/>
      <c r="J267" s="613"/>
      <c r="K267" s="1669">
        <f t="shared" si="22"/>
        <v>69817</v>
      </c>
      <c r="L267" s="466">
        <v>66000</v>
      </c>
    </row>
    <row r="268" spans="1:14" x14ac:dyDescent="0.2">
      <c r="A268" s="1501" t="s">
        <v>100</v>
      </c>
      <c r="B268" s="611">
        <v>2560</v>
      </c>
      <c r="C268" s="613"/>
      <c r="D268" s="466">
        <v>26554</v>
      </c>
      <c r="E268" s="613"/>
      <c r="F268" s="613"/>
      <c r="G268" s="613"/>
      <c r="H268" s="613"/>
      <c r="I268" s="613"/>
      <c r="J268" s="613"/>
      <c r="K268" s="1669">
        <f t="shared" si="22"/>
        <v>26554</v>
      </c>
      <c r="L268" s="466">
        <v>27163</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189921</v>
      </c>
      <c r="E270" s="613"/>
      <c r="F270" s="613"/>
      <c r="G270" s="613"/>
      <c r="H270" s="613"/>
      <c r="I270" s="613"/>
      <c r="J270" s="613"/>
      <c r="K270" s="1667">
        <f>SUM(K263:K269)</f>
        <v>189921</v>
      </c>
      <c r="L270" s="1667">
        <f>SUM(L263:L269)</f>
        <v>185164</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124</v>
      </c>
      <c r="E273" s="613"/>
      <c r="F273" s="613"/>
      <c r="G273" s="613"/>
      <c r="H273" s="613"/>
      <c r="I273" s="613"/>
      <c r="J273" s="613"/>
      <c r="K273" s="1669">
        <f>D273</f>
        <v>124</v>
      </c>
      <c r="L273" s="466">
        <v>150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24302</v>
      </c>
      <c r="E275" s="613"/>
      <c r="F275" s="613"/>
      <c r="G275" s="613"/>
      <c r="H275" s="613"/>
      <c r="I275" s="613"/>
      <c r="J275" s="613"/>
      <c r="K275" s="1669">
        <f>D275</f>
        <v>24302</v>
      </c>
      <c r="L275" s="466">
        <v>16697</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24426</v>
      </c>
      <c r="E277" s="613"/>
      <c r="F277" s="613"/>
      <c r="G277" s="613"/>
      <c r="H277" s="613"/>
      <c r="I277" s="613"/>
      <c r="J277" s="613"/>
      <c r="K277" s="1667">
        <f>SUM(K272:K276)</f>
        <v>24426</v>
      </c>
      <c r="L277" s="1667">
        <f>SUM(L272:L276)</f>
        <v>16847</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305719</v>
      </c>
      <c r="E279" s="613"/>
      <c r="F279" s="613"/>
      <c r="G279" s="613"/>
      <c r="H279" s="613"/>
      <c r="I279" s="613"/>
      <c r="J279" s="613"/>
      <c r="K279" s="1674">
        <f>SUM(K238,K243,K257,K261,K270,K277,K278)</f>
        <v>305719</v>
      </c>
      <c r="L279" s="1674">
        <f>SUM(L238,L243,L257,L261,L270,L277,L278)</f>
        <v>282852</v>
      </c>
    </row>
    <row r="280" spans="1:12" ht="15.75" customHeight="1" thickTop="1" thickBot="1" x14ac:dyDescent="0.25">
      <c r="A280" s="1621" t="s">
        <v>875</v>
      </c>
      <c r="B280" s="1610">
        <v>3000</v>
      </c>
      <c r="C280" s="613"/>
      <c r="D280" s="573">
        <v>6625</v>
      </c>
      <c r="E280" s="613"/>
      <c r="F280" s="613"/>
      <c r="G280" s="613"/>
      <c r="H280" s="613"/>
      <c r="I280" s="613"/>
      <c r="J280" s="613"/>
      <c r="K280" s="1676">
        <f>D280</f>
        <v>6625</v>
      </c>
      <c r="L280" s="573">
        <v>6500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20" t="s">
        <v>505</v>
      </c>
      <c r="B295" s="2221"/>
      <c r="C295" s="613"/>
      <c r="D295" s="1667">
        <f>SUM(D229,D279,D280,D285)</f>
        <v>531870</v>
      </c>
      <c r="E295" s="613"/>
      <c r="F295" s="613"/>
      <c r="G295" s="613"/>
      <c r="H295" s="1667">
        <f>H293</f>
        <v>0</v>
      </c>
      <c r="I295" s="613"/>
      <c r="J295" s="613"/>
      <c r="K295" s="1667">
        <f>SUM(K229,K279,K280,K285,K293,K294)</f>
        <v>531870</v>
      </c>
      <c r="L295" s="1667">
        <f>SUM(L229,L279,L280,L285,L293,L294)</f>
        <v>479854</v>
      </c>
    </row>
    <row r="296" spans="1:14" ht="13.5" thickTop="1" x14ac:dyDescent="0.2">
      <c r="A296" s="2202" t="s">
        <v>996</v>
      </c>
      <c r="B296" s="2203"/>
      <c r="C296" s="613"/>
      <c r="D296" s="615"/>
      <c r="E296" s="613"/>
      <c r="F296" s="613"/>
      <c r="G296" s="613"/>
      <c r="H296" s="684"/>
      <c r="I296" s="613"/>
      <c r="J296" s="613"/>
      <c r="K296" s="1681">
        <f>'Revenues 9-14'!G268-'Expenditures 15-22'!K295</f>
        <v>-173867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12" t="s">
        <v>143</v>
      </c>
      <c r="B298" s="220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7178836</v>
      </c>
      <c r="H301" s="466">
        <v>0</v>
      </c>
      <c r="I301" s="467">
        <v>0</v>
      </c>
      <c r="J301" s="467">
        <v>0</v>
      </c>
      <c r="K301" s="1668">
        <f>SUM(C301:J301)</f>
        <v>7178836</v>
      </c>
      <c r="L301" s="467">
        <v>6800000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7178836</v>
      </c>
      <c r="H303" s="1674">
        <f t="shared" si="23"/>
        <v>0</v>
      </c>
      <c r="I303" s="1674">
        <f t="shared" si="23"/>
        <v>0</v>
      </c>
      <c r="J303" s="1674">
        <f t="shared" si="23"/>
        <v>0</v>
      </c>
      <c r="K303" s="1674">
        <f t="shared" si="23"/>
        <v>7178836</v>
      </c>
      <c r="L303" s="1674">
        <f t="shared" si="23"/>
        <v>6800000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7" t="s">
        <v>277</v>
      </c>
      <c r="B312" s="2218"/>
      <c r="C312" s="1667">
        <f>SUM(C303)</f>
        <v>0</v>
      </c>
      <c r="D312" s="1667">
        <f>SUM(D303)</f>
        <v>0</v>
      </c>
      <c r="E312" s="1667">
        <f>SUM(E303,E310)</f>
        <v>0</v>
      </c>
      <c r="F312" s="1667">
        <f>SUM(F303)</f>
        <v>0</v>
      </c>
      <c r="G312" s="1667">
        <f>SUM(G303)</f>
        <v>7178836</v>
      </c>
      <c r="H312" s="1667">
        <f>SUM(H303,H310)</f>
        <v>0</v>
      </c>
      <c r="I312" s="1667">
        <f>SUM(I303)</f>
        <v>0</v>
      </c>
      <c r="J312" s="1667">
        <f>SUM(J303)</f>
        <v>0</v>
      </c>
      <c r="K312" s="1667">
        <f>SUM(K303,K310,K311)</f>
        <v>7178836</v>
      </c>
      <c r="L312" s="1667">
        <f>SUM(L303,L310,L311)</f>
        <v>6800000</v>
      </c>
      <c r="M312" s="662"/>
      <c r="N312" s="662"/>
    </row>
    <row r="313" spans="1:14" ht="13.5" thickTop="1" x14ac:dyDescent="0.2">
      <c r="A313" s="2213" t="s">
        <v>996</v>
      </c>
      <c r="B313" s="2214"/>
      <c r="C313" s="623"/>
      <c r="D313" s="623"/>
      <c r="E313" s="623"/>
      <c r="F313" s="623"/>
      <c r="G313" s="623"/>
      <c r="H313" s="623"/>
      <c r="I313" s="623"/>
      <c r="J313" s="623"/>
      <c r="K313" s="1682">
        <f>'Revenues 9-14'!H268-'Expenditures 15-22'!K312</f>
        <v>-6838710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6" t="s">
        <v>149</v>
      </c>
      <c r="B315" s="222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8" t="s">
        <v>898</v>
      </c>
      <c r="B317" s="222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450</v>
      </c>
      <c r="F319" s="467">
        <v>0</v>
      </c>
      <c r="G319" s="467">
        <v>0</v>
      </c>
      <c r="H319" s="467">
        <v>0</v>
      </c>
      <c r="I319" s="467">
        <v>0</v>
      </c>
      <c r="J319" s="467">
        <v>0</v>
      </c>
      <c r="K319" s="1668">
        <f>SUM(C319:J319)</f>
        <v>450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450</v>
      </c>
      <c r="F330" s="1667">
        <f t="shared" si="25"/>
        <v>0</v>
      </c>
      <c r="G330" s="1667">
        <f t="shared" si="25"/>
        <v>0</v>
      </c>
      <c r="H330" s="1667">
        <f t="shared" si="25"/>
        <v>0</v>
      </c>
      <c r="I330" s="1667">
        <f t="shared" si="25"/>
        <v>0</v>
      </c>
      <c r="J330" s="1667">
        <f t="shared" si="25"/>
        <v>0</v>
      </c>
      <c r="K330" s="1667">
        <f>SUM(K319:K329)</f>
        <v>450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450</v>
      </c>
      <c r="F342" s="1667">
        <f>SUM(F330)</f>
        <v>0</v>
      </c>
      <c r="G342" s="1667">
        <f>SUM(G330)</f>
        <v>0</v>
      </c>
      <c r="H342" s="1667">
        <f>SUM(H330,H334,H340)</f>
        <v>0</v>
      </c>
      <c r="I342" s="1667">
        <f>SUM(I330)</f>
        <v>0</v>
      </c>
      <c r="J342" s="1667">
        <f>SUM(J330)</f>
        <v>0</v>
      </c>
      <c r="K342" s="1667">
        <f>SUM(K330,K334,K340)</f>
        <v>450</v>
      </c>
      <c r="L342" s="1674">
        <f>SUM(L330,L340,L341)</f>
        <v>0</v>
      </c>
    </row>
    <row r="343" spans="1:14" ht="12.75" customHeight="1" thickTop="1" x14ac:dyDescent="0.2">
      <c r="A343" s="2215" t="s">
        <v>996</v>
      </c>
      <c r="B343" s="2216"/>
      <c r="C343" s="613"/>
      <c r="D343" s="613"/>
      <c r="E343" s="613"/>
      <c r="F343" s="613"/>
      <c r="G343" s="613"/>
      <c r="H343" s="613"/>
      <c r="I343" s="613"/>
      <c r="J343" s="613"/>
      <c r="K343" s="1681">
        <f>'Revenues 9-14'!J268-'Expenditures 15-22'!K342</f>
        <v>1625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5" t="s">
        <v>966</v>
      </c>
      <c r="B345" s="220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02" t="s">
        <v>996</v>
      </c>
      <c r="B368" s="2203"/>
      <c r="C368" s="651"/>
      <c r="D368" s="651"/>
      <c r="E368" s="623"/>
      <c r="F368" s="623"/>
      <c r="G368" s="623"/>
      <c r="H368" s="623"/>
      <c r="I368" s="623"/>
      <c r="J368" s="620"/>
      <c r="K368" s="1668">
        <f>'Revenues 9-14'!K268-'Expenditures 15-22'!K367</f>
        <v>64518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 right="0.15" top="0.86" bottom="0"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2006/metadata/properties"/>
    <ds:schemaRef ds:uri="6ce3111e-7420-4802-b50a-75d4e9a0b980"/>
    <ds:schemaRef ds:uri="http://schemas.microsoft.com/sharepoint/v3"/>
    <ds:schemaRef ds:uri="http://schemas.microsoft.com/office/infopath/2007/PartnerControl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Finding 2019-002</vt:lpstr>
      <vt:lpstr>Finding 2019-003</vt:lpstr>
      <vt:lpstr>Finding 2019-004</vt:lpstr>
      <vt:lpstr>SF&amp;QC Sec-3</vt:lpstr>
      <vt:lpstr>CAP Finding 001</vt:lpstr>
      <vt:lpstr>CAP Finding 002</vt:lpstr>
      <vt:lpstr>CAP Finding 003</vt:lpstr>
      <vt:lpstr>CAP Finding 004</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2020-02-21T21:35:20Z</cp:lastPrinted>
  <dcterms:created xsi:type="dcterms:W3CDTF">2003-10-29T19:06:34Z</dcterms:created>
  <dcterms:modified xsi:type="dcterms:W3CDTF">2020-02-21T22:23:21Z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